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10" yWindow="-75" windowWidth="15105" windowHeight="1417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宿舍" sheetId="82" r:id="rId23"/>
    <sheet name="收益法办公"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情况"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收益法办公!$A$1:$F$43,收益法办公!$H$3:$M$29,收益法办公!$A$46:$F$71</definedName>
    <definedName name="_xlnm.Print_Area" localSheetId="22">收益法宿舍!$A$1:$F$43,收益法宿舍!$H$3:$M$29,收益法宿舍!$A$46:$F$71</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2" i="9" l="1"/>
  <c r="AL7" i="1"/>
  <c r="AM7" i="1"/>
  <c r="AK7" i="1"/>
  <c r="J401" i="81"/>
  <c r="N19" i="1"/>
  <c r="D3" i="4" l="1"/>
  <c r="F20" i="6" l="1"/>
  <c r="F19" i="6"/>
  <c r="K13" i="3"/>
  <c r="I15" i="3"/>
  <c r="I16" i="3"/>
  <c r="I17" i="3"/>
  <c r="I18" i="3"/>
  <c r="I19" i="3"/>
  <c r="I20" i="3"/>
  <c r="I21" i="3"/>
  <c r="I22" i="3"/>
  <c r="I23" i="3"/>
  <c r="I24" i="3"/>
  <c r="I25" i="3"/>
  <c r="I26" i="3"/>
  <c r="I27" i="3"/>
  <c r="I28" i="3"/>
  <c r="I14" i="3"/>
  <c r="Y7" i="1"/>
  <c r="Q72" i="82"/>
  <c r="Q59" i="82"/>
  <c r="K59" i="82"/>
  <c r="P74" i="82" s="1"/>
  <c r="F59" i="82"/>
  <c r="Q58" i="82"/>
  <c r="Q51" i="82"/>
  <c r="J50" i="82"/>
  <c r="M47" i="82"/>
  <c r="D46" i="82"/>
  <c r="F34" i="82"/>
  <c r="F62" i="82" s="1"/>
  <c r="F33" i="82"/>
  <c r="F61" i="82" s="1"/>
  <c r="F32" i="82"/>
  <c r="F60" i="82" s="1"/>
  <c r="F31" i="82"/>
  <c r="F28" i="82"/>
  <c r="F23" i="82"/>
  <c r="D24" i="82" s="1"/>
  <c r="F21" i="82"/>
  <c r="M20" i="82"/>
  <c r="F20" i="82"/>
  <c r="M19" i="82"/>
  <c r="M18" i="82"/>
  <c r="F18" i="82"/>
  <c r="M17" i="82"/>
  <c r="F17" i="82"/>
  <c r="F15" i="82"/>
  <c r="G1" i="82"/>
  <c r="D33" i="43"/>
  <c r="J403" i="81"/>
  <c r="J402" i="81"/>
  <c r="G402" i="81"/>
  <c r="H401" i="81"/>
  <c r="G401" i="81"/>
  <c r="J394" i="81"/>
  <c r="G394" i="81"/>
  <c r="H394" i="81"/>
  <c r="J383" i="81"/>
  <c r="G383" i="81"/>
  <c r="H383" i="81"/>
  <c r="J372" i="81"/>
  <c r="H372" i="81"/>
  <c r="G372" i="81"/>
  <c r="J365" i="81"/>
  <c r="H365" i="81"/>
  <c r="G365" i="81"/>
  <c r="J361" i="81"/>
  <c r="G361" i="81"/>
  <c r="H361" i="81"/>
  <c r="J351" i="81"/>
  <c r="H351" i="81"/>
  <c r="G351" i="81"/>
  <c r="J349" i="81"/>
  <c r="G349" i="81"/>
  <c r="H349" i="81"/>
  <c r="J339" i="81"/>
  <c r="G339" i="81"/>
  <c r="H339" i="81"/>
  <c r="J333" i="81"/>
  <c r="G333" i="81"/>
  <c r="H333" i="81"/>
  <c r="J328" i="81"/>
  <c r="G328" i="81"/>
  <c r="H328" i="81"/>
  <c r="J317" i="81"/>
  <c r="G317" i="81"/>
  <c r="H317" i="81"/>
  <c r="G309" i="81"/>
  <c r="H309" i="81"/>
  <c r="J309" i="81"/>
  <c r="H301" i="81"/>
  <c r="H285" i="81"/>
  <c r="J301" i="81"/>
  <c r="G301" i="81"/>
  <c r="J285" i="81"/>
  <c r="G285" i="81"/>
  <c r="M24" i="82"/>
  <c r="F8" i="82"/>
  <c r="L47" i="82"/>
  <c r="C76" i="82"/>
  <c r="F40" i="82"/>
  <c r="D22" i="82" l="1"/>
  <c r="D23" i="82"/>
  <c r="Q71" i="82"/>
  <c r="F68" i="82"/>
  <c r="F51" i="82"/>
  <c r="P61" i="82"/>
  <c r="N14" i="1"/>
  <c r="N7" i="1"/>
  <c r="N6" i="1"/>
  <c r="L14" i="1"/>
  <c r="C14" i="3"/>
  <c r="C15" i="3"/>
  <c r="C16" i="3"/>
  <c r="C17" i="3"/>
  <c r="C18" i="3"/>
  <c r="C19" i="3"/>
  <c r="C20" i="3"/>
  <c r="C21" i="3"/>
  <c r="C22" i="3"/>
  <c r="C23" i="3"/>
  <c r="C24" i="3"/>
  <c r="C25" i="3"/>
  <c r="C26" i="3"/>
  <c r="C27" i="3"/>
  <c r="C28" i="3"/>
  <c r="C13" i="3"/>
  <c r="J15" i="82"/>
  <c r="M28" i="82"/>
  <c r="F6" i="82"/>
  <c r="F13" i="82"/>
  <c r="M23" i="82"/>
  <c r="F26" i="82"/>
  <c r="F36" i="82"/>
  <c r="F16" i="82"/>
  <c r="F42" i="82"/>
  <c r="M26" i="82"/>
  <c r="F38" i="82"/>
  <c r="F9" i="82"/>
  <c r="F37" i="82"/>
  <c r="M9" i="82"/>
  <c r="M27" i="82"/>
  <c r="M8" i="82"/>
  <c r="M22" i="82"/>
  <c r="M6" i="82"/>
  <c r="F64" i="82" l="1"/>
  <c r="C27" i="82"/>
  <c r="F65" i="82"/>
  <c r="F66" i="82"/>
  <c r="Y6" i="1"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L20" i="3" s="1"/>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8" i="8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M24" i="15"/>
  <c r="M29" i="67"/>
  <c r="B13" i="76"/>
  <c r="D4" i="73"/>
  <c r="B10" i="76"/>
  <c r="M6" i="67"/>
  <c r="E2" i="68"/>
  <c r="M29" i="15"/>
  <c r="M24" i="67"/>
  <c r="F6" i="67"/>
  <c r="F5" i="73"/>
  <c r="M26" i="67"/>
  <c r="M23" i="15"/>
  <c r="B12" i="76"/>
  <c r="J15" i="15"/>
  <c r="E13" i="76"/>
  <c r="F38" i="67"/>
  <c r="C76" i="15"/>
  <c r="M26" i="15"/>
  <c r="E7" i="76"/>
  <c r="F38" i="15"/>
  <c r="M22" i="15"/>
  <c r="F9" i="15"/>
  <c r="E12" i="76"/>
  <c r="F43" i="15"/>
  <c r="F6" i="73"/>
  <c r="F8" i="67"/>
  <c r="F20" i="31"/>
  <c r="F36" i="15"/>
  <c r="F37" i="67"/>
  <c r="E8" i="76"/>
  <c r="F16" i="15"/>
  <c r="B11" i="76"/>
  <c r="F40" i="67"/>
  <c r="M28" i="67"/>
  <c r="M28" i="15"/>
  <c r="D6" i="73"/>
  <c r="F40" i="15"/>
  <c r="F43" i="82"/>
  <c r="L48" i="67"/>
  <c r="C76" i="67"/>
  <c r="E10" i="76"/>
  <c r="F26" i="67"/>
  <c r="M22" i="67"/>
  <c r="M8" i="15"/>
  <c r="B8" i="76"/>
  <c r="F7" i="82"/>
  <c r="F16" i="67"/>
  <c r="F13" i="67"/>
  <c r="L48" i="82"/>
  <c r="F9" i="67"/>
  <c r="F37" i="15"/>
  <c r="AO13" i="1"/>
  <c r="F8" i="15"/>
  <c r="M9" i="15"/>
  <c r="M29" i="82"/>
  <c r="F26" i="15"/>
  <c r="F13" i="15"/>
  <c r="E2" i="69"/>
  <c r="J15" i="67"/>
  <c r="D3" i="73"/>
  <c r="B7" i="76"/>
  <c r="F7" i="15"/>
  <c r="M9" i="67"/>
  <c r="D5" i="73"/>
  <c r="F42" i="67"/>
  <c r="D7" i="73"/>
  <c r="F7" i="73"/>
  <c r="M8" i="67"/>
  <c r="M23" i="67"/>
  <c r="F3" i="73"/>
  <c r="B9" i="76"/>
  <c r="F4" i="73"/>
  <c r="L47" i="15"/>
  <c r="F42" i="15"/>
  <c r="F7" i="67"/>
  <c r="M6" i="15"/>
  <c r="F43" i="67"/>
  <c r="F6" i="15"/>
  <c r="L47" i="67"/>
  <c r="E11" i="76"/>
  <c r="F36" i="67"/>
  <c r="L48" i="15"/>
  <c r="L56" i="82" l="1"/>
  <c r="L57" i="82"/>
  <c r="L58" i="82"/>
  <c r="L60" i="82"/>
  <c r="G7" i="1"/>
  <c r="L59" i="82"/>
  <c r="J53" i="82"/>
  <c r="M59" i="82"/>
  <c r="I54" i="82"/>
  <c r="J57" i="82"/>
  <c r="J55" i="82" s="1"/>
  <c r="J58" i="82" s="1"/>
  <c r="Q50" i="82" s="1"/>
  <c r="N59" i="82"/>
  <c r="G18" i="3"/>
  <c r="G19" i="3"/>
  <c r="AZ23" i="3"/>
  <c r="F71" i="82"/>
  <c r="M7" i="82"/>
  <c r="J6" i="82" s="1"/>
  <c r="C6" i="82"/>
  <c r="F50" i="82"/>
  <c r="C49" i="82" s="1"/>
  <c r="C61" i="82" s="1"/>
  <c r="M7" i="1"/>
  <c r="G21" i="3"/>
  <c r="G26" i="3"/>
  <c r="G14" i="3"/>
  <c r="G25" i="3"/>
  <c r="G23" i="3"/>
  <c r="G24" i="3"/>
  <c r="BA25" i="3"/>
  <c r="AZ25" i="3" s="1"/>
  <c r="BL27" i="3"/>
  <c r="AZ14" i="3"/>
  <c r="AZ18" i="3"/>
  <c r="BL19" i="3"/>
  <c r="BL5" i="3" s="1"/>
  <c r="AZ27" i="3"/>
  <c r="AZ20" i="3"/>
  <c r="AZ24" i="3"/>
  <c r="AZ19" i="3"/>
  <c r="AZ21" i="3"/>
  <c r="F29" i="6"/>
  <c r="C21" i="68"/>
  <c r="C40" i="69"/>
  <c r="G6" i="1"/>
  <c r="I24" i="43"/>
  <c r="C24" i="43" s="1"/>
  <c r="G28" i="6"/>
  <c r="H50" i="43"/>
  <c r="H69"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82"/>
  <c r="C16" i="15"/>
  <c r="Q66" i="82" l="1"/>
  <c r="Q57" i="82"/>
  <c r="F1" i="82"/>
  <c r="Q52" i="82"/>
  <c r="Q60" i="82"/>
  <c r="Q73" i="82"/>
  <c r="Q61" i="82"/>
  <c r="Q74" i="82"/>
  <c r="E26" i="43"/>
  <c r="G5" i="3"/>
  <c r="B3" i="3" s="1"/>
  <c r="E149" i="3" s="1"/>
  <c r="BA5" i="3"/>
  <c r="E90" i="3"/>
  <c r="E118" i="3"/>
  <c r="E79" i="3"/>
  <c r="E308" i="3"/>
  <c r="E470" i="3"/>
  <c r="E369" i="3"/>
  <c r="E545" i="3"/>
  <c r="E277" i="3"/>
  <c r="E373" i="3"/>
  <c r="E178" i="3"/>
  <c r="E283" i="3"/>
  <c r="E498" i="3"/>
  <c r="E510" i="3"/>
  <c r="E141" i="3"/>
  <c r="E108" i="3"/>
  <c r="E58" i="3"/>
  <c r="E112" i="3"/>
  <c r="E381" i="3"/>
  <c r="E422" i="3"/>
  <c r="E554" i="3"/>
  <c r="E15" i="3"/>
  <c r="E234" i="3"/>
  <c r="E378" i="3"/>
  <c r="E435" i="3"/>
  <c r="E341" i="3"/>
  <c r="E66" i="3"/>
  <c r="E297" i="3"/>
  <c r="E419" i="3"/>
  <c r="E287" i="3"/>
  <c r="E102" i="3"/>
  <c r="E383" i="3"/>
  <c r="E220" i="3"/>
  <c r="E42" i="3"/>
  <c r="E332" i="3"/>
  <c r="E452" i="3"/>
  <c r="E556" i="3"/>
  <c r="E173" i="3"/>
  <c r="E205" i="3"/>
  <c r="E136" i="3"/>
  <c r="E352" i="3"/>
  <c r="E306" i="3"/>
  <c r="E224" i="3"/>
  <c r="E313" i="3"/>
  <c r="E532" i="3"/>
  <c r="E474" i="3"/>
  <c r="Y6" i="3"/>
  <c r="E110" i="3"/>
  <c r="E539" i="3"/>
  <c r="E138" i="3"/>
  <c r="E524" i="3"/>
  <c r="E47" i="3"/>
  <c r="E464" i="3"/>
  <c r="E19" i="3"/>
  <c r="E307" i="3"/>
  <c r="E372" i="3"/>
  <c r="E416" i="3"/>
  <c r="E265" i="3"/>
  <c r="E584" i="3"/>
  <c r="E540" i="3"/>
  <c r="E582" i="3"/>
  <c r="E165" i="3"/>
  <c r="E393" i="3"/>
  <c r="E466" i="3"/>
  <c r="E566" i="3"/>
  <c r="E401" i="3"/>
  <c r="E152" i="3"/>
  <c r="E348" i="3"/>
  <c r="E43" i="3"/>
  <c r="E64" i="3"/>
  <c r="E248" i="3"/>
  <c r="E392" i="3"/>
  <c r="E144" i="3"/>
  <c r="E51" i="3"/>
  <c r="E365" i="3"/>
  <c r="E167" i="3"/>
  <c r="E543" i="3"/>
  <c r="E449" i="3"/>
  <c r="E413" i="3"/>
  <c r="E25" i="3"/>
  <c r="E258" i="3"/>
  <c r="E504" i="3"/>
  <c r="E467" i="3"/>
  <c r="E233" i="3"/>
  <c r="E103" i="3"/>
  <c r="E309" i="3"/>
  <c r="E52" i="3"/>
  <c r="E98" i="3"/>
  <c r="E226" i="3"/>
  <c r="E500" i="3"/>
  <c r="E493" i="3"/>
  <c r="E218" i="3"/>
  <c r="E289" i="3"/>
  <c r="E354" i="3"/>
  <c r="E195" i="3"/>
  <c r="E59" i="3"/>
  <c r="E119" i="3"/>
  <c r="AP6" i="3"/>
  <c r="AD6" i="3"/>
  <c r="E22" i="3"/>
  <c r="E158" i="3"/>
  <c r="AF6" i="3"/>
  <c r="E206" i="3"/>
  <c r="E35" i="3"/>
  <c r="E324" i="3"/>
  <c r="E174" i="3"/>
  <c r="E96" i="3"/>
  <c r="E428" i="3"/>
  <c r="AL6" i="3"/>
  <c r="E243" i="3"/>
  <c r="E198" i="3"/>
  <c r="E26" i="3"/>
  <c r="E494" i="3"/>
  <c r="E360" i="3"/>
  <c r="E469" i="3"/>
  <c r="E534" i="3"/>
  <c r="E197" i="3"/>
  <c r="E156" i="3"/>
  <c r="E238" i="3"/>
  <c r="E434" i="3"/>
  <c r="E128" i="3"/>
  <c r="E262" i="3"/>
  <c r="E120" i="3"/>
  <c r="E177" i="3"/>
  <c r="E330" i="3"/>
  <c r="Q6" i="3"/>
  <c r="E437" i="3"/>
  <c r="E481" i="3"/>
  <c r="E310" i="3"/>
  <c r="I3" i="6"/>
  <c r="E312" i="3"/>
  <c r="E184" i="3"/>
  <c r="E176" i="3"/>
  <c r="E76" i="3"/>
  <c r="E50" i="3"/>
  <c r="E292" i="3"/>
  <c r="E286" i="3"/>
  <c r="E355" i="3"/>
  <c r="E194" i="3"/>
  <c r="E240" i="3"/>
  <c r="R6" i="3"/>
  <c r="E63" i="3"/>
  <c r="E299" i="3"/>
  <c r="E375" i="3"/>
  <c r="E430" i="3"/>
  <c r="E188" i="3"/>
  <c r="E499" i="3"/>
  <c r="E398" i="3"/>
  <c r="J6" i="3"/>
  <c r="E479" i="3"/>
  <c r="E155" i="3"/>
  <c r="E333" i="3"/>
  <c r="E409" i="3"/>
  <c r="E65" i="3"/>
  <c r="E219" i="3"/>
  <c r="E23" i="3"/>
  <c r="E250" i="3"/>
  <c r="E62" i="3"/>
  <c r="E513" i="3"/>
  <c r="E105" i="3"/>
  <c r="E442" i="3"/>
  <c r="E374" i="3"/>
  <c r="E483" i="3"/>
  <c r="E95" i="3"/>
  <c r="E259" i="3"/>
  <c r="E60" i="3"/>
  <c r="E101" i="3"/>
  <c r="E48" i="3"/>
  <c r="E544" i="3"/>
  <c r="E154" i="3"/>
  <c r="E492" i="3"/>
  <c r="E425" i="3"/>
  <c r="E132" i="3"/>
  <c r="E490" i="3"/>
  <c r="E199" i="3"/>
  <c r="E81" i="3"/>
  <c r="E123" i="3"/>
  <c r="E339" i="3"/>
  <c r="E100" i="3"/>
  <c r="L6" i="3"/>
  <c r="E37" i="3"/>
  <c r="E459" i="3"/>
  <c r="E116" i="3"/>
  <c r="E326" i="3"/>
  <c r="E113" i="3"/>
  <c r="E370" i="3"/>
  <c r="E49" i="3"/>
  <c r="E522" i="3"/>
  <c r="E235" i="3"/>
  <c r="E190" i="3"/>
  <c r="E18" i="3"/>
  <c r="E75" i="3"/>
  <c r="E356" i="3"/>
  <c r="E281" i="3"/>
  <c r="E115" i="3"/>
  <c r="E420" i="3"/>
  <c r="E13" i="3"/>
  <c r="E451" i="3"/>
  <c r="E456" i="3"/>
  <c r="E525" i="3"/>
  <c r="E140" i="3"/>
  <c r="E253" i="3"/>
  <c r="E453" i="3"/>
  <c r="E85" i="3"/>
  <c r="E314" i="3"/>
  <c r="E511" i="3"/>
  <c r="E99" i="3"/>
  <c r="E45" i="3"/>
  <c r="E193" i="3"/>
  <c r="E519" i="3"/>
  <c r="E573" i="3"/>
  <c r="E458" i="3"/>
  <c r="E527"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C32" i="82"/>
  <c r="C33" i="82"/>
  <c r="J18" i="82"/>
  <c r="J19" i="82"/>
  <c r="O7" i="1"/>
  <c r="P7" i="1" s="1"/>
  <c r="F11" i="82"/>
  <c r="M11" i="82"/>
  <c r="J10" i="82" s="1"/>
  <c r="J5" i="82" s="1"/>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6" i="1"/>
  <c r="AE7" i="1"/>
  <c r="E122" i="3" l="1"/>
  <c r="E512" i="3"/>
  <c r="E139" i="3"/>
  <c r="E78" i="3"/>
  <c r="E232" i="3"/>
  <c r="E502" i="3"/>
  <c r="E200" i="3"/>
  <c r="E421" i="3"/>
  <c r="E244" i="3"/>
  <c r="E202" i="3"/>
  <c r="E222" i="3"/>
  <c r="E455" i="3"/>
  <c r="E255" i="3"/>
  <c r="E21" i="3"/>
  <c r="E325" i="3"/>
  <c r="E133" i="3"/>
  <c r="E296" i="3"/>
  <c r="E342" i="3"/>
  <c r="E462" i="3"/>
  <c r="E131" i="3"/>
  <c r="E491" i="3"/>
  <c r="E529" i="3"/>
  <c r="E157" i="3"/>
  <c r="E461" i="3"/>
  <c r="T6" i="3"/>
  <c r="E104" i="3"/>
  <c r="E482" i="3"/>
  <c r="E86" i="3"/>
  <c r="E83" i="3"/>
  <c r="E484" i="3"/>
  <c r="E323" i="3"/>
  <c r="E127" i="3"/>
  <c r="E349" i="3"/>
  <c r="E542" i="3"/>
  <c r="E142" i="3"/>
  <c r="E460" i="3"/>
  <c r="E40" i="3"/>
  <c r="E486" i="3"/>
  <c r="E472" i="3"/>
  <c r="E181" i="3"/>
  <c r="E94" i="3"/>
  <c r="E541" i="3"/>
  <c r="E284" i="3"/>
  <c r="E33" i="3"/>
  <c r="AQ6" i="3"/>
  <c r="E376" i="3"/>
  <c r="E84" i="3"/>
  <c r="K6" i="3"/>
  <c r="AK6" i="3"/>
  <c r="E77" i="3"/>
  <c r="E408" i="3"/>
  <c r="E225" i="3"/>
  <c r="E129" i="3"/>
  <c r="E251" i="3"/>
  <c r="E507" i="3"/>
  <c r="E67" i="3"/>
  <c r="E364" i="3"/>
  <c r="AH6" i="3"/>
  <c r="E170" i="3"/>
  <c r="E212" i="3"/>
  <c r="E87" i="3"/>
  <c r="E446" i="3"/>
  <c r="E497" i="3"/>
  <c r="E391" i="3"/>
  <c r="E275" i="3"/>
  <c r="E80" i="3"/>
  <c r="E436" i="3"/>
  <c r="E82" i="3"/>
  <c r="E264" i="3"/>
  <c r="E16" i="3"/>
  <c r="E242" i="3"/>
  <c r="E163" i="3"/>
  <c r="E36" i="3"/>
  <c r="E137" i="3"/>
  <c r="E20" i="3"/>
  <c r="E39" i="3"/>
  <c r="E148" i="3"/>
  <c r="E386" i="3"/>
  <c r="E241" i="3"/>
  <c r="E427" i="3"/>
  <c r="E38" i="3"/>
  <c r="E473" i="3"/>
  <c r="E209" i="3"/>
  <c r="E267" i="3"/>
  <c r="E560" i="3"/>
  <c r="E228" i="3"/>
  <c r="E568" i="3"/>
  <c r="E405" i="3"/>
  <c r="E41" i="3"/>
  <c r="E412" i="3"/>
  <c r="E34" i="3"/>
  <c r="E536" i="3"/>
  <c r="E249" i="3"/>
  <c r="E266" i="3"/>
  <c r="E417" i="3"/>
  <c r="E300" i="3"/>
  <c r="E552" i="3"/>
  <c r="E46" i="3"/>
  <c r="E179" i="3"/>
  <c r="E463" i="3"/>
  <c r="E57" i="3"/>
  <c r="E346" i="3"/>
  <c r="E487" i="3"/>
  <c r="E340" i="3"/>
  <c r="E521" i="3"/>
  <c r="E517" i="3"/>
  <c r="E564" i="3"/>
  <c r="E223" i="3"/>
  <c r="E329" i="3"/>
  <c r="E147" i="3"/>
  <c r="E276" i="3"/>
  <c r="E363" i="3"/>
  <c r="E68" i="3"/>
  <c r="E488" i="3"/>
  <c r="E371" i="3"/>
  <c r="E187" i="3"/>
  <c r="E575" i="3"/>
  <c r="E24" i="3"/>
  <c r="E389" i="3"/>
  <c r="E440" i="3"/>
  <c r="E192" i="3"/>
  <c r="E56" i="3"/>
  <c r="E520" i="3"/>
  <c r="E160" i="3"/>
  <c r="E406" i="3"/>
  <c r="E468" i="3"/>
  <c r="E171" i="3"/>
  <c r="E74" i="3"/>
  <c r="E204" i="3"/>
  <c r="E485" i="3"/>
  <c r="E531" i="3"/>
  <c r="E182" i="3"/>
  <c r="E572"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65" i="3"/>
  <c r="E454" i="3"/>
  <c r="E214" i="3"/>
  <c r="E227" i="3"/>
  <c r="E327" i="3"/>
  <c r="E400" i="3"/>
  <c r="E489" i="3"/>
  <c r="E211"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87" i="3"/>
  <c r="E106" i="3"/>
  <c r="E315" i="3"/>
  <c r="E368" i="3"/>
  <c r="Z6" i="3"/>
  <c r="E345" i="3"/>
  <c r="E28" i="3"/>
  <c r="E273"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77" i="3"/>
  <c r="E146" i="3"/>
  <c r="E362" i="3"/>
  <c r="E89" i="3"/>
  <c r="AO6" i="3"/>
  <c r="E557" i="3"/>
  <c r="E70" i="3"/>
  <c r="E377"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J24" i="82"/>
  <c r="J26" i="82"/>
  <c r="L36" i="43"/>
  <c r="P36" i="43" s="1"/>
  <c r="F24" i="82"/>
  <c r="C53" i="82"/>
  <c r="C48" i="82" s="1"/>
  <c r="C10" i="82"/>
  <c r="C5" i="82" s="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2"/>
  <c r="F41" i="15"/>
  <c r="M27" i="67"/>
  <c r="M27" i="15"/>
  <c r="L37" i="43" l="1"/>
  <c r="Q37" i="43" s="1"/>
  <c r="F69" i="82"/>
  <c r="J29" i="82"/>
  <c r="D116" i="43"/>
  <c r="H6" i="3"/>
  <c r="AC6" i="3"/>
  <c r="O36" i="43"/>
  <c r="Q36" i="43"/>
  <c r="N36" i="43"/>
  <c r="M36" i="43"/>
  <c r="C38" i="82"/>
  <c r="C66" i="82"/>
  <c r="C60" i="82"/>
  <c r="C24" i="82"/>
  <c r="B14" i="74"/>
  <c r="B1" i="74" s="1"/>
  <c r="M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82"/>
  <c r="C17" i="67"/>
  <c r="C14" i="67"/>
  <c r="N37" i="43" l="1"/>
  <c r="P37" i="43"/>
  <c r="O37" i="43"/>
  <c r="E6" i="3"/>
  <c r="E7" i="70"/>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2"/>
  <c r="C14" i="15"/>
  <c r="B6" i="76"/>
  <c r="E6" i="76"/>
  <c r="C15" i="82" l="1"/>
  <c r="C18" i="82"/>
  <c r="B3" i="43"/>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2" l="1"/>
  <c r="C20" i="82" s="1"/>
  <c r="C21" i="12"/>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3" i="82" l="1"/>
  <c r="C26" i="82"/>
  <c r="C27" i="12"/>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82"/>
  <c r="M21" i="67"/>
  <c r="F35" i="67"/>
  <c r="F35" i="82"/>
  <c r="F35" i="15"/>
  <c r="M21" i="15"/>
  <c r="C29" i="82" l="1"/>
  <c r="C36" i="82"/>
  <c r="C57" i="82"/>
  <c r="C64" i="82" s="1"/>
  <c r="AC7" i="35"/>
  <c r="V38" i="35" s="1"/>
  <c r="I38" i="35" s="1"/>
  <c r="J20" i="82"/>
  <c r="J17" i="82" s="1"/>
  <c r="F63" i="82"/>
  <c r="C62" i="82" s="1"/>
  <c r="C59" i="82" s="1"/>
  <c r="C34" i="82"/>
  <c r="C3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Q49" i="82" l="1"/>
  <c r="J14" i="82"/>
  <c r="C13" i="82"/>
  <c r="J59" i="82"/>
  <c r="J60" i="82" s="1"/>
  <c r="C10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46" i="82" l="1"/>
  <c r="Q48" i="82"/>
  <c r="J22" i="82"/>
  <c r="J13" i="82"/>
  <c r="J23" i="82" s="1"/>
  <c r="Q70" i="82"/>
  <c r="C37" i="82"/>
  <c r="C30" i="82" s="1"/>
  <c r="C39" i="82" s="1"/>
  <c r="C75" i="82"/>
  <c r="C80" i="82" s="1"/>
  <c r="C79" i="82" s="1"/>
  <c r="C56" i="82"/>
  <c r="C65" i="82" s="1"/>
  <c r="C58" i="82" s="1"/>
  <c r="C67" i="82" s="1"/>
  <c r="C68" i="82" s="1"/>
  <c r="C71" i="82"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2"/>
  <c r="D2" i="33"/>
  <c r="L51" i="67"/>
  <c r="Q67" i="82" l="1"/>
  <c r="J16" i="82"/>
  <c r="J25" i="82" s="1"/>
  <c r="C40" i="82"/>
  <c r="Q69" i="82"/>
  <c r="Q68" i="82"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4"/>
  <c r="D2" i="37"/>
  <c r="C46" i="82" l="1"/>
  <c r="Q56" i="82"/>
  <c r="Q62" i="82" s="1"/>
  <c r="Q47" i="82"/>
  <c r="Q53" i="82" s="1"/>
  <c r="C43" i="82"/>
  <c r="Q65" i="82"/>
  <c r="Q75" i="82" s="1"/>
  <c r="B2" i="82"/>
  <c r="B3" i="82" s="1"/>
  <c r="C83" i="82"/>
  <c r="C82" i="82"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12" i="1"/>
  <c r="AO8" i="1"/>
  <c r="AO7"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2" i="9" l="1"/>
  <c r="D102" i="9"/>
  <c r="D21" i="9"/>
  <c r="G19" i="9"/>
  <c r="G21" i="9" s="1"/>
  <c r="B3" i="70"/>
  <c r="C35" i="9"/>
  <c r="C34" i="9"/>
  <c r="C42" i="40"/>
  <c r="C43" i="40"/>
  <c r="E47" i="40"/>
  <c r="F47" i="40" s="1"/>
  <c r="E46" i="40"/>
  <c r="F46" i="40" s="1"/>
  <c r="I47" i="40"/>
  <c r="J47" i="40" s="1"/>
  <c r="D20" i="9"/>
  <c r="C32" i="9" l="1"/>
  <c r="D35" i="9" s="1"/>
  <c r="D103" i="9"/>
  <c r="G20" i="9"/>
  <c r="D34"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101" i="9" l="1"/>
  <c r="D14" i="74"/>
  <c r="H107" i="9"/>
  <c r="D5" i="53"/>
  <c r="D45" i="9"/>
  <c r="P54" i="9" s="1"/>
  <c r="M48" i="9"/>
  <c r="F4" i="52"/>
  <c r="B51" i="72" s="1"/>
  <c r="C104" i="9"/>
  <c r="H119" i="9"/>
  <c r="H5" i="52" s="1"/>
  <c r="H4" i="52"/>
  <c r="D119" i="9"/>
  <c r="D5" i="52" s="1"/>
  <c r="B49" i="72" s="1"/>
  <c r="I118" i="9"/>
  <c r="G118" i="9"/>
  <c r="G4" i="52" s="1"/>
  <c r="B52" i="72" s="1"/>
  <c r="E14" i="74" l="1"/>
  <c r="F14" i="74"/>
  <c r="B5" i="74"/>
  <c r="D5" i="74" s="1"/>
  <c r="C85" i="9"/>
  <c r="D53" i="9"/>
  <c r="D48" i="9" s="1"/>
  <c r="M52" i="9" s="1"/>
  <c r="P52" i="9" s="1"/>
  <c r="D55" i="9"/>
  <c r="M53" i="9" s="1"/>
  <c r="P53" i="9" s="1"/>
  <c r="C72" i="9"/>
  <c r="C78" i="9"/>
  <c r="C73" i="9" s="1"/>
  <c r="C93" i="9"/>
  <c r="C86" i="9" s="1"/>
  <c r="D52" i="9"/>
  <c r="C64" i="9"/>
  <c r="C63" i="9" s="1"/>
  <c r="C67" i="9" s="1"/>
  <c r="C105" i="9"/>
  <c r="H102" i="9"/>
  <c r="H108" i="9" s="1"/>
  <c r="E118" i="9"/>
  <c r="E4" i="52" s="1"/>
  <c r="B48" i="72" s="1"/>
  <c r="I4" i="52"/>
  <c r="B20" i="72"/>
  <c r="D6" i="53"/>
  <c r="B22" i="72" s="1"/>
  <c r="D122" i="9"/>
  <c r="G14" i="74" s="1"/>
  <c r="B6" i="74" s="1"/>
  <c r="D6" i="74" s="1"/>
  <c r="M49" i="9"/>
  <c r="D13" i="53"/>
  <c r="P57" i="9" l="1"/>
  <c r="P59" i="9" s="1"/>
  <c r="I14" i="74" s="1"/>
  <c r="B8" i="74" s="1"/>
  <c r="D8" i="74" s="1"/>
  <c r="C79" i="9"/>
  <c r="C80" i="9" s="1"/>
  <c r="E80" i="9" s="1"/>
  <c r="E81" i="9" s="1"/>
  <c r="D59" i="9"/>
  <c r="M55" i="9" s="1"/>
  <c r="C68" i="9"/>
  <c r="D54" i="9" s="1"/>
  <c r="C5" i="74"/>
  <c r="D7" i="53"/>
  <c r="B21" i="72" s="1"/>
  <c r="D8" i="52"/>
  <c r="D123" i="9"/>
  <c r="D9" i="52" s="1"/>
  <c r="D15" i="53"/>
  <c r="B31" i="72" s="1"/>
  <c r="C6" i="74"/>
  <c r="B30" i="72"/>
  <c r="D14" i="53"/>
  <c r="B32" i="72" s="1"/>
  <c r="L66" i="9"/>
  <c r="M66" i="9" s="1"/>
  <c r="L64" i="9"/>
  <c r="M64" i="9" s="1"/>
  <c r="L65" i="9"/>
  <c r="M65" i="9" s="1"/>
  <c r="L68" i="9"/>
  <c r="M68" i="9" s="1"/>
  <c r="L67" i="9"/>
  <c r="M67" i="9" s="1"/>
  <c r="L63" i="9"/>
  <c r="M63" i="9" s="1"/>
  <c r="C95" i="9"/>
  <c r="C81" i="9" l="1"/>
  <c r="C96" i="9"/>
  <c r="E96" i="9" s="1"/>
  <c r="E97" i="9" s="1"/>
  <c r="M69" i="9"/>
  <c r="N69" i="9" s="1"/>
  <c r="C97" i="9" l="1"/>
  <c r="D58" i="9" s="1"/>
  <c r="D56" i="9" s="1"/>
  <c r="M54" i="9" s="1"/>
  <c r="N57" i="9" s="1"/>
  <c r="N58" i="9" l="1"/>
  <c r="N59" i="9"/>
  <c r="H111" i="9" l="1"/>
  <c r="N61" i="9"/>
  <c r="H112" i="9" s="1"/>
  <c r="N60" i="9"/>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<sst xmlns="http://schemas.openxmlformats.org/spreadsheetml/2006/main" count="11406" uniqueCount="4956">
  <si>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</si>
  <si>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</si>
  <si>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</si>
  <si>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</si>
  <si>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</si>
  <si>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</si>
  <si>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</si>
  <si>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</si>
  <si>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</si>
  <si>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</si>
  <si>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</si>
  <si>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</si>
  <si>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</si>
  <si>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</si>
  <si>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</si>
  <si>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</si>
  <si>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</si>
  <si>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</si>
  <si>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</si>
  <si>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</si>
  <si>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</si>
  <si>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</si>
  <si>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</si>
  <si>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</si>
  <si>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</si>
  <si>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</si>
  <si>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</si>
  <si>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</si>
  <si>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</si>
  <si>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</si>
  <si>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</si>
  <si>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</si>
  <si>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</si>
  <si>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</si>
  <si>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</si>
  <si>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</si>
  <si>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</si>
  <si>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</si>
  <si>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</si>
  <si>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</si>
  <si>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</si>
  <si>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</si>
  <si>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</si>
  <si>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</si>
  <si>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</si>
  <si>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</si>
  <si>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</si>
  <si>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</si>
  <si>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</si>
  <si>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</si>
  <si>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</si>
  <si>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</si>
  <si>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</si>
  <si>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</si>
  <si>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</si>
  <si>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</si>
  <si>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</si>
  <si>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</si>
  <si>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</si>
  <si>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</si>
  <si>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</si>
  <si>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</si>
  <si>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</si>
  <si>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</si>
  <si>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</si>
  <si>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</si>
  <si>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</si>
  <si>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</si>
  <si>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</si>
  <si>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</si>
  <si>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</si>
  <si>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</si>
  <si>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</si>
  <si>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</si>
  <si>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</si>
  <si>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</si>
  <si>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</si>
  <si>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</si>
  <si>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</si>
  <si>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</si>
  <si>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</si>
  <si>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</si>
  <si>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</si>
  <si>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</si>
  <si>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</si>
  <si>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</si>
  <si>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</si>
  <si>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</si>
  <si>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</si>
  <si>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</si>
  <si>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</si>
  <si>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</si>
  <si>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</si>
  <si>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</si>
  <si>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</si>
  <si>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</si>
  <si>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</si>
  <si>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</si>
  <si>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</si>
  <si>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</si>
  <si>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</si>
  <si>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</si>
  <si>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</si>
  <si>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</si>
  <si>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</si>
  <si>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</si>
  <si>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</si>
  <si>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</si>
  <si>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</si>
  <si>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</si>
  <si>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</si>
  <si>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</si>
  <si>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</si>
  <si>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</si>
  <si>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</si>
  <si>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</si>
  <si>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</si>
  <si>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</si>
  <si>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</si>
  <si>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</si>
  <si>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</si>
  <si>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</si>
  <si>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</si>
  <si>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</si>
  <si>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</si>
  <si>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</si>
  <si>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</si>
  <si>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</si>
  <si>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</si>
  <si>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</si>
  <si>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</si>
  <si>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</si>
  <si>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</si>
  <si>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</si>
  <si>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</si>
  <si>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</si>
  <si>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</si>
  <si>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</si>
  <si>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</si>
  <si>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</si>
  <si>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</si>
  <si>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</si>
  <si>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</si>
  <si>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</si>
  <si>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</si>
  <si>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</si>
  <si>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</si>
  <si>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</si>
  <si>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</si>
  <si>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</si>
  <si>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</si>
  <si>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</si>
  <si>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</si>
  <si>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</si>
  <si>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</si>
  <si>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</si>
  <si>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</si>
  <si>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</si>
  <si>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</si>
  <si>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</si>
  <si>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</si>
  <si>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</si>
  <si>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</si>
  <si>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</si>
  <si>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</si>
  <si>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</si>
  <si>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</si>
  <si>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</si>
  <si>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</si>
  <si>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</si>
  <si>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</si>
  <si>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</si>
  <si>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</si>
  <si>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</si>
  <si>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</si>
  <si>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</si>
  <si>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</si>
  <si>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</si>
  <si>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</si>
  <si>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</si>
  <si>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</si>
  <si>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</si>
  <si>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</si>
  <si>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</si>
  <si>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</si>
  <si>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</si>
  <si>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</si>
  <si>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</si>
  <si>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</si>
  <si>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</si>
  <si>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</si>
  <si>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</si>
  <si>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</si>
  <si>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</si>
  <si>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</si>
  <si>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</si>
  <si>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</si>
  <si>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</si>
  <si>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</si>
  <si>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</si>
  <si>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</si>
  <si>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</si>
  <si>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</si>
  <si>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</si>
  <si>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</si>
  <si>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</si>
  <si>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</si>
  <si>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</si>
  <si>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</si>
  <si>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</si>
  <si>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</si>
  <si>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</si>
  <si>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</si>
  <si>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</si>
  <si>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</si>
  <si>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</si>
  <si>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</si>
  <si>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</si>
  <si>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</si>
  <si>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</si>
  <si>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</si>
  <si>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</si>
  <si>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</si>
  <si>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</si>
  <si>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</si>
  <si>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</si>
  <si>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</si>
  <si>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</si>
  <si>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</si>
  <si>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</si>
  <si>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</si>
  <si>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</si>
  <si>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</si>
  <si>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</si>
  <si>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</si>
  <si>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</si>
  <si>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</si>
  <si>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</si>
  <si>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</si>
  <si>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</si>
  <si>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</si>
  <si>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</si>
  <si>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</si>
  <si>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</si>
  <si>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</si>
  <si>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</si>
  <si>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</si>
  <si>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</si>
  <si>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</si>
  <si>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</si>
  <si>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</si>
  <si>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</si>
  <si>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</si>
  <si>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</si>
  <si>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</si>
  <si>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</si>
  <si>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</si>
  <si>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</si>
  <si>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</si>
  <si>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</si>
  <si>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</si>
  <si>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</si>
  <si>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</si>
  <si>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</si>
  <si>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</si>
  <si>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</si>
  <si>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</si>
  <si>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</si>
  <si>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</si>
  <si>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</si>
  <si>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</si>
  <si>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</si>
  <si>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</si>
  <si>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</si>
  <si>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</si>
  <si>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</si>
  <si>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</si>
  <si>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</si>
  <si>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</si>
  <si>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</si>
  <si>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</si>
  <si>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</si>
  <si>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</si>
  <si>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</si>
  <si>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</si>
  <si>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</si>
  <si>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</si>
  <si>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</si>
  <si>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</si>
  <si>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</si>
  <si>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</si>
  <si>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</si>
  <si>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</si>
  <si>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</si>
  <si>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</si>
  <si>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</si>
  <si>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</si>
  <si>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</si>
  <si>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</si>
  <si>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</si>
  <si>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</si>
  <si>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</si>
  <si>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</si>
  <si>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</si>
  <si>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</si>
  <si>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</si>
  <si>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</si>
  <si>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</si>
  <si>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</si>
  <si>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</si>
  <si>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</si>
  <si>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</si>
  <si>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</si>
  <si>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</si>
  <si>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</si>
  <si>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</si>
  <si>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</si>
  <si>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</si>
  <si>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</si>
  <si>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</si>
  <si>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</si>
  <si>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</si>
  <si>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</si>
  <si>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</si>
  <si>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</si>
  <si>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</si>
  <si>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</si>
  <si>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</si>
  <si>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</si>
  <si>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</si>
  <si>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</si>
  <si>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</si>
  <si>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</si>
  <si>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</si>
  <si>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</si>
  <si>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</si>
  <si>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</si>
  <si>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</si>
  <si>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</si>
  <si>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</si>
  <si>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</si>
  <si>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</si>
  <si>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</si>
  <si>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</si>
  <si>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</si>
  <si>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</si>
  <si>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</si>
  <si>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</si>
  <si>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</si>
  <si>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</si>
  <si>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</si>
  <si>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</si>
  <si>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</si>
  <si>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</si>
  <si>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</si>
  <si>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</si>
  <si>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</si>
  <si>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</si>
  <si>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</si>
  <si>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</si>
  <si>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</si>
  <si>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</si>
  <si>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</si>
  <si>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</si>
  <si>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</si>
  <si>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</si>
  <si>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</si>
  <si>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</si>
  <si>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</si>
  <si>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</si>
  <si>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</si>
  <si>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</si>
  <si>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</si>
  <si>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</si>
  <si>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</si>
  <si>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</si>
  <si>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</si>
  <si>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</si>
  <si>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</si>
  <si>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</si>
  <si>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</si>
  <si>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</si>
  <si>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</si>
  <si>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</si>
  <si>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</si>
  <si>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</si>
  <si>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</si>
  <si>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</si>
  <si>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</si>
  <si>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</si>
  <si>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</si>
  <si>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</si>
  <si>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</si>
  <si>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</si>
  <si>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</si>
  <si>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</si>
  <si>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</si>
  <si>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</si>
  <si>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</si>
  <si>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</si>
  <si>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</si>
  <si>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</si>
  <si>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</si>
  <si>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</si>
  <si>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</si>
  <si>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</si>
  <si>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</si>
  <si>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</si>
  <si>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</si>
  <si>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</si>
  <si>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</si>
  <si>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</si>
  <si>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</si>
  <si>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</si>
  <si>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</si>
  <si>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</si>
  <si>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</si>
  <si>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</si>
  <si>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</si>
  <si>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</si>
  <si>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</si>
  <si>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</si>
  <si>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</si>
  <si>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</si>
  <si>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</si>
  <si>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</si>
  <si>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</si>
  <si>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</si>
  <si>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</si>
  <si>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</si>
  <si>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</si>
  <si>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</si>
  <si>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</si>
  <si>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</si>
  <si>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</si>
  <si>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</si>
  <si>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</si>
  <si>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</si>
  <si>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</si>
  <si>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</si>
  <si>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</si>
  <si>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</si>
  <si>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</si>
  <si>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</si>
  <si>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</si>
  <si>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</si>
  <si>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</si>
  <si>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</si>
  <si>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</si>
  <si>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</si>
  <si>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</si>
  <si>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</si>
  <si>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</si>
  <si>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</si>
  <si>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</si>
  <si>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</si>
  <si>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</si>
  <si>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</si>
  <si>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</si>
  <si>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</si>
  <si>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</si>
  <si>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</si>
  <si>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</si>
  <si>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</si>
  <si>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</si>
  <si>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</si>
  <si>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</si>
  <si>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</si>
  <si>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</si>
  <si>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</si>
  <si>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</si>
  <si>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</si>
  <si>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</si>
  <si>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</si>
  <si>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</si>
  <si>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</si>
  <si>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</si>
  <si>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</si>
  <si>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</si>
  <si>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</si>
  <si>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</si>
  <si>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</si>
  <si>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</si>
  <si>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</si>
  <si>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</si>
  <si>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</si>
  <si>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</si>
  <si>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</si>
  <si>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</si>
  <si>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</si>
  <si>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</si>
  <si>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</si>
  <si>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</si>
  <si>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</si>
  <si>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</si>
  <si>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</si>
  <si>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</si>
  <si>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</si>
  <si>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</si>
  <si>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</si>
  <si>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</si>
  <si>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</si>
  <si>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</si>
  <si>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</si>
  <si>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</si>
  <si>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</si>
  <si>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</si>
  <si>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</si>
  <si>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</si>
  <si>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</si>
  <si>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</si>
  <si>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</si>
  <si>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</si>
  <si>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</si>
  <si>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</si>
  <si>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</si>
  <si>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</si>
  <si>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</si>
  <si>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</si>
  <si>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</si>
  <si>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</si>
  <si>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</si>
  <si>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</si>
  <si>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</si>
  <si>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</si>
  <si>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</si>
  <si>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</si>
  <si>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</si>
  <si>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</si>
  <si>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</si>
  <si>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</si>
  <si>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</si>
  <si>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</si>
  <si>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</si>
  <si>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</si>
  <si>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</si>
  <si>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</si>
  <si>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</si>
  <si>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</si>
  <si>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</si>
  <si>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</si>
  <si>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</si>
  <si>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</si>
  <si>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</si>
  <si>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</si>
  <si>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</si>
  <si>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</si>
  <si>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</si>
  <si>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</si>
  <si>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</si>
  <si>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</si>
  <si>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</si>
  <si>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</si>
  <si>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</si>
  <si>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</si>
  <si>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</si>
  <si>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</si>
  <si>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</si>
  <si>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</si>
  <si>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</si>
  <si>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</si>
  <si>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</si>
  <si>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</si>
  <si>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</si>
  <si>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</si>
  <si>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</si>
  <si>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</si>
  <si>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</si>
  <si>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</si>
  <si>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</si>
  <si>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</si>
  <si>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</si>
  <si>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</si>
  <si>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</si>
  <si>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</si>
  <si>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</si>
  <si>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</si>
  <si>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</si>
  <si>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</si>
  <si>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</si>
  <si>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</si>
  <si>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</si>
  <si>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</si>
  <si>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</si>
  <si>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</si>
  <si>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</si>
  <si>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</si>
  <si>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</si>
  <si>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</si>
  <si>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</si>
  <si>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</si>
  <si>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</si>
  <si>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</si>
  <si>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</si>
  <si>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</si>
  <si>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</si>
  <si>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</si>
  <si>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</si>
  <si>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</si>
  <si>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</si>
  <si>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</si>
  <si>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</si>
  <si>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</si>
  <si>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</si>
  <si>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</si>
  <si>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</si>
  <si>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</si>
  <si>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</si>
  <si>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</si>
  <si>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</si>
  <si>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</si>
  <si>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</si>
  <si>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</si>
  <si>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</si>
  <si>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</si>
  <si>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</si>
  <si>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</si>
  <si>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</si>
  <si>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</si>
  <si>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</si>
  <si>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</si>
  <si>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</si>
  <si>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</si>
  <si>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</si>
  <si>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</si>
  <si>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</si>
  <si>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</si>
  <si>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</si>
  <si>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</si>
  <si>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</si>
  <si>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</si>
  <si>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</si>
  <si>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</si>
  <si>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</si>
  <si>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</si>
  <si>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</si>
  <si>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</si>
  <si>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</si>
  <si>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</si>
  <si>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</si>
  <si>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</si>
  <si>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</si>
  <si>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</si>
  <si>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</si>
  <si>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</si>
  <si>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</si>
  <si>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</si>
  <si>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</si>
  <si>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</si>
  <si>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</si>
  <si>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</si>
  <si>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</si>
  <si>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</si>
  <si>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</si>
  <si>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</si>
  <si>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</si>
  <si>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</si>
  <si>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</si>
  <si>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</si>
  <si>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</si>
  <si>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</si>
  <si>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</si>
  <si>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</si>
  <si>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</si>
  <si>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</si>
  <si>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</si>
  <si>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</si>
  <si>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</si>
  <si>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</si>
  <si>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</si>
  <si>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</si>
  <si>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</si>
  <si>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</si>
  <si>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</si>
  <si>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</si>
  <si>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</si>
  <si>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</si>
  <si>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</si>
  <si>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</si>
  <si>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</si>
  <si>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</si>
  <si>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</si>
  <si>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</si>
  <si>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</si>
  <si>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</si>
  <si>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</si>
  <si>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</si>
  <si>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</si>
  <si>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</si>
  <si>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</si>
  <si>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</si>
  <si>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</si>
  <si>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</si>
  <si>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</si>
  <si>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</si>
  <si>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</si>
  <si>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</si>
  <si>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</si>
  <si>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</si>
  <si>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</si>
  <si>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</si>
  <si>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</si>
  <si>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</si>
  <si>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</si>
  <si>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</si>
  <si>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</si>
  <si>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</si>
  <si>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</si>
  <si>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</si>
  <si>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</si>
  <si>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</si>
  <si>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</si>
  <si>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</si>
  <si>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</si>
  <si>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</si>
  <si>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</si>
  <si>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</si>
  <si>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</si>
  <si>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</si>
  <si>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</si>
  <si>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</si>
  <si>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</si>
  <si>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</si>
  <si>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</si>
  <si>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</si>
  <si>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</si>
  <si>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</si>
  <si>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</si>
  <si>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</si>
  <si>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</si>
  <si>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</si>
  <si>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</si>
  <si>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</si>
  <si>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</si>
  <si>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</si>
  <si>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</si>
  <si>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</si>
  <si>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</si>
  <si>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</si>
  <si>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</si>
  <si>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</si>
  <si>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</si>
  <si>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</si>
  <si>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</si>
  <si>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</si>
  <si>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</si>
  <si>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</si>
  <si>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</si>
  <si>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</si>
  <si>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</si>
  <si>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</si>
  <si>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</si>
  <si>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</si>
  <si>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</si>
  <si>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</si>
  <si>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</si>
  <si>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</si>
  <si>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</si>
  <si>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</si>
  <si>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</si>
  <si>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</si>
  <si>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</si>
  <si>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</si>
  <si>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</si>
  <si>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</si>
  <si>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</si>
  <si>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</si>
  <si>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</si>
  <si>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</si>
  <si>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</si>
  <si>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</si>
  <si>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</si>
  <si>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</si>
  <si>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</si>
  <si>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</si>
  <si>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</si>
  <si>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</si>
  <si>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</si>
  <si>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</si>
  <si>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</si>
  <si>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</si>
  <si>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</si>
  <si>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</si>
  <si>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</si>
  <si>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</si>
  <si>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</si>
  <si>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</si>
  <si>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</si>
  <si>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</si>
  <si>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</si>
  <si>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</si>
  <si>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</si>
  <si>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</si>
  <si>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</si>
  <si>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</si>
  <si>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</si>
  <si>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</si>
  <si>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</si>
  <si>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</si>
  <si>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</si>
  <si>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</si>
  <si>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</si>
  <si>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</si>
  <si>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</si>
  <si>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</si>
  <si>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</si>
  <si>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</si>
  <si>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</si>
  <si>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</si>
  <si>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</si>
  <si>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</si>
  <si>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</si>
  <si>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</si>
  <si>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</si>
  <si>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</si>
  <si>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</si>
  <si>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</si>
  <si>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</si>
  <si>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</si>
  <si>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</si>
  <si>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</si>
  <si>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</si>
  <si>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</si>
  <si>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</si>
  <si>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</si>
  <si>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</si>
  <si>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</si>
  <si>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</si>
  <si>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</si>
  <si>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</si>
  <si>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</si>
  <si>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</si>
  <si>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</si>
  <si>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</si>
  <si>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</si>
  <si>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</si>
  <si>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</si>
  <si>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</si>
  <si>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</si>
  <si>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</si>
  <si>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</si>
  <si>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</si>
  <si>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</si>
  <si>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</si>
  <si>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</si>
  <si>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</si>
  <si>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</si>
  <si>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</si>
  <si>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</si>
  <si>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</si>
  <si>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</si>
  <si>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</si>
  <si>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</si>
  <si>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</si>
  <si>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</si>
  <si>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</si>
  <si>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</si>
  <si>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</si>
  <si>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</si>
  <si>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</si>
  <si>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</si>
  <si>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</si>
  <si>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</si>
  <si>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</si>
  <si>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</si>
  <si>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</si>
  <si>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</si>
  <si>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</si>
  <si>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</si>
  <si>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</si>
  <si>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</si>
  <si>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</si>
  <si>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</si>
  <si>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</si>
  <si>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</si>
  <si>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</si>
  <si>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</si>
  <si>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</si>
  <si>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</si>
  <si>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</si>
  <si>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</si>
  <si>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</si>
  <si>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</si>
  <si>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</si>
  <si>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</si>
  <si>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</si>
  <si>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</si>
  <si>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</si>
  <si>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</si>
  <si>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</si>
  <si>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</si>
  <si>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</si>
  <si>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</si>
  <si>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</si>
  <si>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</si>
  <si>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</si>
  <si>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</si>
  <si>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</si>
  <si>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</si>
  <si>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</si>
  <si>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</si>
  <si>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</si>
  <si>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</si>
  <si>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</si>
  <si>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</si>
  <si>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</si>
  <si>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</si>
  <si>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</si>
  <si>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</si>
  <si>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</si>
  <si>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</si>
  <si>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</si>
  <si>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</si>
  <si>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</si>
  <si>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</si>
  <si>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</si>
  <si>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</si>
  <si>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</si>
  <si>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</si>
  <si>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</si>
  <si>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</si>
  <si>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</si>
  <si>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</si>
  <si>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</si>
  <si>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</si>
  <si>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</si>
  <si>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</si>
  <si>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</si>
  <si>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</si>
  <si>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</si>
  <si>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</si>
  <si>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</si>
  <si>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</si>
  <si>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</si>
  <si>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</si>
  <si>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</si>
  <si>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</si>
  <si>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</si>
  <si>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</si>
  <si>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</si>
  <si>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</si>
  <si>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</si>
  <si>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</si>
  <si>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</si>
  <si>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</si>
  <si>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</si>
  <si>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</si>
  <si>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</si>
  <si>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</si>
  <si>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</si>
  <si>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</si>
  <si>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</si>
  <si>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</si>
  <si>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</si>
  <si>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</si>
  <si>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</si>
  <si>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</si>
  <si>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</si>
  <si>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</si>
  <si>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</si>
  <si>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</si>
  <si>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</si>
  <si>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</si>
  <si>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</si>
  <si>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</si>
  <si>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</si>
  <si>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</si>
  <si>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</si>
  <si>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</si>
  <si>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</si>
  <si>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</si>
  <si>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</si>
  <si>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</si>
  <si>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</si>
  <si>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</si>
  <si>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</si>
  <si>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</si>
  <si>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</si>
  <si>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</si>
  <si>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</si>
  <si>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</si>
  <si>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</si>
  <si>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</si>
  <si>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</si>
  <si>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</si>
  <si>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</si>
  <si>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</si>
  <si>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</si>
  <si>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</si>
  <si>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</si>
  <si>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</si>
  <si>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</si>
  <si>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</si>
  <si>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</si>
  <si>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</si>
  <si>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</si>
  <si>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</si>
  <si>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</si>
  <si>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</si>
  <si>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</si>
  <si>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</si>
  <si>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</si>
  <si>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</si>
  <si>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</si>
  <si>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</si>
  <si>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</si>
  <si>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</si>
  <si>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</si>
  <si>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</si>
  <si>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</si>
  <si>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</si>
  <si>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</si>
  <si>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</si>
  <si>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</si>
  <si>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</si>
  <si>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</si>
  <si>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</si>
  <si>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</si>
  <si>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</si>
  <si>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</si>
  <si>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</si>
  <si>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</si>
  <si>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</si>
  <si>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</si>
  <si>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</si>
  <si>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</si>
  <si>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</si>
  <si>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</si>
  <si>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</si>
  <si>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</si>
  <si>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</si>
  <si>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</si>
  <si>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</si>
  <si>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</si>
  <si>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</si>
  <si>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</si>
  <si>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</si>
  <si>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</si>
  <si>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</si>
  <si>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</si>
  <si>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</si>
  <si>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</si>
  <si>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</si>
  <si>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</si>
  <si>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</si>
  <si>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</si>
  <si>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</si>
  <si>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</si>
  <si>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</si>
  <si>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</si>
  <si>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</si>
  <si>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</si>
  <si>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</si>
  <si>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</si>
  <si>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</si>
  <si>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</si>
  <si>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</si>
  <si>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</si>
  <si>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</si>
  <si>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</si>
  <si>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</si>
  <si>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</si>
  <si>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</si>
  <si>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</si>
  <si>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</si>
  <si>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</si>
  <si>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</si>
  <si>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</si>
  <si>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</si>
  <si>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</si>
  <si>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</si>
  <si>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</si>
  <si>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</si>
  <si>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</si>
  <si>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</si>
  <si>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</si>
  <si>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</si>
  <si>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</si>
  <si>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</si>
  <si>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</si>
  <si>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</si>
  <si>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</si>
  <si>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</si>
  <si>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</si>
  <si>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</si>
  <si>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</si>
  <si>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</si>
  <si>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</si>
  <si>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</si>
  <si>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</si>
  <si>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</si>
  <si>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</si>
  <si>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</si>
  <si>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</si>
  <si>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</si>
  <si>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</si>
  <si>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</si>
  <si>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</si>
  <si>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</si>
  <si>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</si>
  <si>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</si>
  <si>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</si>
  <si>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</si>
  <si>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</si>
  <si>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</si>
  <si>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</si>
  <si>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</si>
  <si>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</si>
  <si>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</si>
  <si>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</si>
  <si>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</si>
  <si>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</si>
  <si>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</si>
  <si>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</si>
  <si>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</si>
  <si>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</si>
  <si>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</si>
  <si>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</si>
  <si>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</si>
  <si>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</si>
  <si>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</si>
  <si>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</si>
  <si>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</si>
  <si>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</si>
  <si>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</si>
  <si>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</si>
  <si>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</si>
  <si>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</si>
  <si>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</si>
  <si>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</si>
  <si>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</si>
  <si>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</si>
  <si>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</si>
  <si>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</si>
  <si>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</si>
  <si>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</si>
  <si>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</si>
  <si>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</si>
  <si>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</si>
  <si>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</si>
  <si>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</si>
  <si>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</si>
  <si>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</si>
  <si>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</si>
  <si>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</si>
  <si>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</si>
  <si>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</si>
  <si>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</si>
  <si>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</si>
  <si>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</si>
  <si>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</si>
  <si>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</si>
  <si>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</si>
  <si>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</si>
  <si>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</si>
  <si>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</si>
  <si>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</si>
  <si>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</si>
  <si>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</si>
  <si>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</si>
  <si>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</si>
  <si>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</si>
  <si>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</si>
  <si>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</si>
  <si>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</si>
  <si>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</si>
  <si>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</si>
  <si>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</si>
  <si>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</si>
  <si>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</si>
  <si>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</si>
  <si>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</si>
  <si>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</si>
  <si>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</si>
  <si>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</si>
  <si>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</si>
  <si>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</si>
  <si>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</si>
  <si>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</si>
  <si>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</si>
  <si>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</si>
  <si>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</si>
  <si>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</si>
  <si>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</si>
  <si>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</si>
  <si>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</si>
  <si>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</si>
  <si>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</si>
  <si>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</si>
  <si>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</si>
  <si>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</si>
  <si>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</si>
  <si>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</si>
  <si>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</si>
  <si>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</si>
  <si>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</si>
  <si>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</si>
  <si>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</si>
  <si>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</si>
  <si>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</si>
  <si>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</si>
  <si>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</si>
  <si>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</si>
  <si>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</si>
  <si>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</si>
  <si>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</si>
  <si>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</si>
  <si>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</si>
  <si>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</si>
  <si>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</si>
  <si>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</si>
  <si>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</si>
  <si>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</si>
  <si>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</si>
  <si>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</si>
  <si>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</si>
  <si>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</si>
  <si>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</si>
  <si>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</si>
  <si>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</si>
  <si>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</si>
  <si>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</si>
  <si>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</si>
  <si>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</si>
  <si>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</si>
  <si>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</si>
  <si>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</si>
  <si>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</si>
  <si>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</si>
  <si>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</si>
  <si>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</si>
  <si>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</si>
  <si>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</si>
  <si>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</si>
  <si>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</si>
  <si>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</si>
  <si>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</si>
  <si>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</si>
  <si>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</si>
  <si>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</si>
  <si>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</si>
  <si>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</si>
  <si>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</si>
  <si>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</si>
  <si>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</si>
  <si>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</si>
  <si>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</si>
  <si>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</si>
  <si>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</si>
  <si>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</si>
  <si>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</si>
  <si>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</si>
  <si>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</si>
  <si>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</si>
  <si>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</si>
  <si>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</si>
  <si>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</si>
  <si>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</si>
  <si>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</si>
  <si>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</si>
  <si>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</si>
  <si>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</si>
  <si>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</si>
  <si>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</si>
  <si>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</si>
  <si>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</si>
  <si>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</si>
  <si>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</si>
  <si>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</si>
  <si>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</si>
  <si>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</si>
  <si>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</si>
  <si>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</si>
  <si>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</si>
  <si>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</si>
  <si>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</si>
  <si>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</si>
  <si>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</si>
  <si>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</si>
  <si>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</si>
  <si>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</si>
  <si>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</si>
  <si>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</si>
  <si>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</si>
  <si>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</si>
  <si>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</si>
  <si>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</si>
  <si>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</si>
  <si>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</si>
  <si>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</si>
  <si>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</si>
  <si>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</si>
  <si>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</si>
  <si>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</si>
  <si>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</si>
  <si>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</si>
  <si>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</si>
  <si>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</si>
  <si>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</si>
  <si>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</si>
  <si>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</si>
  <si>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</si>
  <si>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</si>
  <si>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</si>
  <si>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</si>
  <si>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</si>
  <si>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</si>
  <si>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</si>
  <si>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</si>
  <si>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</si>
  <si>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</si>
  <si>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</si>
  <si>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</si>
  <si>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</si>
  <si>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</si>
  <si>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</si>
  <si>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</si>
  <si>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</si>
  <si>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</si>
  <si>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</si>
  <si>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</si>
  <si>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</si>
  <si>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</si>
  <si>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</si>
  <si>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</si>
  <si>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</si>
  <si>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</si>
  <si>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</si>
  <si>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</si>
  <si>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</si>
  <si>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</si>
  <si>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</si>
  <si>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</si>
  <si>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</si>
  <si>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</si>
  <si>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</si>
  <si>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</si>
  <si>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</si>
  <si>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</si>
  <si>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</si>
  <si>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</si>
  <si>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</si>
  <si>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</si>
  <si>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</si>
  <si>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</si>
  <si>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</si>
  <si>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</si>
  <si>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</si>
  <si>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</si>
  <si>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</si>
  <si>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</si>
  <si>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</si>
  <si>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</si>
  <si>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</si>
  <si>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</si>
  <si>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</si>
  <si>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</si>
  <si>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</si>
  <si>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</si>
  <si>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</si>
  <si>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</si>
  <si>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</si>
  <si>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</si>
  <si>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</si>
  <si>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</si>
  <si>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</si>
  <si>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</si>
  <si>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</si>
  <si>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</si>
  <si>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</si>
  <si>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</si>
  <si>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</si>
  <si>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</si>
  <si>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</si>
  <si>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</si>
  <si>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</si>
  <si>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</si>
  <si>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</si>
  <si>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</si>
  <si>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</si>
  <si>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</si>
  <si>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</si>
  <si>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</si>
  <si>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</si>
  <si>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</si>
  <si>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</si>
  <si>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</si>
  <si>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</si>
  <si>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</si>
  <si>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</si>
  <si>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</si>
  <si>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</si>
  <si>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</si>
  <si>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</si>
  <si>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</si>
  <si>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</si>
  <si>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</si>
  <si>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</si>
  <si>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</si>
  <si>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</si>
  <si>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</si>
  <si>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</si>
  <si>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</si>
  <si>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</si>
  <si>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</si>
  <si>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</si>
  <si>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</si>
  <si>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</si>
  <si>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</si>
  <si>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</si>
  <si>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</si>
  <si>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</si>
  <si>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</si>
  <si>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</si>
  <si>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</si>
  <si>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</si>
  <si>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</si>
  <si>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</si>
  <si>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</si>
  <si>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</si>
  <si>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</si>
  <si>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</si>
  <si>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</si>
  <si>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</si>
  <si>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</si>
  <si>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</si>
  <si>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</si>
  <si>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</si>
  <si>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</si>
  <si>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</si>
  <si>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</si>
  <si>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</si>
  <si>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</si>
  <si>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</si>
  <si>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</si>
  <si>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</si>
  <si>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</si>
  <si>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</si>
  <si>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</si>
  <si>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</si>
  <si>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</si>
  <si>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</si>
  <si>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</si>
  <si>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</si>
  <si>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</si>
  <si>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</si>
  <si>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</si>
  <si>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</si>
  <si>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</si>
  <si>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</si>
  <si>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</si>
  <si>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</si>
  <si>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</si>
  <si>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</si>
  <si>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</si>
  <si>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</si>
  <si>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</si>
  <si>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</si>
  <si>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</si>
  <si>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</si>
  <si>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</si>
  <si>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</si>
  <si>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</si>
  <si>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</si>
  <si>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</si>
  <si>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</si>
  <si>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</si>
  <si>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</si>
  <si>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</si>
  <si>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</si>
  <si>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</si>
  <si>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</si>
  <si>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</si>
  <si>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</si>
  <si>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</si>
  <si>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</si>
  <si>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</si>
  <si>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</si>
  <si>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</si>
  <si>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</si>
  <si>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</si>
  <si>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</si>
  <si>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</si>
  <si>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</si>
  <si>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</si>
  <si>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</si>
  <si>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</si>
  <si>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</si>
  <si>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</si>
  <si>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</si>
  <si>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</si>
  <si>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</si>
  <si>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</si>
  <si>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</si>
  <si>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</si>
  <si>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</si>
  <si>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</si>
  <si>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</si>
  <si>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</si>
  <si>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</si>
  <si>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</si>
  <si>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</si>
  <si>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</si>
  <si>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</si>
  <si>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</si>
  <si>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</si>
  <si>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</si>
  <si>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</si>
  <si>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</si>
  <si>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</si>
  <si>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</si>
  <si>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</si>
  <si>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</si>
  <si>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</si>
  <si>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</si>
  <si>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</si>
  <si>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</si>
  <si>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</si>
  <si>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</si>
  <si>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</si>
  <si>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</si>
  <si>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</si>
  <si>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</si>
  <si>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</si>
  <si>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</si>
  <si>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</si>
  <si>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</si>
  <si>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</si>
  <si>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</si>
  <si>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</si>
  <si>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</si>
  <si>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</si>
  <si>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</si>
  <si>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</si>
  <si>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</si>
  <si>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</si>
  <si>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</si>
  <si>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</si>
  <si>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</si>
  <si>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</si>
  <si>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</si>
  <si>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</si>
  <si>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</si>
  <si>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</si>
  <si>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</si>
  <si>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</si>
  <si>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</si>
  <si>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</si>
  <si>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</si>
  <si>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</si>
  <si>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</si>
  <si>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</si>
  <si>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</si>
  <si>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</si>
  <si>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</si>
  <si>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</si>
  <si>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</si>
  <si>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</si>
  <si>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</si>
  <si>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</si>
  <si>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</si>
  <si>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</si>
  <si>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</si>
  <si>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</si>
  <si>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</si>
  <si>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</si>
  <si>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</si>
  <si>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</si>
  <si>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</si>
  <si>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</si>
  <si>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</si>
  <si>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</si>
  <si>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</si>
  <si>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</si>
  <si>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</si>
  <si>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</si>
  <si>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</si>
  <si>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</si>
  <si>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</si>
  <si>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</si>
  <si>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</si>
  <si>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</si>
  <si>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</si>
  <si>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</si>
  <si>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</si>
  <si>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</si>
  <si>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</si>
  <si>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</si>
  <si>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</si>
  <si>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</si>
  <si>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</si>
  <si>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</si>
  <si>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</si>
  <si>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</si>
  <si>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</si>
  <si>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</si>
  <si>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</si>
  <si>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</si>
  <si>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</si>
  <si>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</si>
  <si>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</si>
  <si>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</si>
  <si>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</si>
  <si>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</si>
  <si>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</si>
  <si>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</si>
  <si>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</si>
  <si>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</si>
  <si>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</si>
  <si>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</si>
  <si>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</si>
  <si>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</si>
  <si>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</si>
  <si>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</si>
  <si>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</si>
  <si>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</si>
  <si>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</si>
  <si>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</si>
  <si>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</si>
  <si>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</si>
  <si>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</si>
  <si>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</si>
  <si>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</si>
  <si>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</si>
  <si>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</si>
  <si>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</si>
  <si>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</si>
  <si>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</si>
  <si>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</si>
  <si>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</si>
  <si>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</si>
  <si>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</si>
  <si>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</si>
  <si>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</si>
  <si>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</si>
  <si>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</si>
  <si>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</si>
  <si>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</si>
  <si>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</si>
  <si>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</si>
  <si>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</si>
  <si>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</si>
  <si>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</si>
  <si>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</si>
  <si>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</si>
  <si>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</si>
  <si>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</si>
  <si>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</si>
  <si>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</si>
  <si>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</si>
  <si>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</si>
  <si>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</si>
  <si>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</si>
  <si>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</si>
  <si>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</si>
  <si>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</si>
  <si>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</si>
  <si>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</si>
  <si>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</si>
  <si>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</si>
  <si>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</si>
  <si>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</si>
  <si>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</si>
  <si>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</si>
  <si>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</si>
  <si>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</si>
  <si>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</si>
  <si>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</si>
  <si>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</si>
  <si>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</si>
  <si>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</si>
  <si>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</si>
  <si>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</si>
  <si>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</si>
  <si>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</si>
  <si>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</si>
  <si>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</si>
  <si>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</si>
  <si>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</si>
  <si>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</si>
  <si>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</si>
  <si>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</si>
  <si>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</si>
  <si>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</si>
  <si>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</si>
  <si>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</si>
  <si>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</si>
  <si>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</si>
  <si>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</si>
  <si>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</si>
  <si>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</si>
  <si>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</si>
  <si>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</si>
  <si>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</si>
  <si>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</si>
  <si>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</si>
  <si>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</si>
  <si>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</si>
  <si>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</si>
  <si>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</si>
  <si>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</si>
  <si>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</si>
  <si>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</si>
  <si>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</si>
  <si>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</si>
  <si>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</si>
  <si>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</si>
  <si>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</si>
  <si>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</si>
  <si>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</si>
  <si>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</si>
  <si>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</si>
  <si>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</si>
  <si>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</si>
  <si>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</si>
  <si>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</si>
  <si>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</si>
  <si>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</si>
  <si>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</si>
  <si>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</si>
  <si>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</si>
  <si>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</si>
  <si>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</si>
  <si>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</si>
  <si>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</si>
  <si>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</si>
  <si>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</si>
  <si>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</si>
  <si>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</si>
  <si>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</si>
  <si>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</si>
  <si>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</si>
  <si>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</si>
  <si>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</si>
  <si>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</si>
  <si>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</si>
  <si>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</si>
  <si>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</si>
  <si>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</si>
  <si>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</si>
  <si>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</si>
  <si>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</si>
  <si>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</si>
  <si>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</si>
  <si>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</si>
  <si>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</si>
  <si>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</si>
  <si>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</si>
  <si>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</si>
  <si>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</si>
  <si>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</si>
  <si>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</si>
  <si>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</si>
  <si>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</si>
  <si>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</si>
  <si>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</si>
  <si>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</si>
  <si>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</si>
  <si>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</si>
  <si>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</si>
  <si>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</si>
  <si>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</si>
  <si>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</si>
  <si>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</si>
  <si>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</si>
  <si>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</si>
  <si>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</si>
  <si>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</si>
  <si>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</si>
  <si>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</si>
  <si>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</si>
  <si>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</si>
  <si>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</si>
  <si>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</si>
  <si>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</si>
  <si>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</si>
  <si>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</si>
  <si>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</si>
  <si>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</si>
  <si>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</si>
  <si>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</si>
  <si>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</si>
  <si>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</si>
  <si>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</si>
  <si>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</si>
  <si>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</si>
  <si>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</si>
  <si>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</si>
  <si>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</si>
  <si>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</si>
  <si>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</si>
  <si>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</si>
  <si>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</si>
  <si>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</si>
  <si>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</si>
  <si>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</si>
  <si>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</si>
  <si>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</si>
  <si>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</si>
  <si>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</si>
  <si>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</si>
  <si>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</si>
  <si>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</si>
  <si>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</si>
  <si>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</si>
  <si>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</si>
  <si>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</si>
  <si>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</si>
  <si>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</si>
  <si>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</si>
  <si>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</si>
  <si>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</si>
  <si>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</si>
  <si>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</si>
  <si>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</si>
  <si>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</si>
  <si>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</si>
  <si>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</si>
  <si>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</si>
  <si>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</si>
  <si>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</si>
  <si>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</si>
  <si>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</si>
  <si>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</si>
  <si>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</si>
  <si>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</si>
  <si>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</si>
  <si>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</si>
  <si>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</si>
  <si>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</si>
  <si>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</si>
  <si>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</si>
  <si>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</si>
  <si>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</si>
  <si>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</si>
  <si>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</si>
  <si>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</si>
  <si>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</si>
  <si>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</si>
  <si>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</si>
  <si>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</si>
  <si>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</si>
  <si>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</si>
  <si>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</si>
  <si>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</si>
  <si>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</si>
  <si>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</si>
  <si>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</si>
  <si>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</si>
  <si>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</si>
  <si>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</si>
  <si>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</si>
  <si>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</si>
  <si>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</si>
  <si>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</si>
  <si>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</si>
  <si>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</si>
  <si>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</si>
  <si>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</si>
  <si>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</si>
  <si>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</si>
  <si>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</si>
  <si>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</si>
  <si>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</si>
  <si>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</si>
  <si>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</si>
  <si>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</si>
  <si>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</si>
  <si>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</si>
  <si>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</si>
  <si>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</si>
  <si>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</si>
  <si>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</si>
  <si>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</si>
  <si>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</si>
  <si>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</si>
  <si>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</si>
  <si>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</si>
  <si>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</si>
  <si>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</si>
  <si>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</si>
  <si>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</si>
  <si>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</si>
  <si>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</si>
  <si>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</si>
  <si>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</si>
  <si>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</si>
  <si>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</si>
  <si>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</si>
  <si>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</si>
  <si>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</si>
  <si>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</si>
  <si>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</si>
  <si>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</si>
  <si>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</si>
  <si>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</si>
  <si>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</si>
  <si>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</si>
  <si>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</si>
  <si>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</si>
  <si>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</si>
  <si>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</si>
  <si>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</si>
  <si>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</si>
  <si>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</si>
  <si>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</si>
  <si>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</si>
  <si>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</si>
  <si>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</si>
  <si>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</si>
  <si>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</si>
  <si>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</si>
  <si>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</si>
  <si>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</si>
  <si>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</si>
  <si>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</si>
  <si>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</si>
  <si>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</si>
  <si>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</si>
  <si>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</si>
  <si>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</si>
  <si>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</si>
  <si>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</si>
  <si>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</si>
  <si>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</si>
  <si>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</si>
  <si>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</si>
  <si>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</si>
  <si>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</si>
  <si>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</si>
  <si>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</si>
  <si>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</si>
  <si>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</si>
  <si>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</si>
  <si>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</si>
  <si>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</si>
  <si>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</si>
  <si>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</si>
  <si>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</si>
  <si>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</si>
  <si>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</si>
  <si>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</si>
  <si>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</si>
  <si>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</si>
  <si>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</si>
  <si>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</si>
  <si>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</si>
  <si>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</si>
  <si>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</si>
  <si>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</si>
  <si>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</si>
  <si>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</si>
  <si>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</si>
  <si>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</si>
  <si>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</si>
  <si>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</si>
  <si>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</si>
  <si>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</si>
  <si>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</si>
  <si>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</si>
  <si>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</si>
  <si>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</si>
  <si>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</si>
  <si>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</si>
  <si>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</si>
  <si>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</si>
  <si>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</si>
  <si>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</si>
  <si>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</si>
  <si>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</si>
  <si>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</si>
  <si>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</si>
  <si>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</si>
  <si>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</si>
  <si>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</si>
  <si>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</si>
  <si>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</si>
  <si>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</si>
  <si>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</si>
  <si>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</si>
  <si>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</si>
  <si>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</si>
  <si>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</si>
  <si>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</si>
  <si>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</si>
  <si>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</si>
  <si>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</si>
  <si>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</si>
  <si>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</si>
  <si>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</si>
  <si>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</si>
  <si>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</si>
  <si>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</si>
  <si>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</si>
  <si>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</si>
  <si>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</si>
  <si>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</si>
  <si>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</si>
  <si>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</si>
  <si>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</si>
  <si>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</si>
  <si>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</si>
  <si>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</si>
  <si>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</si>
  <si>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</si>
  <si>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</si>
  <si>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</si>
  <si>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</si>
  <si>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</si>
  <si>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</si>
  <si>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</si>
  <si>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</si>
  <si>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</si>
  <si>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</si>
  <si>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</si>
  <si>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</si>
  <si>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</si>
  <si>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</si>
  <si>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</si>
  <si>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</si>
  <si>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</si>
  <si>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</si>
  <si>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</si>
  <si>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</si>
  <si>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</si>
  <si>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</si>
  <si>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</si>
  <si>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</si>
  <si>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</si>
  <si>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</si>
  <si>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</si>
  <si>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</si>
  <si>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</si>
  <si>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</si>
  <si>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</si>
  <si>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</si>
  <si>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</si>
  <si>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</si>
  <si>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</si>
  <si>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</si>
  <si>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</si>
  <si>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</si>
  <si>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</si>
  <si>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</si>
  <si>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</si>
  <si>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</si>
  <si>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</si>
  <si>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</si>
  <si>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</si>
  <si>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</si>
  <si>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</si>
  <si>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</si>
  <si>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</si>
  <si>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</si>
  <si>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</si>
  <si>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</si>
  <si>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</si>
  <si>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</si>
  <si>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</si>
  <si>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</si>
  <si>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</si>
  <si>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</si>
  <si>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</si>
  <si>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</si>
  <si>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</si>
  <si>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</si>
  <si>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</si>
  <si>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</si>
  <si>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</si>
  <si>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</si>
  <si>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</si>
  <si>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</si>
  <si>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</si>
  <si>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</si>
  <si>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</si>
  <si>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</si>
  <si>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</si>
  <si>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</si>
  <si>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</si>
  <si>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</si>
  <si>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</si>
  <si>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</si>
  <si>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</si>
  <si>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</si>
  <si>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</si>
  <si>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</si>
  <si>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</si>
  <si>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</si>
  <si>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</si>
  <si>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</si>
  <si>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</si>
  <si>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</si>
  <si>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</si>
  <si>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</si>
  <si>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</si>
  <si>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</si>
  <si>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</si>
  <si>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</si>
  <si>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</si>
  <si>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</si>
  <si>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</si>
  <si>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</si>
  <si>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</si>
  <si>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</si>
  <si>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</si>
  <si>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</si>
  <si>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</si>
  <si>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</si>
  <si>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</si>
  <si>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</si>
  <si>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</si>
  <si>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</si>
  <si>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</si>
  <si>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</si>
  <si>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</si>
  <si>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</si>
  <si>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</si>
  <si>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</si>
  <si>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</si>
  <si>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</si>
  <si>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</si>
  <si>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</si>
  <si>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</si>
  <si>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</si>
  <si>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</si>
  <si>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</si>
  <si>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</si>
  <si>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</si>
  <si>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</si>
  <si>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</si>
  <si>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</si>
  <si>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</si>
  <si>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</si>
  <si>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</si>
  <si>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</si>
  <si>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</si>
  <si>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</si>
  <si>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</si>
  <si>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</si>
  <si>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</si>
  <si>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</si>
  <si>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</si>
  <si>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</si>
  <si>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</si>
  <si>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</si>
  <si>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</si>
  <si>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</si>
  <si>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</si>
  <si>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</si>
  <si>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</si>
  <si>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</si>
  <si>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</si>
  <si>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</si>
  <si>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</si>
  <si>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</si>
  <si>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</si>
  <si>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</si>
  <si>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</si>
  <si>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</si>
  <si>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</si>
  <si>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</si>
  <si>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</si>
  <si>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</si>
  <si>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</si>
  <si>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</si>
  <si>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</si>
  <si>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</si>
  <si>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</si>
  <si>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</si>
  <si>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</si>
  <si>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</si>
  <si>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</si>
  <si>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</si>
  <si>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</si>
  <si>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</si>
  <si>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</si>
  <si>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</si>
  <si>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</si>
  <si>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</si>
  <si>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</si>
  <si>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</si>
  <si>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</si>
  <si>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</si>
  <si>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</si>
  <si>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</si>
  <si>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</si>
  <si>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</si>
  <si>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</si>
  <si>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</si>
  <si>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</si>
  <si>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</si>
  <si>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</si>
  <si>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</si>
  <si>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</si>
  <si>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</si>
  <si>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</si>
  <si>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</si>
  <si>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</si>
  <si>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</si>
  <si>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</si>
  <si>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</si>
  <si>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</si>
  <si>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</si>
  <si>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</si>
  <si>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</si>
  <si>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</si>
  <si>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</si>
  <si>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</si>
  <si>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</si>
  <si>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</si>
  <si>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</si>
  <si>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</si>
  <si>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</si>
  <si>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</si>
  <si>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</si>
  <si>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</si>
  <si>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</si>
  <si>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</si>
  <si>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</si>
  <si>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</si>
  <si>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</si>
  <si>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</si>
  <si>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</si>
  <si>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</si>
  <si>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</si>
  <si>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</si>
  <si>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</si>
  <si>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</si>
  <si>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</si>
  <si>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</si>
  <si>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</si>
  <si>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</si>
  <si>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</si>
  <si>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</si>
  <si>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</si>
  <si>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</si>
  <si>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</si>
  <si>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</si>
  <si>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</si>
  <si>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</si>
  <si>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</si>
  <si>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</si>
  <si>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</si>
  <si>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</si>
  <si>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</si>
  <si>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</si>
  <si>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</si>
  <si>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</si>
  <si>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</si>
  <si>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</si>
  <si>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</si>
  <si>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</si>
  <si>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</si>
  <si>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</si>
  <si>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</si>
  <si>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</si>
  <si>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</si>
  <si>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</si>
  <si>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</si>
  <si>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</si>
  <si>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</si>
  <si>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</si>
  <si>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</si>
  <si>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</si>
  <si>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</si>
  <si>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</si>
  <si>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</si>
  <si>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</si>
  <si>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</si>
  <si>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</si>
  <si>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</si>
  <si>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</si>
  <si>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</si>
  <si>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</si>
  <si>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</si>
  <si>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</si>
  <si>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</si>
  <si>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</si>
  <si>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</si>
  <si>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</si>
  <si>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</si>
  <si>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</si>
  <si>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</si>
  <si>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</si>
  <si>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</si>
  <si>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</si>
  <si>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</si>
  <si>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</si>
  <si>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</si>
  <si>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</si>
  <si>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</si>
  <si>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</si>
  <si>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</si>
  <si>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</si>
  <si>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</si>
  <si>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</si>
  <si>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</si>
  <si>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</si>
  <si>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</si>
  <si>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</si>
  <si>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</si>
  <si>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</si>
  <si>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</si>
  <si>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</si>
  <si>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</si>
  <si>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</si>
  <si>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</si>
  <si>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</si>
  <si>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</si>
  <si>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</si>
  <si>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</si>
  <si>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</si>
  <si>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</si>
  <si>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</si>
  <si>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</si>
  <si>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</si>
  <si>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</si>
  <si>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</si>
  <si>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</si>
  <si>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</si>
  <si>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</si>
  <si>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</si>
  <si>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</si>
  <si>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</si>
  <si>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</si>
  <si>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</si>
  <si>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</si>
  <si>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</si>
  <si>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</si>
  <si>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</si>
  <si>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</si>
  <si>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</si>
  <si>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</si>
  <si>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</si>
  <si>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</si>
  <si>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</si>
  <si>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</si>
  <si>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</si>
  <si>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</si>
  <si>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</si>
  <si>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</si>
  <si>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</si>
  <si>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</si>
  <si>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</si>
  <si>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</si>
  <si>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</si>
  <si>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</si>
  <si>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</si>
  <si>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</si>
  <si>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</si>
  <si>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</si>
  <si>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</si>
  <si>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</si>
  <si>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</si>
  <si>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</si>
  <si>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</si>
  <si>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</si>
  <si>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</si>
  <si>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</si>
  <si>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</si>
  <si>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</si>
  <si>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</si>
  <si>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</si>
  <si>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</si>
  <si>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</si>
  <si>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</si>
  <si>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</si>
  <si>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</si>
  <si>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</si>
  <si>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</si>
  <si>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</si>
  <si>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</si>
  <si>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</si>
  <si>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</si>
  <si>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</si>
  <si>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</si>
  <si>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</si>
  <si>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</si>
  <si>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</si>
  <si>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</si>
  <si>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</si>
  <si>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</si>
  <si>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</si>
  <si>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</si>
  <si>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</si>
  <si>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</si>
  <si>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</si>
  <si>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</si>
  <si>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</si>
  <si>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</si>
  <si>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</si>
  <si>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</si>
  <si>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</si>
  <si>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</si>
  <si>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</si>
  <si>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</si>
  <si>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</si>
  <si>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</si>
  <si>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</si>
  <si>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</si>
  <si>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</si>
  <si>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</si>
  <si>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</si>
  <si>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</si>
  <si>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</si>
  <si>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</si>
  <si>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</si>
  <si>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</si>
  <si>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</si>
  <si>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</si>
  <si>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</si>
  <si>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</si>
  <si>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</si>
  <si>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</si>
  <si>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</si>
  <si>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</si>
  <si>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</si>
  <si>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</si>
  <si>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</si>
  <si>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</si>
  <si>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</si>
  <si>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</si>
  <si>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</si>
  <si>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</si>
  <si>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</si>
  <si>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</si>
  <si>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</si>
  <si>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</si>
  <si>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</si>
  <si>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</si>
  <si>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</si>
  <si>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</si>
  <si>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</si>
  <si>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</si>
  <si>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</si>
  <si>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</si>
  <si>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</si>
  <si>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</si>
  <si>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</si>
  <si>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</si>
  <si>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</si>
  <si>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</si>
  <si>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</si>
  <si>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</si>
  <si>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</si>
  <si>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</si>
  <si>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</si>
  <si>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</si>
  <si>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</si>
  <si>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</si>
  <si>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</si>
  <si>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</si>
  <si>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</si>
  <si>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</si>
  <si>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</si>
  <si>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</si>
  <si>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</si>
  <si>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</si>
  <si>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</si>
  <si>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</si>
  <si>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</si>
  <si>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</si>
  <si>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</si>
  <si>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</si>
  <si>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</si>
  <si>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</si>
  <si>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</si>
  <si>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</si>
  <si>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</si>
  <si>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</si>
  <si>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</si>
  <si>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</si>
  <si>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</si>
  <si>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</si>
  <si>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</si>
  <si>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</si>
  <si>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</si>
  <si>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</si>
  <si>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</si>
  <si>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</si>
  <si>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</si>
  <si>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</si>
  <si>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</si>
  <si>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</si>
  <si>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</si>
  <si>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</si>
  <si>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</si>
  <si>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</si>
  <si>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</si>
  <si>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</si>
  <si>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</si>
  <si>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</si>
  <si>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</si>
  <si>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</si>
  <si>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</si>
  <si>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</si>
  <si>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</si>
  <si>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</si>
  <si>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</si>
  <si>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</si>
  <si>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</si>
  <si>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</si>
  <si>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</si>
  <si>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</si>
  <si>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</si>
  <si>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</si>
  <si>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</si>
  <si>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</si>
  <si>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</si>
  <si>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</si>
  <si>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</si>
  <si>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</si>
  <si>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</si>
  <si>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</si>
  <si>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</si>
  <si>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</si>
  <si>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</si>
  <si>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</si>
  <si>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</si>
  <si>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</si>
  <si>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</si>
  <si>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</si>
  <si>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</si>
  <si>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</si>
  <si>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</si>
  <si>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</si>
  <si>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</si>
  <si>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</si>
  <si>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</si>
  <si>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</si>
  <si>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</si>
  <si>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</si>
  <si>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</si>
  <si>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</si>
  <si>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</si>
  <si>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</si>
  <si>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</si>
  <si>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</si>
  <si>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</si>
  <si>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</si>
  <si>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</si>
  <si>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</si>
  <si>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</si>
  <si>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</si>
  <si>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</si>
  <si>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</si>
  <si>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</si>
  <si>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</si>
  <si>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</si>
  <si>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</si>
  <si>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</si>
  <si>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</si>
  <si>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</si>
  <si>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</si>
  <si>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</si>
  <si>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</si>
  <si>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</si>
  <si>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</si>
  <si>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</si>
  <si>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</si>
  <si>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</si>
  <si>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</si>
  <si>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</si>
  <si>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</si>
  <si>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</si>
  <si>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</si>
  <si>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</si>
  <si>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</si>
  <si>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</si>
  <si>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</si>
  <si>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</si>
  <si>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</si>
  <si>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</si>
  <si>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</si>
  <si>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</si>
  <si>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</si>
  <si>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</si>
  <si>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</si>
  <si>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</si>
  <si>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</si>
  <si>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</si>
  <si>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</si>
  <si>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</si>
  <si>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</si>
  <si>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</si>
  <si>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</si>
  <si>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</si>
  <si>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</si>
  <si>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</si>
  <si>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</si>
  <si>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</si>
  <si>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</si>
  <si>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</si>
  <si>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</si>
  <si>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</si>
  <si>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</si>
  <si>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</si>
  <si>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</si>
  <si>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</si>
  <si>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</si>
  <si>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</si>
  <si>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</si>
  <si>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</si>
  <si>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</si>
  <si>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</si>
  <si>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</si>
  <si>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</si>
  <si>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</si>
  <si>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</si>
  <si>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</si>
  <si>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</si>
  <si>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</si>
  <si>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</si>
  <si>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</si>
  <si>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</si>
  <si>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</si>
  <si>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</si>
  <si>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</si>
  <si>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</si>
  <si>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</si>
  <si>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</si>
  <si>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</si>
  <si>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</si>
  <si>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</si>
  <si>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</si>
  <si>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</si>
  <si>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</si>
  <si>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</si>
  <si>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</si>
  <si>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</si>
  <si>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</si>
  <si>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</si>
  <si>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</si>
  <si>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</si>
  <si>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</si>
  <si>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</si>
  <si>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</si>
  <si>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</si>
  <si>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</si>
  <si>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</si>
  <si>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</si>
  <si>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</si>
  <si>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</si>
  <si>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</si>
  <si>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</si>
  <si>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</si>
  <si>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</si>
  <si>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</si>
  <si>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</si>
  <si>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</si>
  <si>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</si>
  <si>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</si>
  <si>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</si>
  <si>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</si>
  <si>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</si>
  <si>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</si>
  <si>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</si>
  <si>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</si>
  <si>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</si>
  <si>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</si>
  <si>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</si>
  <si>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</si>
  <si>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</si>
  <si>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</si>
  <si>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</si>
  <si>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</si>
  <si>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</si>
  <si>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</si>
  <si>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</si>
  <si>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</si>
  <si>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</si>
  <si>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</si>
  <si>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</si>
  <si>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</si>
  <si>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</si>
  <si>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</si>
  <si>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</si>
  <si>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</si>
  <si>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</si>
  <si>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</si>
  <si>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</si>
  <si>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</si>
  <si>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</si>
  <si>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</si>
  <si>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</si>
  <si>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</si>
  <si>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</si>
  <si>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</si>
  <si>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</si>
  <si>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</si>
  <si>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</si>
  <si>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</si>
  <si>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</si>
  <si>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</si>
  <si>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</si>
  <si>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</si>
  <si>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</si>
  <si>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</si>
  <si>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</si>
  <si>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</si>
  <si>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</si>
  <si>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</si>
  <si>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</si>
  <si>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</si>
  <si>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</si>
  <si>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</si>
  <si>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</si>
  <si>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</si>
  <si>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</si>
  <si>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</si>
  <si>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</si>
  <si>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</si>
  <si>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</si>
  <si>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</si>
  <si>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</si>
  <si>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</si>
  <si>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</si>
  <si>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</si>
  <si>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</si>
  <si>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</si>
  <si>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</si>
  <si>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</si>
  <si>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</si>
  <si>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</si>
  <si>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</si>
  <si>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</si>
  <si>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</si>
  <si>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</si>
  <si>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</si>
  <si>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</si>
  <si>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</si>
  <si>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</si>
  <si>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</si>
  <si>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</si>
  <si>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</si>
  <si>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</si>
  <si>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</si>
  <si>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</si>
  <si>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</si>
  <si>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</si>
  <si>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</si>
  <si>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</si>
  <si>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</si>
  <si>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</si>
  <si>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</si>
  <si>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</si>
  <si>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</si>
  <si>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</si>
  <si>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</si>
  <si>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</si>
  <si>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</si>
  <si>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</si>
  <si>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</si>
  <si>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</si>
  <si>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</si>
  <si>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</si>
  <si>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</si>
  <si>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</si>
  <si>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</si>
  <si>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</si>
  <si>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</si>
  <si>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</si>
  <si>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</si>
  <si>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</si>
  <si>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</si>
  <si>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</si>
  <si>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</si>
  <si>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</si>
  <si>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</si>
  <si>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</si>
  <si>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</si>
  <si>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</si>
  <si>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</si>
  <si>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</si>
  <si>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</si>
  <si>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</si>
  <si>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</si>
  <si>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</si>
  <si>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</si>
  <si>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</si>
  <si>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</si>
  <si>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</si>
  <si>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</si>
  <si>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</si>
  <si>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</si>
  <si>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</si>
  <si>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</si>
  <si>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</si>
  <si>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</si>
  <si>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</si>
  <si>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</si>
  <si>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</si>
  <si>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</si>
  <si>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</si>
  <si>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</si>
  <si>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</si>
  <si>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</si>
  <si>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</si>
  <si>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</si>
  <si>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</si>
  <si>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</si>
  <si>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</si>
  <si>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</si>
  <si>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</si>
  <si>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</si>
  <si>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</si>
  <si>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</si>
  <si>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</si>
  <si>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</si>
  <si>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</si>
  <si>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</si>
  <si>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</si>
  <si>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</si>
  <si>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</si>
  <si>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</si>
  <si>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</si>
  <si>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</si>
  <si>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</si>
  <si>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</si>
  <si>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</si>
  <si>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</si>
  <si>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</si>
  <si>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</si>
  <si>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</si>
  <si>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</si>
  <si>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</si>
  <si>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</si>
  <si>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</si>
  <si>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</si>
  <si>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</si>
  <si>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</si>
  <si>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</si>
  <si>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</si>
  <si>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</si>
  <si>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</si>
  <si>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</si>
  <si>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</si>
  <si>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</si>
  <si>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</si>
  <si>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</si>
  <si>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</si>
  <si>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</si>
  <si>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</si>
  <si>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</si>
  <si>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</si>
  <si>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</si>
  <si>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</si>
  <si>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</si>
  <si>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</si>
  <si>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</si>
  <si>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</si>
  <si>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</si>
  <si>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</si>
  <si>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</si>
  <si>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</si>
  <si>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</si>
  <si>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</si>
  <si>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</si>
  <si>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</si>
  <si>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</si>
  <si>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</si>
  <si>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</si>
  <si>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</si>
  <si>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</si>
  <si>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</si>
  <si>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</si>
  <si>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</si>
  <si>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</si>
  <si>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</si>
  <si>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</si>
  <si>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</si>
  <si>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</si>
  <si>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</si>
  <si>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</si>
  <si>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</si>
  <si>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</si>
  <si>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</si>
  <si>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</si>
  <si>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</si>
  <si>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</si>
  <si>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</si>
  <si>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</si>
  <si>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</si>
  <si>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</si>
  <si>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</si>
  <si>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</si>
  <si>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</si>
  <si>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</si>
  <si>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</si>
  <si>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</si>
  <si>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</si>
  <si>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</si>
  <si>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</si>
  <si>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</si>
  <si>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</si>
  <si>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</si>
  <si>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</si>
  <si>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</si>
  <si>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</si>
  <si>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</si>
  <si>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</si>
  <si>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</si>
  <si>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</si>
  <si>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</si>
  <si>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</si>
  <si>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</si>
  <si>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</si>
  <si>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</si>
  <si>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</si>
  <si>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</si>
  <si>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</si>
  <si>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</si>
  <si>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</si>
  <si>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</si>
  <si>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</si>
  <si>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</si>
  <si>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</si>
  <si>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</si>
  <si>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</si>
  <si>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</si>
  <si>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</si>
  <si>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</si>
  <si>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</si>
  <si>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</si>
  <si>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</si>
  <si>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</si>
  <si>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</si>
  <si>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</si>
  <si>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</si>
  <si>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</si>
  <si>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</si>
  <si>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</si>
  <si>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</si>
  <si>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</si>
  <si>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</si>
  <si>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</si>
  <si>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</si>
  <si>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</si>
  <si>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</si>
  <si>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</si>
  <si>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</si>
  <si>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</si>
  <si>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</si>
  <si>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</si>
  <si>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</si>
  <si>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</si>
  <si>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</si>
  <si>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</si>
  <si>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</si>
  <si>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</si>
  <si>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</si>
  <si>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</si>
  <si>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</si>
  <si>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</si>
  <si>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</si>
  <si>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</si>
  <si>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</si>
  <si>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</si>
  <si>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</si>
  <si>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</si>
  <si>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</si>
  <si>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</si>
  <si>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</si>
  <si>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</si>
  <si>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</si>
  <si>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</si>
  <si>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</si>
  <si>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</si>
  <si>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</si>
  <si>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</si>
  <si>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</si>
  <si>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</si>
  <si>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</si>
  <si>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</si>
  <si>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</si>
  <si>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</si>
  <si>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</si>
  <si>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</si>
  <si>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</si>
  <si>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</si>
  <si>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</si>
  <si>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</si>
  <si>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</si>
  <si>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</si>
  <si>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</si>
  <si>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</si>
  <si>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</si>
  <si>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</si>
  <si>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</si>
  <si>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</si>
  <si>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</si>
  <si>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</si>
  <si>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</si>
  <si>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</si>
  <si>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</si>
  <si>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</si>
  <si>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</si>
  <si>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</si>
  <si>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</si>
  <si>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</si>
  <si>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</si>
  <si>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</si>
  <si>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</si>
  <si>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</si>
  <si>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</si>
  <si>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</si>
  <si>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</si>
  <si>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</si>
  <si>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</si>
  <si>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</si>
  <si>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</si>
  <si>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</si>
  <si>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</si>
  <si>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</si>
  <si>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</si>
  <si>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</si>
  <si>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</si>
  <si>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</si>
  <si>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</si>
  <si>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</si>
  <si>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</si>
  <si>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</si>
  <si>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</si>
  <si>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</si>
  <si>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</si>
  <si>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</si>
  <si>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</si>
  <si>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</si>
  <si>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</si>
  <si>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</si>
  <si>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</si>
  <si>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</si>
  <si>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</si>
  <si>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</si>
  <si>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</si>
  <si>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</si>
  <si>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</si>
  <si>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</si>
  <si>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</si>
  <si>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</si>
  <si>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</si>
  <si>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</si>
  <si>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</si>
  <si>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</si>
  <si>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</si>
  <si>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</si>
  <si>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</si>
  <si>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</si>
  <si>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</si>
  <si>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</si>
  <si>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</si>
  <si>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</si>
  <si>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</si>
  <si>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</si>
  <si>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</si>
  <si>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</si>
  <si>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</si>
  <si>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</si>
  <si>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</si>
  <si>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</si>
  <si>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</si>
  <si>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</si>
  <si>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</si>
  <si>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</si>
  <si>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</si>
  <si>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</si>
  <si>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</si>
  <si>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</si>
  <si>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</si>
  <si>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</si>
  <si>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</si>
  <si>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</si>
  <si>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</si>
  <si>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</si>
  <si>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</si>
  <si>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</si>
  <si>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</si>
  <si>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</si>
  <si>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</si>
  <si>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</si>
  <si>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</si>
  <si>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</si>
  <si>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</si>
  <si>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</si>
  <si>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</si>
  <si>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</si>
  <si>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</si>
  <si>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</si>
  <si>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</si>
  <si>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</si>
  <si>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</si>
  <si>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</si>
  <si>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</si>
  <si>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</si>
  <si>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</si>
  <si>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</si>
  <si>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</si>
  <si>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</si>
  <si>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</si>
  <si>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</si>
  <si>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</si>
  <si>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</si>
  <si>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</si>
  <si>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</si>
  <si>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</si>
  <si>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</si>
  <si>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</si>
  <si>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</si>
  <si>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</si>
  <si>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</si>
  <si>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</si>
  <si>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</si>
  <si>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</si>
  <si>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</si>
  <si>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</si>
  <si>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</si>
  <si>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</si>
  <si>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</si>
  <si>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</si>
  <si>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</si>
  <si>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</si>
  <si>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</si>
  <si>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</si>
  <si>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</si>
  <si>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</si>
  <si>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</si>
  <si>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</si>
  <si>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</si>
  <si>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</si>
  <si>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</si>
  <si>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</si>
  <si>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</si>
  <si>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</si>
  <si>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</si>
  <si>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</si>
  <si>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</si>
  <si>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</si>
  <si>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</si>
  <si>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</si>
  <si>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</si>
  <si>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</si>
  <si>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</si>
  <si>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</si>
  <si>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</si>
  <si>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</si>
  <si>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</si>
  <si>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</si>
  <si>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</si>
  <si>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</si>
  <si>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</si>
  <si>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</si>
  <si>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</si>
  <si>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</si>
  <si>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</si>
  <si>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</si>
  <si>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</si>
  <si>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</si>
  <si>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</si>
  <si>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</si>
  <si>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</si>
  <si>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</si>
  <si>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</si>
  <si>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</si>
  <si>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</si>
  <si>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</si>
  <si>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</si>
  <si>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</si>
  <si>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</si>
  <si>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</si>
  <si>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</si>
  <si>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</si>
  <si>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</si>
  <si>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</si>
  <si>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</si>
  <si>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</si>
  <si>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</si>
  <si>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</si>
  <si>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</si>
  <si>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</si>
  <si>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</si>
  <si>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</si>
  <si>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</si>
  <si>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</si>
  <si>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</si>
  <si>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</si>
  <si>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</si>
  <si>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</si>
  <si>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</si>
  <si>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</si>
  <si>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</si>
  <si>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</si>
  <si>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</si>
  <si>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</si>
  <si>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</si>
  <si>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</si>
  <si>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</si>
  <si>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</si>
  <si>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</si>
  <si>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</si>
  <si>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</si>
  <si>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</si>
  <si>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</si>
  <si>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</si>
  <si>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</si>
  <si>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</si>
  <si>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</si>
  <si>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</si>
  <si>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</si>
  <si>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</si>
  <si>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</si>
  <si>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</si>
  <si>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</si>
  <si>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</si>
  <si>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</si>
  <si>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</si>
  <si>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</si>
  <si>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</si>
  <si>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</si>
  <si>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</si>
  <si>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</si>
  <si>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</si>
  <si>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</si>
  <si>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</si>
  <si>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</si>
  <si>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</si>
  <si>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</si>
  <si>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</si>
  <si>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</si>
  <si>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</si>
  <si>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</si>
  <si>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</si>
  <si>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</si>
  <si>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</si>
  <si>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</si>
  <si>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</si>
  <si>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</si>
  <si>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</si>
  <si>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</si>
  <si>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</si>
  <si>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</si>
  <si>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</si>
  <si>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</si>
  <si>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</si>
  <si>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</si>
  <si>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</si>
  <si>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</si>
  <si>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</si>
  <si>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</si>
  <si>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</si>
  <si>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</si>
  <si>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</si>
  <si>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</si>
  <si>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</si>
  <si>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</si>
  <si>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</si>
  <si>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</si>
  <si>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</si>
  <si>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</si>
  <si>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</si>
  <si>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</si>
  <si>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</si>
  <si>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</si>
  <si>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</si>
  <si>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</si>
  <si>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</si>
  <si>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</si>
  <si>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</si>
  <si>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</si>
  <si>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</si>
  <si>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</si>
  <si>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</si>
  <si>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</si>
  <si>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</si>
  <si>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</si>
  <si>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</si>
  <si>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</si>
  <si>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</si>
  <si>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</si>
  <si>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</si>
  <si>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</si>
  <si>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</si>
  <si>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</si>
  <si>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</si>
  <si>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</si>
  <si>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</si>
  <si>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</si>
  <si>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</si>
  <si>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</si>
  <si>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</si>
  <si>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</si>
  <si>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</si>
  <si>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</si>
  <si>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</si>
  <si>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</si>
  <si>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</si>
  <si>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</si>
  <si>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</si>
  <si>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</si>
  <si>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</si>
  <si>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</si>
  <si>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</si>
  <si>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</si>
  <si>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</si>
  <si>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</si>
  <si>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</si>
  <si>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</si>
  <si>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</si>
  <si>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</si>
  <si>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</si>
  <si>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</si>
  <si>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</si>
  <si>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</si>
  <si>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</si>
  <si>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</si>
  <si>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</si>
  <si>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</si>
  <si>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</si>
  <si>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</si>
  <si>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</si>
  <si>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</si>
  <si>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</si>
  <si>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</si>
  <si>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</si>
  <si>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</si>
  <si>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</si>
  <si>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</si>
  <si>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</si>
  <si>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</si>
  <si>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</si>
  <si>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</si>
  <si>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</si>
  <si>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</si>
  <si>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</si>
  <si>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</si>
  <si>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</si>
  <si>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</si>
  <si>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</si>
  <si>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</si>
  <si>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</si>
  <si>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</si>
  <si>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</si>
  <si>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</si>
  <si>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</si>
  <si>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</si>
  <si>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</si>
  <si>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</si>
  <si>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</si>
  <si>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</si>
  <si>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</si>
  <si>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</si>
  <si>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</si>
  <si>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</si>
  <si>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</si>
  <si>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</si>
  <si>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2022-4</t>
    <phoneticPr fontId="3" type="noConversion"/>
  </si>
  <si>
    <t>2023-1</t>
    <phoneticPr fontId="3" type="noConversion"/>
  </si>
  <si>
    <t>2023-2</t>
    <phoneticPr fontId="3" type="noConversion"/>
  </si>
  <si>
    <t>公示增长率-国家级样点（中心城区）</t>
    <phoneticPr fontId="140" type="noConversion"/>
  </si>
  <si>
    <t>公示增长率-市级样点（非中心城区）</t>
    <phoneticPr fontId="140"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</si>
  <si>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</si>
  <si>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</si>
  <si>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</si>
  <si>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</si>
  <si>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</si>
  <si>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</si>
  <si>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</si>
  <si>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</si>
  <si>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</si>
  <si>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</si>
  <si>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</si>
  <si>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</si>
  <si>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成新度</t>
  </si>
  <si>
    <t>直线</t>
    <phoneticPr fontId="3" type="noConversion"/>
  </si>
  <si>
    <t>押一</t>
  </si>
  <si>
    <t>钢混</t>
  </si>
  <si>
    <t>非生产用房</t>
  </si>
  <si>
    <t>不临65条商业街</t>
  </si>
  <si>
    <t>通路</t>
  </si>
  <si>
    <t>通电</t>
  </si>
  <si>
    <t>通讯</t>
  </si>
  <si>
    <t>通上水</t>
  </si>
  <si>
    <t>通下水</t>
  </si>
  <si>
    <t>平整</t>
  </si>
  <si>
    <t>较好</t>
  </si>
  <si>
    <t>一般</t>
  </si>
  <si>
    <t>好</t>
  </si>
  <si>
    <t>未包含在土地购买价格中</t>
  </si>
  <si>
    <t>全部缴纳</t>
  </si>
  <si>
    <t>已包含在土地取得成本中</t>
  </si>
  <si>
    <t>成本法</t>
  </si>
  <si>
    <t>总价</t>
  </si>
  <si>
    <t>自定义</t>
  </si>
  <si>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</si>
  <si>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</si>
  <si>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</si>
  <si>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</si>
  <si>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</si>
  <si>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</si>
  <si>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</si>
  <si>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</si>
  <si>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</si>
  <si>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</si>
  <si>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</si>
  <si>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</si>
  <si>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</si>
  <si>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</si>
  <si>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</si>
  <si>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</si>
  <si>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</si>
  <si>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</si>
  <si>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</si>
  <si>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</si>
  <si>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</si>
  <si>
    <t>楼栋</t>
  </si>
  <si>
    <t>房屋总层数</t>
  </si>
  <si>
    <t>总建筑面积</t>
  </si>
  <si>
    <t>厂房</t>
  </si>
  <si>
    <t>宿舍</t>
  </si>
  <si>
    <t>附属用房建筑面积</t>
  </si>
  <si>
    <t>地下建筑面积</t>
  </si>
  <si>
    <t>规划用途</t>
  </si>
  <si>
    <t>现状使用用途</t>
  </si>
  <si>
    <r>
      <t>1</t>
    </r>
    <r>
      <rPr>
        <sz val="9"/>
        <color theme="1"/>
        <rFont val="华文细黑"/>
        <family val="3"/>
        <charset val="134"/>
      </rPr>
      <t>号楼、</t>
    </r>
    <r>
      <rPr>
        <sz val="9"/>
        <color theme="1"/>
        <rFont val="Arial"/>
        <family val="2"/>
      </rPr>
      <t>2</t>
    </r>
    <r>
      <rPr>
        <sz val="9"/>
        <color theme="1"/>
        <rFont val="华文细黑"/>
        <family val="3"/>
        <charset val="134"/>
      </rPr>
      <t>号楼、</t>
    </r>
    <r>
      <rPr>
        <sz val="9"/>
        <color theme="1"/>
        <rFont val="Arial"/>
        <family val="2"/>
      </rPr>
      <t>21</t>
    </r>
    <r>
      <rPr>
        <sz val="9"/>
        <color theme="1"/>
        <rFont val="华文细黑"/>
        <family val="3"/>
        <charset val="134"/>
      </rPr>
      <t>幢</t>
    </r>
  </si>
  <si>
    <r>
      <t>10</t>
    </r>
    <r>
      <rPr>
        <sz val="9"/>
        <color theme="1"/>
        <rFont val="华文细黑"/>
        <family val="3"/>
        <charset val="134"/>
      </rPr>
      <t>（</t>
    </r>
    <r>
      <rPr>
        <sz val="9"/>
        <color theme="1"/>
        <rFont val="Arial"/>
        <family val="2"/>
      </rPr>
      <t>-1</t>
    </r>
    <r>
      <rPr>
        <sz val="9"/>
        <color theme="1"/>
        <rFont val="华文细黑"/>
        <family val="3"/>
        <charset val="134"/>
      </rPr>
      <t>）</t>
    </r>
  </si>
  <si>
    <t>宿舍及地下室</t>
  </si>
  <si>
    <t>宿舍及地下车库</t>
  </si>
  <si>
    <r>
      <t>3</t>
    </r>
    <r>
      <rPr>
        <sz val="9"/>
        <color theme="1"/>
        <rFont val="华文细黑"/>
        <family val="3"/>
        <charset val="134"/>
      </rPr>
      <t>～</t>
    </r>
    <r>
      <rPr>
        <sz val="9"/>
        <color theme="1"/>
        <rFont val="Arial"/>
        <family val="2"/>
      </rPr>
      <t>4</t>
    </r>
    <r>
      <rPr>
        <sz val="9"/>
        <color theme="1"/>
        <rFont val="华文细黑"/>
        <family val="3"/>
        <charset val="134"/>
      </rPr>
      <t>号楼</t>
    </r>
  </si>
  <si>
    <r>
      <t>5</t>
    </r>
    <r>
      <rPr>
        <sz val="9"/>
        <color theme="1"/>
        <rFont val="华文细黑"/>
        <family val="3"/>
        <charset val="134"/>
      </rPr>
      <t>号楼</t>
    </r>
  </si>
  <si>
    <r>
      <t>6</t>
    </r>
    <r>
      <rPr>
        <sz val="9"/>
        <color theme="1"/>
        <rFont val="华文细黑"/>
        <family val="3"/>
        <charset val="134"/>
      </rPr>
      <t>号楼</t>
    </r>
  </si>
  <si>
    <r>
      <t>7</t>
    </r>
    <r>
      <rPr>
        <sz val="9"/>
        <color theme="1"/>
        <rFont val="华文细黑"/>
        <family val="3"/>
        <charset val="134"/>
      </rPr>
      <t>号楼</t>
    </r>
  </si>
  <si>
    <r>
      <t>8</t>
    </r>
    <r>
      <rPr>
        <sz val="9"/>
        <color theme="1"/>
        <rFont val="华文细黑"/>
        <family val="3"/>
        <charset val="134"/>
      </rPr>
      <t>号楼</t>
    </r>
  </si>
  <si>
    <r>
      <t>9</t>
    </r>
    <r>
      <rPr>
        <sz val="9"/>
        <color theme="1"/>
        <rFont val="华文细黑"/>
        <family val="3"/>
        <charset val="134"/>
      </rPr>
      <t>号楼</t>
    </r>
  </si>
  <si>
    <r>
      <t>10</t>
    </r>
    <r>
      <rPr>
        <sz val="9"/>
        <color theme="1"/>
        <rFont val="华文细黑"/>
        <family val="3"/>
        <charset val="134"/>
      </rPr>
      <t>号楼</t>
    </r>
  </si>
  <si>
    <r>
      <t>11</t>
    </r>
    <r>
      <rPr>
        <sz val="9"/>
        <color theme="1"/>
        <rFont val="华文细黑"/>
        <family val="3"/>
        <charset val="134"/>
      </rPr>
      <t>号楼</t>
    </r>
  </si>
  <si>
    <r>
      <t>12</t>
    </r>
    <r>
      <rPr>
        <sz val="9"/>
        <color theme="1"/>
        <rFont val="华文细黑"/>
        <family val="3"/>
        <charset val="134"/>
      </rPr>
      <t>号楼</t>
    </r>
  </si>
  <si>
    <r>
      <t>13</t>
    </r>
    <r>
      <rPr>
        <sz val="9"/>
        <color theme="1"/>
        <rFont val="华文细黑"/>
        <family val="3"/>
        <charset val="134"/>
      </rPr>
      <t>号楼</t>
    </r>
  </si>
  <si>
    <r>
      <t>14</t>
    </r>
    <r>
      <rPr>
        <sz val="9"/>
        <color theme="1"/>
        <rFont val="华文细黑"/>
        <family val="3"/>
        <charset val="134"/>
      </rPr>
      <t>号楼</t>
    </r>
  </si>
  <si>
    <r>
      <t>15</t>
    </r>
    <r>
      <rPr>
        <sz val="9"/>
        <color theme="1"/>
        <rFont val="华文细黑"/>
        <family val="3"/>
        <charset val="134"/>
      </rPr>
      <t>号楼</t>
    </r>
  </si>
  <si>
    <r>
      <t>16</t>
    </r>
    <r>
      <rPr>
        <sz val="9"/>
        <color theme="1"/>
        <rFont val="华文细黑"/>
        <family val="3"/>
        <charset val="134"/>
      </rPr>
      <t>号楼</t>
    </r>
  </si>
  <si>
    <r>
      <t>17</t>
    </r>
    <r>
      <rPr>
        <sz val="9"/>
        <color theme="1"/>
        <rFont val="华文细黑"/>
        <family val="3"/>
        <charset val="134"/>
      </rPr>
      <t>～</t>
    </r>
    <r>
      <rPr>
        <sz val="9"/>
        <color theme="1"/>
        <rFont val="Arial"/>
        <family val="2"/>
      </rPr>
      <t>18</t>
    </r>
    <r>
      <rPr>
        <sz val="9"/>
        <color theme="1"/>
        <rFont val="华文细黑"/>
        <family val="3"/>
        <charset val="134"/>
      </rPr>
      <t>号楼</t>
    </r>
  </si>
  <si>
    <r>
      <t>19</t>
    </r>
    <r>
      <rPr>
        <sz val="9"/>
        <color theme="1"/>
        <rFont val="华文细黑"/>
        <family val="3"/>
        <charset val="134"/>
      </rPr>
      <t>～</t>
    </r>
    <r>
      <rPr>
        <sz val="9"/>
        <color theme="1"/>
        <rFont val="Arial"/>
        <family val="2"/>
      </rPr>
      <t>20</t>
    </r>
    <r>
      <rPr>
        <sz val="9"/>
        <color theme="1"/>
        <rFont val="华文细黑"/>
        <family val="3"/>
        <charset val="134"/>
      </rPr>
      <t>号楼</t>
    </r>
  </si>
  <si>
    <t>建筑面积总计</t>
  </si>
  <si>
    <t>Ⅶ-BDA南</t>
  </si>
  <si>
    <t>办公楼</t>
  </si>
  <si>
    <t>办公用房</t>
  </si>
  <si>
    <t>办公用房</t>
    <phoneticPr fontId="7" type="noConversion"/>
  </si>
  <si>
    <t>宿舍用房</t>
  </si>
  <si>
    <t>宿舍用房</t>
    <phoneticPr fontId="7" type="noConversion"/>
  </si>
  <si>
    <t>所属项目</t>
  </si>
  <si>
    <t>合同状态</t>
  </si>
  <si>
    <t>合同编号</t>
  </si>
  <si>
    <t>合同签订日期</t>
  </si>
  <si>
    <t>承租方</t>
  </si>
  <si>
    <t>资源名称</t>
  </si>
  <si>
    <t>租赁总面积(建筑)</t>
  </si>
  <si>
    <t>合同开始日期</t>
  </si>
  <si>
    <t>合同结束日期</t>
  </si>
  <si>
    <t>租金日单价</t>
  </si>
  <si>
    <t>租金月单价</t>
  </si>
  <si>
    <t>月均租金</t>
  </si>
  <si>
    <t>履约押金</t>
  </si>
  <si>
    <t>物业押金</t>
  </si>
  <si>
    <t>合同总额(含押金)</t>
  </si>
  <si>
    <t>L-大族企业湾-租赁</t>
  </si>
  <si>
    <t>执行中</t>
  </si>
  <si>
    <t>X18-(8号楼&amp;12号楼)</t>
  </si>
  <si>
    <t>2015-04-14</t>
  </si>
  <si>
    <t>北京科华众生云计算科技有限公司</t>
  </si>
  <si>
    <t>12#楼-B座602单元,8#楼-B座502单元,12#楼-B座502单元,8#楼-B座402单元,12#楼-B座402单元,12#楼-B座302单元,8#楼-B座302单元,8#楼-B座202单元,12#楼-B座202单元,8#楼-B座102单元,12#楼-B座102单元,12#楼-A座601单元,12#楼-A座501单元,8#楼-A座501单元,12#楼-A座401单元,8#楼-A座401单元,12#楼-A座301单元,8#楼-A座301单元,12#楼-A座201单元,8#楼-A座201单元,8#楼-A座101单元,12#楼-A座101单元</t>
  </si>
  <si>
    <t>2015-04-15</t>
  </si>
  <si>
    <t>2025-04-14</t>
  </si>
  <si>
    <t>DZQYW2016-XZLHT-31-BC-02</t>
  </si>
  <si>
    <t>2019-07-26</t>
  </si>
  <si>
    <t>菲仕绿能科技（北京）有限公司</t>
  </si>
  <si>
    <t>11#楼-B座202单元</t>
  </si>
  <si>
    <t>2019-08-01</t>
  </si>
  <si>
    <t>2024-07-31</t>
  </si>
  <si>
    <t>DZQYW-XZLHT-2019-017</t>
  </si>
  <si>
    <t>2019-12-06</t>
  </si>
  <si>
    <t>昆皓睿诚医药研发（北京）有限公司</t>
  </si>
  <si>
    <t>16#楼-A座101单元,16#楼-B座102单元</t>
  </si>
  <si>
    <t>2019-11-01</t>
  </si>
  <si>
    <t>2026-03-31</t>
  </si>
  <si>
    <t>DZQYW-XZLHT-2020-001</t>
  </si>
  <si>
    <t>2019-12-27</t>
  </si>
  <si>
    <t>北京凌阳伟业科技有限公司</t>
  </si>
  <si>
    <t>11#楼-B座402单元</t>
  </si>
  <si>
    <t>2020-01-01</t>
  </si>
  <si>
    <t>2024-12-31</t>
  </si>
  <si>
    <t>DZQYW-XZLHT-2020-007</t>
  </si>
  <si>
    <t>2020-03-13</t>
  </si>
  <si>
    <t>北京美联泰科生物技术有限公司</t>
  </si>
  <si>
    <t>19#楼-B座202单元,19#楼-A座201单元,19#楼-19#楼2楼B座连廊</t>
  </si>
  <si>
    <t>2020-03-16</t>
  </si>
  <si>
    <t>2025-03-15</t>
  </si>
  <si>
    <t>DZQYW-XZLHT-2020-015</t>
  </si>
  <si>
    <t>2020-06-08</t>
  </si>
  <si>
    <t>北京海尔施医疗器械有限公司</t>
  </si>
  <si>
    <t>10#楼-B座402单元,10#楼-A座401单元</t>
  </si>
  <si>
    <t>2020-06-10</t>
  </si>
  <si>
    <t>2025-06-09</t>
  </si>
  <si>
    <t>DZQYW-XZLHT-2020-018</t>
  </si>
  <si>
    <t>北京睿智奥恒视觉科技有限公司</t>
  </si>
  <si>
    <t>7#楼-A座201单元</t>
  </si>
  <si>
    <t>2020-07-01</t>
  </si>
  <si>
    <t>2025-06-30</t>
  </si>
  <si>
    <t>DZQYW-XZLHT-2020-029</t>
  </si>
  <si>
    <t>2020-08-27</t>
  </si>
  <si>
    <t>北京据德医药科技有限公司</t>
  </si>
  <si>
    <t>4#楼-B座101单元</t>
  </si>
  <si>
    <t>2020-09-01</t>
  </si>
  <si>
    <t>2025-08-31</t>
  </si>
  <si>
    <t>DZQYW-XZLHT-2020-025续</t>
  </si>
  <si>
    <t>2020-08-10</t>
  </si>
  <si>
    <t>北京仕迈创工贸有限责任公司</t>
  </si>
  <si>
    <t>13#楼-A座201单元</t>
  </si>
  <si>
    <t>2020-10-01</t>
  </si>
  <si>
    <t>2025-09-30</t>
  </si>
  <si>
    <t>DZQYW-XZLHT-2020-024-续</t>
  </si>
  <si>
    <t>2020-08-28</t>
  </si>
  <si>
    <t>北京佳时正通科技有限责任公司</t>
  </si>
  <si>
    <t>9#楼-A座401单元</t>
  </si>
  <si>
    <t>2021-01-01</t>
  </si>
  <si>
    <t>2025-12-31</t>
  </si>
  <si>
    <t>DZQYW-XZLHT-2021-003</t>
  </si>
  <si>
    <t>2021-03-03</t>
  </si>
  <si>
    <t>北京默赛尔生物科技有限责任公司</t>
  </si>
  <si>
    <t>10#楼-B座602单元</t>
  </si>
  <si>
    <t>2021-03-01</t>
  </si>
  <si>
    <t>2026-02-28</t>
  </si>
  <si>
    <t>DZQYW-XZLHT-2021-005</t>
  </si>
  <si>
    <t>2021-03-31</t>
  </si>
  <si>
    <t>德鑫莱集团有限公司</t>
  </si>
  <si>
    <t>5#楼-A座302单元</t>
  </si>
  <si>
    <t>2021-04-01</t>
  </si>
  <si>
    <t>DZQYW-XZLHT-2020-034-续</t>
  </si>
  <si>
    <t>2020-11-09</t>
  </si>
  <si>
    <t>15#楼-B座302单元,15#楼-B座202单元,15#楼-B座102单元,15#楼-A座201单元,15#楼-A座101单元</t>
  </si>
  <si>
    <t>DZQYW-XZLHT-2021-013</t>
  </si>
  <si>
    <t>2021-05-07</t>
  </si>
  <si>
    <t>北京金品香餐饮管理有限公司</t>
  </si>
  <si>
    <t>13#楼-B座102单元,13#楼-A座101单元</t>
  </si>
  <si>
    <t>2021-05-01</t>
  </si>
  <si>
    <t>2026-04-30</t>
  </si>
  <si>
    <t>DZQYW-XZLHT-2021-007</t>
  </si>
  <si>
    <t>北京大族天成半导体技术有限公司</t>
  </si>
  <si>
    <t>17#楼-B座602单元,17#楼-A座601单元</t>
  </si>
  <si>
    <t>2024-10-31</t>
  </si>
  <si>
    <t>DZQYW2016-007-BC-02</t>
  </si>
  <si>
    <t>2021-05-24</t>
  </si>
  <si>
    <t>北京仪综测业科技发展有限公司</t>
  </si>
  <si>
    <t>14#楼-B座502单元,14#楼-B座402单元,14#楼-B座302单元,14#楼-B座202单元,14#楼-B座102单元</t>
    <phoneticPr fontId="132" type="noConversion"/>
  </si>
  <si>
    <t>DZ1307续1</t>
  </si>
  <si>
    <t>2021-04-12</t>
  </si>
  <si>
    <t>北京博全健医药科技有限公司</t>
  </si>
  <si>
    <t>2#楼-2317,2#楼-2315</t>
  </si>
  <si>
    <t>2021-05-03</t>
  </si>
  <si>
    <t>2024-05-02</t>
  </si>
  <si>
    <t>DZQYW-XZLHT-2020-014-续-BC-02</t>
  </si>
  <si>
    <t>2021-05-21</t>
  </si>
  <si>
    <t>北京发爵士个人形象策划有限公司</t>
  </si>
  <si>
    <t>1#楼-附楼101-01室</t>
  </si>
  <si>
    <t>2021-06-15</t>
  </si>
  <si>
    <t>2024-06-14</t>
  </si>
  <si>
    <t>DZQYW-02-201-BC-03</t>
  </si>
  <si>
    <t>2021-05-14</t>
  </si>
  <si>
    <t>北京亦隆伟业商贸有限公司</t>
  </si>
  <si>
    <t>2#楼-附楼201单元-1</t>
  </si>
  <si>
    <t>DZQYW2016-022-BC-02</t>
  </si>
  <si>
    <t>2021-07-08</t>
  </si>
  <si>
    <t>北京京仪自动化装备技术股份有限公司</t>
  </si>
  <si>
    <t>14#楼-A座501单元,14#楼-A座401单元,14#楼-A座201单元,14#楼-A座101单元</t>
  </si>
  <si>
    <t>2021-07-01</t>
  </si>
  <si>
    <t>2024-06-30</t>
  </si>
  <si>
    <t>DZQYW-XZLHT-2021-016</t>
  </si>
  <si>
    <t>2021-06-22</t>
  </si>
  <si>
    <t>北京长木谷医疗科技股份有限公司</t>
  </si>
  <si>
    <t>5#楼-B座301单元</t>
  </si>
  <si>
    <t>2021-07-10</t>
  </si>
  <si>
    <t>2024-07-09</t>
  </si>
  <si>
    <t>DZQYW2016-026-BC-02</t>
  </si>
  <si>
    <t>2021-03-05</t>
  </si>
  <si>
    <t>北京奥达清环境检测有限公司</t>
  </si>
  <si>
    <t>3#楼-B座602单元,3#楼-A座601单元,4#楼-6层A座连廊,3#楼-6层A座连廊</t>
  </si>
  <si>
    <t>2021-07-15</t>
  </si>
  <si>
    <t>2026-07-14</t>
  </si>
  <si>
    <t>DZQYW2016-032-BC-02</t>
  </si>
  <si>
    <t>2021-07-28</t>
  </si>
  <si>
    <t>北京航天华腾科技有限公司</t>
  </si>
  <si>
    <t>10#楼-A座501单元</t>
  </si>
  <si>
    <t>2021-08-15</t>
  </si>
  <si>
    <t>2026-08-14</t>
  </si>
  <si>
    <t>DZQYW-XZLHT-2019-009-BC-04</t>
  </si>
  <si>
    <t>2021-09-28</t>
  </si>
  <si>
    <t>北京汇福康科技有限公司</t>
  </si>
  <si>
    <t>18#楼-B座402单元</t>
  </si>
  <si>
    <t>2021-08-16</t>
  </si>
  <si>
    <t>2026-08-15</t>
  </si>
  <si>
    <t>DZQYW-XZLHT-2019-010-BC-02</t>
  </si>
  <si>
    <t>2021-05-09</t>
  </si>
  <si>
    <t>北京安和加利尔科技有限公司</t>
  </si>
  <si>
    <t>18#楼-B座502单元,18#楼-B座302单元,18#楼-B座202单元,18#楼-B座102单元,18#楼-A座501单元,18#楼-A座301单元,18#楼-A座201单元,18#楼-A座101单元,18#楼-5层B座连廊,18#楼-3层B座连廊,18#楼-2层B座连廊,17#楼-3层B座连廊,17#楼-2层B座连廊</t>
  </si>
  <si>
    <t>DZQYW-XZLHT-2019-009-BC-05</t>
  </si>
  <si>
    <t>18#楼-A座401单元,18#楼-4层B座连廊</t>
  </si>
  <si>
    <t>DZQYW-XZLHT-2021-017</t>
  </si>
  <si>
    <t>2021-08-24</t>
  </si>
  <si>
    <t>北京千挂科技有限公司</t>
  </si>
  <si>
    <t>7#楼-A座101单元</t>
  </si>
  <si>
    <t>2021-09-01</t>
  </si>
  <si>
    <t>2026-08-31</t>
  </si>
  <si>
    <t>DZQYW-XZLHT-2021-018</t>
  </si>
  <si>
    <t>2021-09-22</t>
  </si>
  <si>
    <t>纳克微束（北京）有限公司</t>
  </si>
  <si>
    <t>7#楼-B座402单元,7#楼-B座102单元</t>
  </si>
  <si>
    <t>2026-09-21</t>
  </si>
  <si>
    <t>DZQYW-XZLHT-2016-040-BC-02</t>
  </si>
  <si>
    <t>2021-09-30</t>
  </si>
  <si>
    <t>北京希格诺科技有限公司</t>
  </si>
  <si>
    <t>7#楼-B座502单元,7#楼-A座501单元</t>
  </si>
  <si>
    <t>2021-10-07</t>
  </si>
  <si>
    <t>2024-10-06</t>
  </si>
  <si>
    <t>DZQYW-XZLHT-2016-044-BC-03</t>
  </si>
  <si>
    <t>北京天助瑞畅医疗技术有限公司</t>
  </si>
  <si>
    <t>4#楼-B座602单元</t>
  </si>
  <si>
    <t>2021-10-25</t>
  </si>
  <si>
    <t>2026-10-24</t>
  </si>
  <si>
    <t>DZQYW-XZLHT-2021-023</t>
  </si>
  <si>
    <t>2021-11-17</t>
  </si>
  <si>
    <t>尤梯塞尔圣斯克自控科技（北京）有限公司</t>
  </si>
  <si>
    <t>16#楼-305单元</t>
  </si>
  <si>
    <t>2021-11-15</t>
  </si>
  <si>
    <t>2026-11-14</t>
  </si>
  <si>
    <t>DZQYW-XZLHT-2016-042-BC-03</t>
  </si>
  <si>
    <t>2021-10-15</t>
  </si>
  <si>
    <t>康龙化成（北京）新药技术股份有限公司</t>
  </si>
  <si>
    <t>20#楼-B座602单元,20#楼-B座502单元,20#楼-B座402单元,20#楼-B座302单元,20#楼-B座202单元,20#楼-B座102单元,20#楼-A座601单元,20#楼-A座501单元,20#楼-A座401单元,20#楼-A座301单元,20#楼-A座201单元,20#楼-A座101单元,20#楼-6层B座连廊,20#楼-5层B座连廊,20#楼-4层B座连廊,20#楼-3层B座连廊,20#楼-2层B座连廊</t>
  </si>
  <si>
    <t>2024-11-14</t>
  </si>
  <si>
    <t>DZQYW-XZLHT-2018-014-BC-02</t>
  </si>
  <si>
    <t>2021-08-10</t>
  </si>
  <si>
    <t>北京紫萌医药科技有限公司</t>
  </si>
  <si>
    <t>6#楼-B座502单元,6#楼-A座501单元</t>
  </si>
  <si>
    <t>2021-11-16</t>
  </si>
  <si>
    <t>2026-11-15</t>
  </si>
  <si>
    <t>X18-10-（1&amp;2）-DZQYW-续-BC-02</t>
  </si>
  <si>
    <t>2021-10-22</t>
  </si>
  <si>
    <t>控创（北京）科技有限公司</t>
  </si>
  <si>
    <t>10#楼-B座202单元,10#楼-B座102单元,10#楼-A座201单元,10#楼-A座101单元</t>
  </si>
  <si>
    <t>2021-11-20</t>
  </si>
  <si>
    <t>2026-11-19</t>
  </si>
  <si>
    <t>DZQYW-XZLHT-2021-021</t>
  </si>
  <si>
    <t>2021-11-05</t>
  </si>
  <si>
    <t>7#楼-A座401单元</t>
  </si>
  <si>
    <t>2021-11-22</t>
  </si>
  <si>
    <t>DZQYW-XZLHT-2021-024</t>
  </si>
  <si>
    <t>2021-11-24</t>
  </si>
  <si>
    <t>北京端点医药研究开发有限公司</t>
  </si>
  <si>
    <t>7#楼-A座601单元</t>
  </si>
  <si>
    <t>2021-12-01</t>
  </si>
  <si>
    <t>2024-11-30</t>
  </si>
  <si>
    <t>DZQYW-XZLHT-2020-034-续-BC-01</t>
  </si>
  <si>
    <t>2021-11-02</t>
  </si>
  <si>
    <t>15#楼-A座301单元</t>
  </si>
  <si>
    <t>DZQYW-XZLHT-2021-025</t>
  </si>
  <si>
    <t>2021-11-29</t>
  </si>
  <si>
    <t>北京中环质评环境监测有限公司</t>
  </si>
  <si>
    <t>4#楼-B座502单元</t>
  </si>
  <si>
    <t>2026-11-30</t>
  </si>
  <si>
    <t>DZQYW-XZLHT-2016-048-BC-04</t>
  </si>
  <si>
    <t>北京和崎精密科技有限公司</t>
  </si>
  <si>
    <t>3#楼-A座102单元</t>
  </si>
  <si>
    <t>2022-01-01</t>
  </si>
  <si>
    <t>DZQYW-XZLHT-2016-065-BC-02</t>
  </si>
  <si>
    <t>2021-12-29</t>
  </si>
  <si>
    <t>北京畅想天行医疗技术有限公司</t>
  </si>
  <si>
    <t>19#楼-A座601单元</t>
  </si>
  <si>
    <t>2022-02-10</t>
  </si>
  <si>
    <t>2027-02-09</t>
  </si>
  <si>
    <t>DZQYW-XZLHT-2017-002-BC-02</t>
  </si>
  <si>
    <t>2021-12-24</t>
  </si>
  <si>
    <t>北京沃邦医药科技有限公司</t>
  </si>
  <si>
    <t>16#楼-B座402单元,16#楼-A座401单元</t>
  </si>
  <si>
    <t>2022-03-01</t>
  </si>
  <si>
    <t>2027-02-28</t>
  </si>
  <si>
    <t>执行中</t>
    <phoneticPr fontId="132" type="noConversion"/>
  </si>
  <si>
    <t>X18-15-601、602-DZQYW-BC-07</t>
  </si>
  <si>
    <t>2022-03-10</t>
  </si>
  <si>
    <t>北京航天智能建设有限公司</t>
  </si>
  <si>
    <t>15#楼-A座601单元</t>
  </si>
  <si>
    <t>2024-04-30</t>
  </si>
  <si>
    <t>X18-15-501-502-DZQYW-BC-05</t>
  </si>
  <si>
    <t>华德顺利（北京）企业管理有限公司</t>
  </si>
  <si>
    <t>15#楼-B座502单元,15#楼-A座501单元</t>
  </si>
  <si>
    <t>DZQYW-XZLHT-2022-001</t>
  </si>
  <si>
    <t>2022-03-11</t>
  </si>
  <si>
    <t>北京郅精医疗技术有限公司</t>
  </si>
  <si>
    <t>11#楼-A座201单元</t>
  </si>
  <si>
    <t>2027-03-09</t>
  </si>
  <si>
    <t>DZQYW-XZLHT-2016-066-BC-02</t>
  </si>
  <si>
    <t>2021-12-21</t>
  </si>
  <si>
    <t>14#楼-A座301单元</t>
  </si>
  <si>
    <t>2022-03-15</t>
  </si>
  <si>
    <t>2025-03-14</t>
  </si>
  <si>
    <t>DZQYW-XZLHT-2022-002</t>
  </si>
  <si>
    <t>雅客智慧（北京）科技有限公司</t>
  </si>
  <si>
    <t>15#楼-B座402单元,15#楼-A座401单元</t>
  </si>
  <si>
    <t>2022-03-16</t>
  </si>
  <si>
    <t>2027-03-15</t>
  </si>
  <si>
    <t>DZQYW-XZLHT-2022-005</t>
  </si>
  <si>
    <t>2022-04-20</t>
  </si>
  <si>
    <t>北京光感慧智科技有限公司</t>
  </si>
  <si>
    <t>13#楼-B座402单元</t>
  </si>
  <si>
    <t>2022-05-01</t>
  </si>
  <si>
    <t>2027-04-30</t>
  </si>
  <si>
    <t>DZQYW-XZLHT-2017-006-BC-04</t>
  </si>
  <si>
    <t>2022-06-13</t>
  </si>
  <si>
    <t>19#楼-B座302单元,19#楼-A座301单元</t>
  </si>
  <si>
    <t>2022-06-01</t>
  </si>
  <si>
    <t>2027-05-31</t>
  </si>
  <si>
    <t>DZQYW-XZLHT-2017-016-BC-02</t>
  </si>
  <si>
    <t>北京益普希环境咨询顾问有限公司</t>
  </si>
  <si>
    <t>3#楼-B座402单元</t>
  </si>
  <si>
    <t>2022-07-01</t>
  </si>
  <si>
    <t>2027-06-30</t>
  </si>
  <si>
    <t>DZQYW-XZLHT-2022-006</t>
  </si>
  <si>
    <t>2022-06-24</t>
  </si>
  <si>
    <t>北京华科泰生物技术股份有限公司</t>
  </si>
  <si>
    <t>4#楼-101-301,4#楼-101-302</t>
  </si>
  <si>
    <t>DZQYW-XZLHT-2022-007</t>
  </si>
  <si>
    <t>2022-06-30</t>
  </si>
  <si>
    <t>16#楼-303单元</t>
  </si>
  <si>
    <t>DZQYW2016-028-BC-003</t>
  </si>
  <si>
    <t>2022-07-15</t>
  </si>
  <si>
    <t>般若涅利（北京）装备技术有限公司</t>
  </si>
  <si>
    <t>5#楼-B座402单元</t>
  </si>
  <si>
    <t>2025-07-14</t>
  </si>
  <si>
    <t>DZQYW-XZLHT-2020-010-续-BC-02</t>
  </si>
  <si>
    <t>2022-07-22</t>
  </si>
  <si>
    <t>基仕伯化学材料（中国）有限公司北京分公司</t>
  </si>
  <si>
    <t>6#楼-1层102单元</t>
  </si>
  <si>
    <t>2022-07-27</t>
  </si>
  <si>
    <t>2025-07-26</t>
  </si>
  <si>
    <t>DZQYW-XZLHT-2022-008</t>
  </si>
  <si>
    <t>2022-08-05</t>
  </si>
  <si>
    <t>北京大秦小宴餐饮管理有限公司</t>
  </si>
  <si>
    <t>13#楼-B座202单元</t>
  </si>
  <si>
    <t>2022-08-01</t>
  </si>
  <si>
    <t>DZQYW-XZLHT-2022-010</t>
  </si>
  <si>
    <t>2022-08-18</t>
  </si>
  <si>
    <t>北京超精核酸科技有限公司</t>
  </si>
  <si>
    <t>16#楼-101-201</t>
  </si>
  <si>
    <t>2022-08-15</t>
  </si>
  <si>
    <t>2027-08-14</t>
  </si>
  <si>
    <t>DZQYW-XZLHT-2022-009</t>
  </si>
  <si>
    <t>2022-08-19</t>
  </si>
  <si>
    <t>17#楼-B座202单元,17#楼-B座102单元,17#楼-A座201单元,17#楼-A座101单元,17#楼-1层104单元,17#楼-1层103单元</t>
  </si>
  <si>
    <t>2022-09-01</t>
  </si>
  <si>
    <t>DZQYW-XZLHT-2019-011-BC-02</t>
  </si>
  <si>
    <t>2022-09-19</t>
  </si>
  <si>
    <t>北京华众恩康医药技术有限公司</t>
  </si>
  <si>
    <t>7#楼-B座301单元</t>
  </si>
  <si>
    <t>2022-09-16</t>
  </si>
  <si>
    <t>2025-09-15</t>
  </si>
  <si>
    <t>DZQYW-XZLHT-2020-026续-BC-02</t>
  </si>
  <si>
    <t>唯智医药科技（北京）有限公司</t>
  </si>
  <si>
    <t>5#楼-B座602单元</t>
  </si>
  <si>
    <t>2022-09-20</t>
  </si>
  <si>
    <t>2027-09-19</t>
  </si>
  <si>
    <t>DZQYW-XZLHT-2020-027续-BC-02</t>
  </si>
  <si>
    <t>5#楼-A座601单元</t>
  </si>
  <si>
    <t>DZQYW-XZLHT-2020-031-BC-02</t>
  </si>
  <si>
    <t>北京宇航推进科技有限公司</t>
  </si>
  <si>
    <t>11#楼-A座301单元</t>
  </si>
  <si>
    <t>2022-10-01</t>
  </si>
  <si>
    <t>2027-09-30</t>
  </si>
  <si>
    <t>DZQYW-XZLHT-2022-011</t>
  </si>
  <si>
    <t>2022-10-13</t>
  </si>
  <si>
    <t>北京纯锂新能源科技有限公司</t>
  </si>
  <si>
    <t>19#楼-A座101单元</t>
  </si>
  <si>
    <t>2022-10-15</t>
  </si>
  <si>
    <t>2025-10-14</t>
  </si>
  <si>
    <t>DZQYW-XZLHT-2017-031-BC-02</t>
  </si>
  <si>
    <t>2022-12-26</t>
  </si>
  <si>
    <t>北京华建永昌医疗设备有限责任公司</t>
  </si>
  <si>
    <t>13#楼-A座601单元</t>
  </si>
  <si>
    <t>2022-12-15</t>
  </si>
  <si>
    <t>2024-12-14</t>
  </si>
  <si>
    <t>DZQYW-XZLHT-2020-037续</t>
  </si>
  <si>
    <t>2020-12-14</t>
  </si>
  <si>
    <t>广电计量检测（北京）有限公司</t>
  </si>
  <si>
    <t>6#楼-A座101单元</t>
  </si>
  <si>
    <t>2022-12-31</t>
  </si>
  <si>
    <t>2025-12-30</t>
  </si>
  <si>
    <t>DZQYW-XZLHT-2020-022</t>
  </si>
  <si>
    <t>2020-07-13</t>
  </si>
  <si>
    <t>5#楼-B座202单元,5#楼-B座102单元,5#楼-A座201单元,5#楼-A座101单元</t>
  </si>
  <si>
    <t>DZQYW-XZLHT-2019-016-BC-03</t>
  </si>
  <si>
    <t>2023-01-12</t>
  </si>
  <si>
    <t>北京特倍福电子技术有限公司</t>
  </si>
  <si>
    <t>6#楼-B座202单元,6#楼-A座201单元</t>
  </si>
  <si>
    <t>2023-01-15</t>
  </si>
  <si>
    <t>2026-01-14</t>
  </si>
  <si>
    <t>DZQYW-XZLHT-2021-002-BC-03</t>
  </si>
  <si>
    <t>2023-01-28</t>
  </si>
  <si>
    <t>北京安沐生物科技有限公司</t>
  </si>
  <si>
    <t>18#楼-A座601单元</t>
  </si>
  <si>
    <t>2025-01-14</t>
  </si>
  <si>
    <t>DZQYW-XZLHT-2018-002-BC-02</t>
  </si>
  <si>
    <t>2022-12-08</t>
  </si>
  <si>
    <t>北京东旭利医药科技有限公司</t>
  </si>
  <si>
    <t>17#楼-A座401单元</t>
  </si>
  <si>
    <t>2023-03-01</t>
  </si>
  <si>
    <t>2028-02-29</t>
  </si>
  <si>
    <t>DZQYW-XZLHT-2018-003-续2</t>
  </si>
  <si>
    <t>2023-02-24</t>
  </si>
  <si>
    <t>北京思瑞德医疗器械有限公司</t>
  </si>
  <si>
    <t>17#楼-B座502单元,17#楼-A座501单元,17#楼-5层B座连廊</t>
  </si>
  <si>
    <t>DZQYW-XZLHT-2018-001-BC-02</t>
  </si>
  <si>
    <t>17#楼-B座402单元,17#楼-4层B座连廊</t>
  </si>
  <si>
    <t>DZQYW-XZLHT-2023-001</t>
  </si>
  <si>
    <t>2023-02-27</t>
  </si>
  <si>
    <t>智能佳（北京）机器人有限公司</t>
  </si>
  <si>
    <t>16#楼-307单元</t>
  </si>
  <si>
    <t>2025-02-28</t>
  </si>
  <si>
    <t>DZQYW-XZLHT-2020-009-续2</t>
  </si>
  <si>
    <t>2023-03-29</t>
  </si>
  <si>
    <t>地太科特电子制造（北京）有限公司</t>
  </si>
  <si>
    <t>9#楼-A座101单元,9#楼-B座102单元,9#楼-A座201单元,9#楼-B座202单元</t>
  </si>
  <si>
    <t>2023-03-16</t>
  </si>
  <si>
    <t>DZ1105续8</t>
  </si>
  <si>
    <t>2023-01-30</t>
  </si>
  <si>
    <t>1#楼-1007</t>
  </si>
  <si>
    <t>2023-03-23</t>
  </si>
  <si>
    <t>2024-03-22</t>
  </si>
  <si>
    <t>DZQYW-XZLHT-2018-007-BC-02</t>
  </si>
  <si>
    <t>北京三和鼎业科技有限公司</t>
  </si>
  <si>
    <t>4#楼-501单元</t>
  </si>
  <si>
    <t>2023-04-01</t>
  </si>
  <si>
    <t>2028-03-31</t>
  </si>
  <si>
    <t>DZQYW-XZLHT-2023-002</t>
  </si>
  <si>
    <t>2023-04-28</t>
  </si>
  <si>
    <t>13#楼-B座302单元</t>
  </si>
  <si>
    <t>DZ1666</t>
  </si>
  <si>
    <t>2023-04-23</t>
  </si>
  <si>
    <t>2#楼-2023</t>
  </si>
  <si>
    <t>2023-04-27</t>
  </si>
  <si>
    <t>2024-04-26</t>
  </si>
  <si>
    <t>DZ1300续5</t>
  </si>
  <si>
    <t>2023-04-04</t>
  </si>
  <si>
    <t>1#楼-1018</t>
  </si>
  <si>
    <t>2024-04-27</t>
  </si>
  <si>
    <t>DZ1615续1</t>
  </si>
  <si>
    <t>2023-02-20</t>
  </si>
  <si>
    <t>2#楼-2419</t>
  </si>
  <si>
    <t>2023-05-01</t>
  </si>
  <si>
    <t>DZ1566续2</t>
  </si>
  <si>
    <t>2#楼-2602,2#楼-2319,2#楼-2302</t>
  </si>
  <si>
    <t>DZQYW-XZLHT-2023-003</t>
  </si>
  <si>
    <t>2023-04-13</t>
  </si>
  <si>
    <t>北京先为达生物科技有限公司</t>
  </si>
  <si>
    <t>4#楼-B座202单元</t>
  </si>
  <si>
    <t>DZQYW-XZLHT-2018-009-BC-03</t>
  </si>
  <si>
    <t>2023-05-12</t>
  </si>
  <si>
    <t>19#楼-B座602单元,19#楼-6层B座连廊</t>
  </si>
  <si>
    <t>2025-04-30</t>
  </si>
  <si>
    <t>DZQYW-XZLHT-2019-002-续02</t>
  </si>
  <si>
    <t>北京沣瑞医药科技有限公司</t>
  </si>
  <si>
    <t>16#楼-B座502单元</t>
  </si>
  <si>
    <t>DZ1664</t>
  </si>
  <si>
    <t>北京易智时代数字科技有限公司</t>
  </si>
  <si>
    <t>2#楼-2007</t>
  </si>
  <si>
    <t>2023-05-04</t>
  </si>
  <si>
    <t>2024-05-03</t>
  </si>
  <si>
    <t>DZ1616续1</t>
  </si>
  <si>
    <t>2023-03-17</t>
  </si>
  <si>
    <t>2#楼-2815</t>
  </si>
  <si>
    <t>2023-05-05</t>
  </si>
  <si>
    <t>2024-05-04</t>
  </si>
  <si>
    <t>DZ1480续3</t>
  </si>
  <si>
    <t>2023-05-24</t>
  </si>
  <si>
    <t>2#楼-2503</t>
  </si>
  <si>
    <t>2023-05-06</t>
  </si>
  <si>
    <t>2024-05-05</t>
  </si>
  <si>
    <t>DZ1670</t>
  </si>
  <si>
    <t>2023-05-15</t>
  </si>
  <si>
    <t>2#楼-2018,1#楼-1009</t>
  </si>
  <si>
    <t>2024-05-11</t>
  </si>
  <si>
    <t>DZ1671</t>
  </si>
  <si>
    <t>2#楼-2017</t>
  </si>
  <si>
    <t>2023-05-14</t>
  </si>
  <si>
    <t>2024-05-13</t>
  </si>
  <si>
    <t>DZ1674</t>
  </si>
  <si>
    <t>2023-05-22</t>
  </si>
  <si>
    <t>2#楼-2801</t>
  </si>
  <si>
    <t>2024-05-14</t>
  </si>
  <si>
    <t>DZQYW-XZLHT-2023-004</t>
  </si>
  <si>
    <t>2023-05-17</t>
  </si>
  <si>
    <t>北京行易道科技有限公司</t>
  </si>
  <si>
    <t>11#楼-A座401单元</t>
  </si>
  <si>
    <t>2025-05-14</t>
  </si>
  <si>
    <t>DZ-Y-21续7</t>
  </si>
  <si>
    <t>2023-04-11</t>
  </si>
  <si>
    <t>深圳市大族物业管理有限公司北京分公司</t>
  </si>
  <si>
    <t>1#楼-1501</t>
  </si>
  <si>
    <t>2023-05-16</t>
  </si>
  <si>
    <t>2024-05-15</t>
  </si>
  <si>
    <t>DZ1675</t>
  </si>
  <si>
    <t>2#楼-2421</t>
  </si>
  <si>
    <t>2023-05-18</t>
  </si>
  <si>
    <t>2024-05-17</t>
  </si>
  <si>
    <t>DZ1665</t>
  </si>
  <si>
    <t>2023-06-02</t>
  </si>
  <si>
    <t>北京龙贝世纪科技股份有限公司</t>
  </si>
  <si>
    <t>2#楼-2016,1#楼-1906</t>
  </si>
  <si>
    <t>2023-05-19</t>
  </si>
  <si>
    <t>2024-05-18</t>
  </si>
  <si>
    <t>DZ1391续4</t>
  </si>
  <si>
    <t>1#楼-1308</t>
  </si>
  <si>
    <t>2023-05-20</t>
  </si>
  <si>
    <t>2024-05-19</t>
  </si>
  <si>
    <t>DZ1390续4</t>
  </si>
  <si>
    <t>1#楼-1601</t>
  </si>
  <si>
    <t>DZ1088续7</t>
  </si>
  <si>
    <t>1#楼-1912</t>
  </si>
  <si>
    <t>2023-05-21</t>
  </si>
  <si>
    <t>2024-05-20</t>
  </si>
  <si>
    <t>DZ-Y-160续1</t>
  </si>
  <si>
    <t>刘鼎熙</t>
  </si>
  <si>
    <t>2#楼-2006</t>
  </si>
  <si>
    <t>2023-05-23</t>
  </si>
  <si>
    <t>2024-05-22</t>
  </si>
  <si>
    <t>DZ1682</t>
  </si>
  <si>
    <t>北京聚齐众兴网络科技有限公司</t>
  </si>
  <si>
    <t>2#楼-2022</t>
  </si>
  <si>
    <t>2023-05-31</t>
  </si>
  <si>
    <t>2024-05-30</t>
  </si>
  <si>
    <t>DZ1673</t>
  </si>
  <si>
    <t>2#楼-2013</t>
  </si>
  <si>
    <t>DZ1677</t>
  </si>
  <si>
    <t>拓跋（北京）建设工程有限公司</t>
  </si>
  <si>
    <t>1#楼-1419</t>
  </si>
  <si>
    <t>DZ1623续1</t>
  </si>
  <si>
    <t>1#楼-1621</t>
  </si>
  <si>
    <t>2023-06-01</t>
  </si>
  <si>
    <t>2024-05-31</t>
  </si>
  <si>
    <t>DZQYW-XZLHT-2021-015-BC-03</t>
  </si>
  <si>
    <t>北京华建阳光科技有限责任公司</t>
  </si>
  <si>
    <t>9#楼-B座302单元</t>
  </si>
  <si>
    <t>2025-05-31</t>
  </si>
  <si>
    <t>DZ1621续1</t>
  </si>
  <si>
    <t>2#楼-2405</t>
  </si>
  <si>
    <t>DZ1620续1</t>
  </si>
  <si>
    <t>2#楼-2905</t>
  </si>
  <si>
    <t>DZ1679</t>
  </si>
  <si>
    <t>1#楼-1017</t>
  </si>
  <si>
    <t>2023-06-07</t>
  </si>
  <si>
    <t>2024-06-06</t>
  </si>
  <si>
    <t>DZ1144续8</t>
  </si>
  <si>
    <t>1#楼-1013</t>
  </si>
  <si>
    <t>2023-06-08</t>
  </si>
  <si>
    <t>2024-06-07</t>
  </si>
  <si>
    <t>DZ1676</t>
  </si>
  <si>
    <t>北京惠生医药有限责任公司</t>
  </si>
  <si>
    <t>1#楼-1706</t>
  </si>
  <si>
    <t>2023-06-09</t>
  </si>
  <si>
    <t>2024-06-08</t>
  </si>
  <si>
    <t>DZ1681</t>
  </si>
  <si>
    <t>1#楼-1422</t>
  </si>
  <si>
    <t>2023-06-10</t>
  </si>
  <si>
    <t>2024-06-09</t>
  </si>
  <si>
    <t>DZ1687</t>
  </si>
  <si>
    <t>英凡蒂（北京）科技有限公司</t>
  </si>
  <si>
    <t>2#楼-2722</t>
  </si>
  <si>
    <t>2023-06-12</t>
  </si>
  <si>
    <t>2024-06-11</t>
  </si>
  <si>
    <t>DZ1685</t>
  </si>
  <si>
    <t>1#楼-1412,1#楼-1612</t>
  </si>
  <si>
    <t>DZ1678</t>
  </si>
  <si>
    <t>2#楼-2723</t>
  </si>
  <si>
    <t>HT-DZQYW-CYYYFWB-2023-005</t>
  </si>
  <si>
    <t>北京锦辰科技有限公司</t>
  </si>
  <si>
    <t>1#楼-附楼101-02室</t>
  </si>
  <si>
    <t>2023-06-15</t>
  </si>
  <si>
    <t>DZ1680</t>
  </si>
  <si>
    <t>2#楼-2912</t>
  </si>
  <si>
    <t>DZ1310续5</t>
  </si>
  <si>
    <t>2#楼-2901</t>
  </si>
  <si>
    <t>DZ-Y-171</t>
  </si>
  <si>
    <t>2#楼-2916</t>
  </si>
  <si>
    <t>DZ1312续5</t>
  </si>
  <si>
    <t>1#楼-1022</t>
  </si>
  <si>
    <t>DZ1313续5</t>
  </si>
  <si>
    <t>2023-05-29</t>
  </si>
  <si>
    <t>1#楼-1722</t>
  </si>
  <si>
    <t>DZ1684</t>
  </si>
  <si>
    <t>2#楼-2910</t>
  </si>
  <si>
    <t>DZ1308续5</t>
  </si>
  <si>
    <t>1#楼-1520</t>
  </si>
  <si>
    <t>DZ1683</t>
  </si>
  <si>
    <t>2#楼-2809</t>
  </si>
  <si>
    <t>DZ1311续5</t>
  </si>
  <si>
    <t>2#楼-2409</t>
  </si>
  <si>
    <t>DZ-Y-170</t>
  </si>
  <si>
    <t>古丽娜孜拉·艾山江</t>
  </si>
  <si>
    <t>2#楼-2522</t>
  </si>
  <si>
    <t>2023-06-18</t>
  </si>
  <si>
    <t>2024-06-17</t>
  </si>
  <si>
    <t>DZ1690</t>
  </si>
  <si>
    <t>2023-06-16</t>
  </si>
  <si>
    <t>北京康博瑞莱医疗器械有限公司</t>
  </si>
  <si>
    <t>2#楼-2308,2#楼-2407,2#楼-2417,2#楼-2615,2#楼-2618</t>
  </si>
  <si>
    <t>DZ1059续7</t>
  </si>
  <si>
    <t>1#楼-1813</t>
  </si>
  <si>
    <t>2023-06-20</t>
  </si>
  <si>
    <t>2024-06-19</t>
  </si>
  <si>
    <t>DZ1689</t>
  </si>
  <si>
    <t>2023-10-26</t>
  </si>
  <si>
    <t>1#楼-1408</t>
  </si>
  <si>
    <t>2023-06-21</t>
  </si>
  <si>
    <t>2024-06-20</t>
  </si>
  <si>
    <t>DZ1686</t>
  </si>
  <si>
    <t>2#楼-2907,2#楼-2915</t>
  </si>
  <si>
    <t>2023-06-23</t>
  </si>
  <si>
    <t>2024-06-22</t>
  </si>
  <si>
    <t>DZ-Y-30续7</t>
  </si>
  <si>
    <t>吴玲玲</t>
  </si>
  <si>
    <t>2#楼-2516</t>
  </si>
  <si>
    <t>DZ1403续4</t>
  </si>
  <si>
    <t>1#楼-1222</t>
  </si>
  <si>
    <t>2023-06-24</t>
  </si>
  <si>
    <t>2024-06-23</t>
  </si>
  <si>
    <t>DZ-Y-175</t>
  </si>
  <si>
    <t>陆晓曼</t>
  </si>
  <si>
    <t>1#楼-1403</t>
  </si>
  <si>
    <t>2023-06-26</t>
  </si>
  <si>
    <t>2024-06-25</t>
  </si>
  <si>
    <t>DZ1691</t>
  </si>
  <si>
    <t>2023-06-19</t>
  </si>
  <si>
    <t>1#楼-1815</t>
  </si>
  <si>
    <t>DZ1688</t>
  </si>
  <si>
    <t>1#楼-1617</t>
  </si>
  <si>
    <t>DZ-Y-97续5</t>
  </si>
  <si>
    <t>刘佳庆</t>
  </si>
  <si>
    <t>1#楼-1803</t>
  </si>
  <si>
    <t>2023-07-01</t>
  </si>
  <si>
    <t>DZ-Y-32续8</t>
  </si>
  <si>
    <t>石芳瑗</t>
  </si>
  <si>
    <t>1#楼-1623</t>
  </si>
  <si>
    <t>DZ-Y-176</t>
  </si>
  <si>
    <t>2023-07-20</t>
  </si>
  <si>
    <t>黄书亭</t>
  </si>
  <si>
    <t>2#楼-2805</t>
  </si>
  <si>
    <t>DZ1693</t>
  </si>
  <si>
    <t>2023-06-27</t>
  </si>
  <si>
    <t>2#楼-2819</t>
  </si>
  <si>
    <t>DZ1702</t>
  </si>
  <si>
    <t>杨晓明</t>
  </si>
  <si>
    <t>2#楼-2919</t>
  </si>
  <si>
    <t>DZ1490续3</t>
  </si>
  <si>
    <t>1#楼-1008</t>
  </si>
  <si>
    <t>DZ1694</t>
  </si>
  <si>
    <t>2023-06-30</t>
  </si>
  <si>
    <t>北京星亦卉文化娱乐有限公司</t>
  </si>
  <si>
    <t>1#楼-1211,1#楼-1903,1#楼-1012</t>
  </si>
  <si>
    <t>DZQYW-XZLHT-2021-029-BC-01</t>
  </si>
  <si>
    <t>2023-07-17</t>
  </si>
  <si>
    <t>大族激光科技产业集团股份有限公司</t>
  </si>
  <si>
    <t>16#楼-306单元</t>
  </si>
  <si>
    <t>2024-09-30</t>
  </si>
  <si>
    <t>DZQYW-XZLHT-2018-011-BC-02</t>
  </si>
  <si>
    <t>7#楼-B座602单元</t>
  </si>
  <si>
    <t>2026-06-30</t>
  </si>
  <si>
    <t>DZ-Y-177</t>
  </si>
  <si>
    <t>2023-06-28</t>
  </si>
  <si>
    <t>赵强</t>
  </si>
  <si>
    <t>2#楼-2806</t>
  </si>
  <si>
    <t>DZ1692</t>
  </si>
  <si>
    <t>2023-07-03</t>
  </si>
  <si>
    <t>1#楼-1323</t>
  </si>
  <si>
    <t>DZQYW-XZLHT-2018-012-BC-03</t>
  </si>
  <si>
    <t>北京纳什国际生物科技有限公司</t>
  </si>
  <si>
    <t>6#楼-A座301单元</t>
  </si>
  <si>
    <t>DZ-Y-174</t>
  </si>
  <si>
    <t>张雅婷</t>
  </si>
  <si>
    <t>1#楼-1913</t>
  </si>
  <si>
    <t>2024-07-02</t>
  </si>
  <si>
    <t>DZ1695</t>
  </si>
  <si>
    <t>2#楼-2913</t>
  </si>
  <si>
    <t>DZ1497续3</t>
  </si>
  <si>
    <t>2#楼-2616</t>
  </si>
  <si>
    <t>2023-07-05</t>
  </si>
  <si>
    <t>2024-07-04</t>
  </si>
  <si>
    <t>DZ1696</t>
  </si>
  <si>
    <t>北京天源迪科网络科技有限公司</t>
  </si>
  <si>
    <t>2#楼-2713</t>
  </si>
  <si>
    <t>DZ1697</t>
  </si>
  <si>
    <t>2023-07-07</t>
  </si>
  <si>
    <t>2#楼-2703</t>
  </si>
  <si>
    <t>2024-07-06</t>
  </si>
  <si>
    <t>DZ1625续1</t>
  </si>
  <si>
    <t>1#楼-1919</t>
  </si>
  <si>
    <t>2023-07-08</t>
  </si>
  <si>
    <t>2024-07-07</t>
  </si>
  <si>
    <t>DZ1581续2</t>
  </si>
  <si>
    <t>2023-07-04</t>
  </si>
  <si>
    <t>1#楼-1603</t>
  </si>
  <si>
    <t>2023-07-10</t>
  </si>
  <si>
    <t>DZ1703</t>
  </si>
  <si>
    <t>2#楼-2903</t>
  </si>
  <si>
    <t>DZ-Y-173</t>
  </si>
  <si>
    <t>王萌</t>
  </si>
  <si>
    <t>1#楼-1301</t>
  </si>
  <si>
    <t>2023-07-14</t>
  </si>
  <si>
    <t>2024-07-13</t>
  </si>
  <si>
    <t>DZQYW2016-025-BC-04</t>
  </si>
  <si>
    <t>2023-07-18</t>
  </si>
  <si>
    <t>北京易飞华通机器人技术有限公司</t>
  </si>
  <si>
    <t>7#楼-B座202单元</t>
  </si>
  <si>
    <t>2023-07-15</t>
  </si>
  <si>
    <t>2024-07-14</t>
  </si>
  <si>
    <t>DZ1314续5</t>
  </si>
  <si>
    <t>2#楼-2613</t>
  </si>
  <si>
    <t>DZ1705</t>
  </si>
  <si>
    <t>北京惠众智通机器人科技股份有限公司</t>
  </si>
  <si>
    <t>1#楼-1713</t>
  </si>
  <si>
    <t>2024-07-16</t>
  </si>
  <si>
    <t>DZ1627续1</t>
  </si>
  <si>
    <t>鲁西人力资源（北京）有限公司</t>
  </si>
  <si>
    <t>1#楼-1316</t>
  </si>
  <si>
    <t>2024-07-17</t>
  </si>
  <si>
    <t>DZ1628续1</t>
  </si>
  <si>
    <t>1#楼-1708</t>
  </si>
  <si>
    <t>DZ1626续1</t>
  </si>
  <si>
    <t>1#楼-1311</t>
  </si>
  <si>
    <t>2023-07-25</t>
  </si>
  <si>
    <t>2024-07-24</t>
  </si>
  <si>
    <t>DZ1706</t>
  </si>
  <si>
    <t>1#楼-1915</t>
  </si>
  <si>
    <t>DZ1385续5</t>
  </si>
  <si>
    <t>1#楼-1723</t>
  </si>
  <si>
    <t>2023-07-26</t>
  </si>
  <si>
    <t>2024-07-25</t>
  </si>
  <si>
    <t>DZ1582续2</t>
  </si>
  <si>
    <t>北京瑞沃医疗器械有限公司</t>
  </si>
  <si>
    <t>1#楼-1003</t>
  </si>
  <si>
    <t>DZ1700</t>
  </si>
  <si>
    <t>2023-07-06</t>
  </si>
  <si>
    <t>2#楼-2813</t>
  </si>
  <si>
    <t>2023-07-31</t>
  </si>
  <si>
    <t>2024-07-30</t>
  </si>
  <si>
    <t>DZ1698</t>
  </si>
  <si>
    <t>1#楼-1318</t>
  </si>
  <si>
    <t>DZ1707</t>
  </si>
  <si>
    <t>1#楼-1506</t>
  </si>
  <si>
    <t>2023-08-01</t>
  </si>
  <si>
    <t>DZ1708</t>
  </si>
  <si>
    <t>2#楼-2710</t>
  </si>
  <si>
    <t>DZ1711</t>
  </si>
  <si>
    <t>2023-09-04</t>
  </si>
  <si>
    <t>1#楼-1206</t>
  </si>
  <si>
    <t>DZ1630续1</t>
  </si>
  <si>
    <t>2#楼-2523</t>
  </si>
  <si>
    <t>DZ1499续3</t>
  </si>
  <si>
    <t>2#楼-2519</t>
  </si>
  <si>
    <t>DZ1629续1</t>
  </si>
  <si>
    <t>1#楼-1920</t>
  </si>
  <si>
    <t>DZ1632续1</t>
  </si>
  <si>
    <t>1#楼-1712</t>
  </si>
  <si>
    <t>DZ-Y-178</t>
  </si>
  <si>
    <t>刘姣</t>
  </si>
  <si>
    <t>2#楼-2622</t>
  </si>
  <si>
    <t>DZ1713</t>
  </si>
  <si>
    <t>1#楼-1306</t>
  </si>
  <si>
    <t>DZ1591续2</t>
  </si>
  <si>
    <t>1#楼-1302</t>
  </si>
  <si>
    <t>DZ1710</t>
  </si>
  <si>
    <t>2023-08-23</t>
  </si>
  <si>
    <t>2#楼-2311</t>
  </si>
  <si>
    <t>DZ1594续2</t>
  </si>
  <si>
    <t>2#楼-2721</t>
  </si>
  <si>
    <t>2023-08-12</t>
  </si>
  <si>
    <t>2024-08-11</t>
  </si>
  <si>
    <t>DZ-Y-180</t>
  </si>
  <si>
    <t>2023-08-07</t>
  </si>
  <si>
    <t>古文悦</t>
  </si>
  <si>
    <t>2#楼-2716</t>
  </si>
  <si>
    <t>2023-08-14</t>
  </si>
  <si>
    <t>2024-08-13</t>
  </si>
  <si>
    <t>DZ1636续1</t>
  </si>
  <si>
    <t>2023-09-12</t>
  </si>
  <si>
    <t>2#楼-2817</t>
  </si>
  <si>
    <t>2023-08-15</t>
  </si>
  <si>
    <t>2024-08-14</t>
  </si>
  <si>
    <t>DZ1704</t>
  </si>
  <si>
    <t>2#楼-2015,2#楼-2906,2#楼-2918,2#楼-2708,2#楼-2518</t>
  </si>
  <si>
    <t>2023-08-17</t>
  </si>
  <si>
    <t>2024-08-16</t>
  </si>
  <si>
    <t>DZ-Y-149续2</t>
  </si>
  <si>
    <t>2023-08-08</t>
  </si>
  <si>
    <t>张鑫玮</t>
  </si>
  <si>
    <t>2#楼-2510</t>
  </si>
  <si>
    <t>DZ1633续1</t>
  </si>
  <si>
    <t>2#楼-2711</t>
  </si>
  <si>
    <t>2023-08-19</t>
  </si>
  <si>
    <t>2024-08-18</t>
  </si>
  <si>
    <t>DZ1709</t>
  </si>
  <si>
    <t>2023-08-20</t>
  </si>
  <si>
    <t>2#楼-2705</t>
  </si>
  <si>
    <t>DZ1635续1</t>
  </si>
  <si>
    <t>2#楼-2321</t>
  </si>
  <si>
    <t>DZ1596续2</t>
  </si>
  <si>
    <t>北京博爱旺康医药科技有限公司</t>
  </si>
  <si>
    <t>2#楼-2719</t>
  </si>
  <si>
    <t>2024-08-19</t>
  </si>
  <si>
    <t>DZ1715</t>
  </si>
  <si>
    <t>1#楼-1512</t>
  </si>
  <si>
    <t>DZ1712</t>
  </si>
  <si>
    <t>1#楼-1015</t>
  </si>
  <si>
    <t>DZ1595续2</t>
  </si>
  <si>
    <t>1#楼-1411</t>
  </si>
  <si>
    <t>2024-08-22</t>
  </si>
  <si>
    <t>DZ1423续4</t>
  </si>
  <si>
    <t>2#楼-2403</t>
  </si>
  <si>
    <t>DZQYW-XZLHT-2023-004.</t>
  </si>
  <si>
    <t>2023-08-28</t>
  </si>
  <si>
    <t>北京鞍石新药技术有限公司</t>
  </si>
  <si>
    <t>16#楼-A座501单元</t>
  </si>
  <si>
    <t>2023-08-25</t>
  </si>
  <si>
    <t>2028-08-24</t>
  </si>
  <si>
    <t>DZ1716</t>
  </si>
  <si>
    <t>北京凯德益盛科技有限公司</t>
  </si>
  <si>
    <t>1#楼-1702</t>
  </si>
  <si>
    <t>2024-08-24</t>
  </si>
  <si>
    <t>DZ1505续3</t>
  </si>
  <si>
    <t>2#楼-2520</t>
  </si>
  <si>
    <t>2023-09-01</t>
  </si>
  <si>
    <t>2024-08-31</t>
  </si>
  <si>
    <t>DZQYW-XZLHT-2021-008-BC-02</t>
  </si>
  <si>
    <t>2023-09-25</t>
  </si>
  <si>
    <t>13#楼-A座501单元</t>
  </si>
  <si>
    <t>DZ1599续2</t>
  </si>
  <si>
    <t>1#楼-1212</t>
  </si>
  <si>
    <t>DZ-Y-181</t>
  </si>
  <si>
    <t>2023-08-18</t>
  </si>
  <si>
    <t>杨晓焕</t>
  </si>
  <si>
    <t>1#楼-1923</t>
  </si>
  <si>
    <t>DZ1324续5</t>
  </si>
  <si>
    <t>1#楼-1822</t>
  </si>
  <si>
    <t>DZ1598续2</t>
  </si>
  <si>
    <t>2#楼-2312</t>
  </si>
  <si>
    <t>DZ1323续5</t>
  </si>
  <si>
    <t>2#楼-2607</t>
  </si>
  <si>
    <t>DZ1322续5</t>
  </si>
  <si>
    <t>2#楼-2609</t>
  </si>
  <si>
    <t>DZ1320续5</t>
  </si>
  <si>
    <t>2#楼-2702</t>
  </si>
  <si>
    <t>DZ1009续8</t>
  </si>
  <si>
    <t>1#楼-1310</t>
  </si>
  <si>
    <t>DZ-Y-150续2</t>
  </si>
  <si>
    <t>王丽</t>
  </si>
  <si>
    <t>1#楼-1810</t>
  </si>
  <si>
    <t>DZ1428续4</t>
  </si>
  <si>
    <t>2023-10-18</t>
  </si>
  <si>
    <t>1#楼-1518</t>
  </si>
  <si>
    <t>2024-09-03</t>
  </si>
  <si>
    <t>DZ1326续5</t>
  </si>
  <si>
    <t>2023-08-30</t>
  </si>
  <si>
    <t>1#楼-1413</t>
  </si>
  <si>
    <t>2023-09-06</t>
  </si>
  <si>
    <t>2024-09-05</t>
  </si>
  <si>
    <t>DZ1427续4</t>
  </si>
  <si>
    <t>2023-08-09</t>
  </si>
  <si>
    <t>1#楼-1402</t>
  </si>
  <si>
    <t>2023-09-11</t>
  </si>
  <si>
    <t>2024-09-10</t>
  </si>
  <si>
    <t>DZ-Y-151续2</t>
  </si>
  <si>
    <t>2023-09-05</t>
  </si>
  <si>
    <t>江南</t>
  </si>
  <si>
    <t>1#楼-1607</t>
  </si>
  <si>
    <t>2023-09-15</t>
  </si>
  <si>
    <t>2024-09-14</t>
  </si>
  <si>
    <t>DZ1714</t>
  </si>
  <si>
    <t>2#楼-2623</t>
  </si>
  <si>
    <t>DZ1509续3</t>
  </si>
  <si>
    <t>北京天地祥云科技有限公司</t>
  </si>
  <si>
    <t>1#楼-1908</t>
  </si>
  <si>
    <t>2023-09-18</t>
  </si>
  <si>
    <t>2024-09-17</t>
  </si>
  <si>
    <t>DZ1225续6</t>
  </si>
  <si>
    <t>1#楼-1901</t>
  </si>
  <si>
    <t>2023-09-19</t>
  </si>
  <si>
    <t>2024-09-18</t>
  </si>
  <si>
    <t>DZQYW-XZLHT-2023-005</t>
  </si>
  <si>
    <t>2023-09-26</t>
  </si>
  <si>
    <t>北京康易聆医疗科技有限公司</t>
  </si>
  <si>
    <t>16#楼-302单元,16#楼-301单元</t>
  </si>
  <si>
    <t>2023-09-20</t>
  </si>
  <si>
    <t>2025-09-19</t>
  </si>
  <si>
    <t>DZ-Y-152续2</t>
  </si>
  <si>
    <t>宋倩男</t>
  </si>
  <si>
    <t>1#楼-1523</t>
  </si>
  <si>
    <t>2023-09-22</t>
  </si>
  <si>
    <t>2024-09-21</t>
  </si>
  <si>
    <t>DZ1602续2</t>
  </si>
  <si>
    <t>2#楼-2811</t>
  </si>
  <si>
    <t>DZ-Y-184</t>
  </si>
  <si>
    <t>董洋</t>
  </si>
  <si>
    <t>1#楼-1519</t>
  </si>
  <si>
    <t>2024-09-24</t>
  </si>
  <si>
    <t>DZ-Y-185</t>
  </si>
  <si>
    <t>2023-10-30</t>
  </si>
  <si>
    <t>赵寿龙</t>
  </si>
  <si>
    <t>1#楼-1209</t>
  </si>
  <si>
    <t>DZ1721</t>
  </si>
  <si>
    <t>2023-10-17</t>
  </si>
  <si>
    <t>强联智创（北京）科技有限公司</t>
  </si>
  <si>
    <t>1#楼-1606,1#楼-1608,1#楼-1610</t>
  </si>
  <si>
    <t>2024-09-25</t>
  </si>
  <si>
    <t>DZ-Y-187</t>
  </si>
  <si>
    <t>2023-10-10</t>
  </si>
  <si>
    <t>王欢</t>
  </si>
  <si>
    <t>2#楼-2010</t>
  </si>
  <si>
    <t>2023-09-29</t>
  </si>
  <si>
    <t>2024-09-28</t>
  </si>
  <si>
    <t>DZ-Y-186</t>
  </si>
  <si>
    <t>2023-09-30</t>
  </si>
  <si>
    <t>佘宇秋</t>
  </si>
  <si>
    <t>2#楼-2908</t>
  </si>
  <si>
    <t>2024-09-29</t>
  </si>
  <si>
    <t>DZ1720</t>
  </si>
  <si>
    <t>北京市大兴区博兴街道办事处</t>
  </si>
  <si>
    <t>1#楼-1609</t>
  </si>
  <si>
    <t>DZ-Y-137续3</t>
  </si>
  <si>
    <t>2023-08-16</t>
  </si>
  <si>
    <t>1#楼-1421</t>
  </si>
  <si>
    <t>DZ1008续8</t>
  </si>
  <si>
    <t>2023-10-01</t>
  </si>
  <si>
    <t>1#楼-1309</t>
  </si>
  <si>
    <t>DZ1432续4</t>
  </si>
  <si>
    <t>2#楼-2521</t>
  </si>
  <si>
    <t>2023-10-08</t>
  </si>
  <si>
    <t>2024-10-07</t>
  </si>
  <si>
    <t>DZ-Y-123续4</t>
  </si>
  <si>
    <t>王延伟</t>
  </si>
  <si>
    <t>1#楼-1515</t>
  </si>
  <si>
    <t>DZ1433续4</t>
  </si>
  <si>
    <t>北京凌空天行科技有限责任公司</t>
  </si>
  <si>
    <t>2#楼-2911</t>
  </si>
  <si>
    <t>DZ1514续3</t>
  </si>
  <si>
    <t>1#楼-1219</t>
  </si>
  <si>
    <t>2023-10-09</t>
  </si>
  <si>
    <t>2024-10-08</t>
  </si>
  <si>
    <t>DZ1515续3</t>
  </si>
  <si>
    <t>1#楼-1709</t>
  </si>
  <si>
    <t>2024-10-09</t>
  </si>
  <si>
    <t>DZ1638续1</t>
  </si>
  <si>
    <t>2023-10-16</t>
  </si>
  <si>
    <t>华云科雷（北京）技术发展有限公司</t>
  </si>
  <si>
    <t>1#楼-1516</t>
  </si>
  <si>
    <t>DZ1719</t>
  </si>
  <si>
    <t>2023-09-13</t>
  </si>
  <si>
    <t>北京力合方圆科技有限公司</t>
  </si>
  <si>
    <t>1#楼-1213</t>
  </si>
  <si>
    <t>2023-10-11</t>
  </si>
  <si>
    <t>2024-10-10</t>
  </si>
  <si>
    <t>DZ1724</t>
  </si>
  <si>
    <t>2023-10-12</t>
  </si>
  <si>
    <t>1#楼-1602</t>
  </si>
  <si>
    <t>2023-10-13</t>
  </si>
  <si>
    <t>2024-10-12</t>
  </si>
  <si>
    <t>DZQYW-XZLHT-2023-006</t>
  </si>
  <si>
    <t>中科宜康（北京）生物科技有限公司</t>
  </si>
  <si>
    <t>10#楼-B座502单元</t>
  </si>
  <si>
    <t>2023-10-15</t>
  </si>
  <si>
    <t>DZQYW-XZLHT-2020-036-BC-02</t>
  </si>
  <si>
    <t>4#楼-A座102单元</t>
  </si>
  <si>
    <t>DZQYW-XZLHT-2020-028-BC-003</t>
  </si>
  <si>
    <t>4#楼-A座201单元,4#楼-2层A座连廊,3#楼-B座202单元,3#楼-A座201单元,3#楼-2层A座连廊</t>
  </si>
  <si>
    <t>DZ-Y-124续4</t>
  </si>
  <si>
    <t>王立君</t>
  </si>
  <si>
    <t>1#楼-1619</t>
  </si>
  <si>
    <t>2024-10-14</t>
  </si>
  <si>
    <t>DZ-Y-189</t>
  </si>
  <si>
    <t>2023-10-25</t>
  </si>
  <si>
    <t>于林萍</t>
  </si>
  <si>
    <t>1#楼-1407</t>
  </si>
  <si>
    <t>2024-10-15</t>
  </si>
  <si>
    <t>DZ1603续2</t>
  </si>
  <si>
    <t>1#楼-1423</t>
  </si>
  <si>
    <t>2024-10-17</t>
  </si>
  <si>
    <t>DZ1722</t>
  </si>
  <si>
    <t>1#楼-1616</t>
  </si>
  <si>
    <t>DZ1723</t>
  </si>
  <si>
    <t>1#楼-1922</t>
  </si>
  <si>
    <t>2023-10-20</t>
  </si>
  <si>
    <t>2024-10-19</t>
  </si>
  <si>
    <t>DZQYW-XZLHT-2021-022-BC-01</t>
  </si>
  <si>
    <t>云控智行科技有限公司</t>
  </si>
  <si>
    <t>5#楼-B座502单元,5#楼-A座501单元</t>
  </si>
  <si>
    <t>2025-10-24</t>
  </si>
  <si>
    <t>DZ-Y-162续1</t>
  </si>
  <si>
    <t>付琨</t>
  </si>
  <si>
    <t>2#楼-2416</t>
  </si>
  <si>
    <t>2024-10-29</t>
  </si>
  <si>
    <t>DZQYW-XZLHT-2023-007</t>
  </si>
  <si>
    <t>11#楼-A座501单元</t>
  </si>
  <si>
    <t>2023-11-01</t>
  </si>
  <si>
    <t>2028-10-31</t>
  </si>
  <si>
    <t>DZ1601续2</t>
  </si>
  <si>
    <t>2023-09-27</t>
  </si>
  <si>
    <t>2#楼-2003</t>
  </si>
  <si>
    <t>DZ1726</t>
  </si>
  <si>
    <t>2#楼-2810,2#楼-2701</t>
  </si>
  <si>
    <t>DZQYW-XZLHT-2018-020-BC-03.</t>
  </si>
  <si>
    <t>11#楼-B座502单元</t>
  </si>
  <si>
    <t>DZ1521续3</t>
  </si>
  <si>
    <t>1#楼-1820</t>
  </si>
  <si>
    <t>2023-11-05</t>
  </si>
  <si>
    <t>2024-11-04</t>
  </si>
  <si>
    <t>DZ1727</t>
  </si>
  <si>
    <t>2023-11-06</t>
  </si>
  <si>
    <t>2#楼-2920</t>
  </si>
  <si>
    <t>2024-11-05</t>
  </si>
  <si>
    <t>DZ1639续1</t>
  </si>
  <si>
    <t>1#楼-1001</t>
  </si>
  <si>
    <t>2023-11-07</t>
  </si>
  <si>
    <t>2024-11-06</t>
  </si>
  <si>
    <t>DZ1337续5</t>
  </si>
  <si>
    <t>2#楼-2009</t>
  </si>
  <si>
    <t>2023-11-08</t>
  </si>
  <si>
    <t>2024-11-07</t>
  </si>
  <si>
    <t>DZ1336续5</t>
  </si>
  <si>
    <t>1#楼-1918</t>
  </si>
  <si>
    <t>DZ-Y-74续6</t>
  </si>
  <si>
    <t>2024-02-23</t>
  </si>
  <si>
    <t>赵毅威</t>
  </si>
  <si>
    <t>2#楼-2506</t>
  </si>
  <si>
    <t>2023-11-10</t>
  </si>
  <si>
    <t>2024-11-09</t>
  </si>
  <si>
    <t>DZ1517续3</t>
  </si>
  <si>
    <t>1#楼-1703</t>
  </si>
  <si>
    <t>DZ1725</t>
  </si>
  <si>
    <t>1#楼-1522</t>
  </si>
  <si>
    <t>2023-11-11</t>
  </si>
  <si>
    <t>2024-11-10</t>
  </si>
  <si>
    <t>DZ1731</t>
  </si>
  <si>
    <t>2023-11-21</t>
  </si>
  <si>
    <t>1#楼-1205</t>
  </si>
  <si>
    <t>2023-11-12</t>
  </si>
  <si>
    <t>2024-11-11</t>
  </si>
  <si>
    <t>DZ1732</t>
  </si>
  <si>
    <t>2023-11-13</t>
  </si>
  <si>
    <t>1#楼-1921</t>
  </si>
  <si>
    <t>2024-11-12</t>
  </si>
  <si>
    <t>DZ1730</t>
  </si>
  <si>
    <t>2023-11-09</t>
  </si>
  <si>
    <t>1#楼-1216</t>
  </si>
  <si>
    <t>DZ1641续1</t>
  </si>
  <si>
    <t>1#楼-1020</t>
  </si>
  <si>
    <t>2023-11-14</t>
  </si>
  <si>
    <t>2024-11-13</t>
  </si>
  <si>
    <t>DZ1334续5</t>
  </si>
  <si>
    <t>1#楼-1016</t>
  </si>
  <si>
    <t>2023-11-16</t>
  </si>
  <si>
    <t>2024-11-15</t>
  </si>
  <si>
    <t>DZQYW-XZLHT-2023-008</t>
  </si>
  <si>
    <t>17#楼-B座302单元,17#楼-A座301单元</t>
  </si>
  <si>
    <t>DZ-Y-191</t>
  </si>
  <si>
    <t>李立龙</t>
  </si>
  <si>
    <t>2#楼-2410</t>
  </si>
  <si>
    <t>2023-11-20</t>
  </si>
  <si>
    <t>2024-11-19</t>
  </si>
  <si>
    <t>DZQYW-XZLHT-2023-010</t>
  </si>
  <si>
    <t>2023-12-27</t>
  </si>
  <si>
    <t>北京睿悦生物医药科技有限公司</t>
  </si>
  <si>
    <t>15#楼-B座602单元</t>
  </si>
  <si>
    <t>2023-11-24</t>
  </si>
  <si>
    <t>2028-11-23</t>
  </si>
  <si>
    <t>DZ1244续6</t>
  </si>
  <si>
    <t>2023-10-27</t>
  </si>
  <si>
    <t>2#楼-2313</t>
  </si>
  <si>
    <t>2023-11-25</t>
  </si>
  <si>
    <t>2024-11-24</t>
  </si>
  <si>
    <t>DZ1642续1</t>
  </si>
  <si>
    <t>1#楼-1521</t>
  </si>
  <si>
    <t>DZ1344续5</t>
  </si>
  <si>
    <t>2023-11-28</t>
  </si>
  <si>
    <t>1#楼-1210</t>
  </si>
  <si>
    <t>2023-12-01</t>
  </si>
  <si>
    <t>DZ1442续4</t>
  </si>
  <si>
    <t>2023-12-07</t>
  </si>
  <si>
    <t>2#楼-2823</t>
  </si>
  <si>
    <t>2023-12-05</t>
  </si>
  <si>
    <t>2024-12-04</t>
  </si>
  <si>
    <t>DZ1733.</t>
  </si>
  <si>
    <t>北京赖耶信息科技有限公司</t>
  </si>
  <si>
    <t>1#楼-1203</t>
  </si>
  <si>
    <t>2023-12-08</t>
  </si>
  <si>
    <t>2024-12-07</t>
  </si>
  <si>
    <t>DZ1728</t>
  </si>
  <si>
    <t>1#楼-1615</t>
  </si>
  <si>
    <t>DZ1729</t>
  </si>
  <si>
    <t>1#楼-1315,1#楼-1317,2#楼-2709,2#楼-2807</t>
  </si>
  <si>
    <t>DZ1733</t>
  </si>
  <si>
    <t>2023-12-11</t>
  </si>
  <si>
    <t>2#楼-2505</t>
  </si>
  <si>
    <t>2024-12-10</t>
  </si>
  <si>
    <t>DZ1644续1</t>
  </si>
  <si>
    <t>2023-11-30</t>
  </si>
  <si>
    <t>1#楼-1410</t>
  </si>
  <si>
    <t>DZ-Y-76续6</t>
  </si>
  <si>
    <t>田海燕</t>
  </si>
  <si>
    <t>1#楼-1622</t>
  </si>
  <si>
    <t>2023-12-12</t>
  </si>
  <si>
    <t>2024-12-11</t>
  </si>
  <si>
    <t>DZ1256续6</t>
  </si>
  <si>
    <t>2#楼-2812</t>
  </si>
  <si>
    <t>2023-12-15</t>
  </si>
  <si>
    <t>DZ-Y-77续6</t>
  </si>
  <si>
    <t>2023-11-23</t>
  </si>
  <si>
    <t>林高超</t>
  </si>
  <si>
    <t>2#楼-2306</t>
  </si>
  <si>
    <t>DZ-Y-43续8</t>
  </si>
  <si>
    <t>2023-11-02</t>
  </si>
  <si>
    <t>李亚亮</t>
  </si>
  <si>
    <t>1#楼-1505</t>
  </si>
  <si>
    <t>2023-12-21</t>
  </si>
  <si>
    <t>2024-12-20</t>
  </si>
  <si>
    <t>DZ1529续3</t>
  </si>
  <si>
    <t>1#楼-1321</t>
  </si>
  <si>
    <t>2023-12-25</t>
  </si>
  <si>
    <t>2024-12-24</t>
  </si>
  <si>
    <t>DZ1259续6</t>
  </si>
  <si>
    <t>1#楼-1322</t>
  </si>
  <si>
    <t>2023-12-26</t>
  </si>
  <si>
    <t>2024-12-25</t>
  </si>
  <si>
    <t>DZ1258续6</t>
  </si>
  <si>
    <t>2#楼-2508</t>
  </si>
  <si>
    <t>DZ-Y-192</t>
  </si>
  <si>
    <t>孙欣怡</t>
  </si>
  <si>
    <t>2#楼-2822</t>
  </si>
  <si>
    <t>2023-12-28</t>
  </si>
  <si>
    <t>2024-12-27</t>
  </si>
  <si>
    <t>DZ1357续5</t>
  </si>
  <si>
    <t>2#楼-2922</t>
  </si>
  <si>
    <t>2024-01-01</t>
  </si>
  <si>
    <t>DZ1734</t>
  </si>
  <si>
    <t>2#楼-2718</t>
  </si>
  <si>
    <t>DZQYW-XZLHT-2024-002</t>
  </si>
  <si>
    <t>2024-02-22</t>
  </si>
  <si>
    <t>中国国检测试控股集团股份有限公司</t>
  </si>
  <si>
    <t>4#楼-A座601单元</t>
  </si>
  <si>
    <t>2027-03-31</t>
  </si>
  <si>
    <t>DZ-Y-45续7</t>
  </si>
  <si>
    <t>潘珊珊</t>
  </si>
  <si>
    <t>2#楼-2412</t>
  </si>
  <si>
    <t>DZQYW-XZLHT-2024-001</t>
  </si>
  <si>
    <t>2024-01-12</t>
  </si>
  <si>
    <t>3#楼-B座502单元</t>
  </si>
  <si>
    <t>DZ1356续5</t>
  </si>
  <si>
    <t>2#楼-2307</t>
  </si>
  <si>
    <t>DZQYW-XZLHT-2023-009</t>
  </si>
  <si>
    <t>6#楼-B座402单元,6#楼-A座401单元</t>
  </si>
  <si>
    <t>2026-12-31</t>
  </si>
  <si>
    <t>DZ1262续5</t>
  </si>
  <si>
    <t>2#楼-2513</t>
  </si>
  <si>
    <t>2024-01-02</t>
  </si>
  <si>
    <t>2025-01-01</t>
  </si>
  <si>
    <t>DZ1736</t>
  </si>
  <si>
    <t>2024-01-03</t>
  </si>
  <si>
    <t>2#楼-2502</t>
  </si>
  <si>
    <t>DZ1260续5</t>
  </si>
  <si>
    <t>2#楼-2415</t>
  </si>
  <si>
    <t>DZ1261续5</t>
  </si>
  <si>
    <t>2#楼-2515</t>
  </si>
  <si>
    <t>DZ-Y-130续4</t>
  </si>
  <si>
    <t>2024-01-26</t>
  </si>
  <si>
    <t>张敏</t>
  </si>
  <si>
    <t>1#楼-1905</t>
  </si>
  <si>
    <t>2025-01-02</t>
  </si>
  <si>
    <t>DZ1350续5</t>
  </si>
  <si>
    <t>2023-12-06</t>
  </si>
  <si>
    <t>1#楼-1808</t>
  </si>
  <si>
    <t>2024-01-04</t>
  </si>
  <si>
    <t>2025-01-03</t>
  </si>
  <si>
    <t>DZ1738</t>
  </si>
  <si>
    <t>2#楼-2512</t>
  </si>
  <si>
    <t>2024-01-05</t>
  </si>
  <si>
    <t>2025-01-04</t>
  </si>
  <si>
    <t>DZ1536续3</t>
  </si>
  <si>
    <t>2#楼-2820</t>
  </si>
  <si>
    <t>2024-01-06</t>
  </si>
  <si>
    <t>2025-01-05</t>
  </si>
  <si>
    <t>DZ1535续3</t>
  </si>
  <si>
    <t>1#楼-1019</t>
  </si>
  <si>
    <t>2024-01-09</t>
  </si>
  <si>
    <t>2025-01-08</t>
  </si>
  <si>
    <t>DZ1645续1</t>
  </si>
  <si>
    <t>2#楼-2411</t>
  </si>
  <si>
    <t>2024-01-10</t>
  </si>
  <si>
    <t>2025-01-09</t>
  </si>
  <si>
    <t>DZ1113续7</t>
  </si>
  <si>
    <t>2#楼-2902</t>
  </si>
  <si>
    <t>2024-01-11</t>
  </si>
  <si>
    <t>2025-01-10</t>
  </si>
  <si>
    <t>DZQYW-XZLHT-2018-020-BC-02.</t>
  </si>
  <si>
    <t>3#楼-B座101单元</t>
  </si>
  <si>
    <t>2024-01-15</t>
  </si>
  <si>
    <t>2029-01-14</t>
  </si>
  <si>
    <t>DZ1739</t>
  </si>
  <si>
    <t>2024-01-08</t>
  </si>
  <si>
    <t>2#楼-2012</t>
  </si>
  <si>
    <t>DZ1351续5</t>
  </si>
  <si>
    <t>1#楼-1818</t>
  </si>
  <si>
    <t>DZ-Y-46续7</t>
  </si>
  <si>
    <t>陆建华</t>
  </si>
  <si>
    <t>2#楼-2322</t>
  </si>
  <si>
    <t>DZ1352续5</t>
  </si>
  <si>
    <t>北京天润融通科技股份有限公司</t>
  </si>
  <si>
    <t>1#楼-1811</t>
  </si>
  <si>
    <t>2024-01-18</t>
  </si>
  <si>
    <t>2025-01-17</t>
  </si>
  <si>
    <t>DZ1265续6</t>
  </si>
  <si>
    <t>1#楼-1517</t>
  </si>
  <si>
    <t>DZ1646续1</t>
  </si>
  <si>
    <t>1#楼-1821</t>
  </si>
  <si>
    <t>2024-01-28</t>
  </si>
  <si>
    <t>2025-01-27</t>
  </si>
  <si>
    <t>DZ1359续5</t>
  </si>
  <si>
    <t>1#楼-1313</t>
  </si>
  <si>
    <t>2024-01-29</t>
  </si>
  <si>
    <t>2025-01-28</t>
  </si>
  <si>
    <t>X18-7-3-E-DZQYW-续-BC-03</t>
  </si>
  <si>
    <t>2023-11-22</t>
  </si>
  <si>
    <t>北京健帆医疗设备有限公司</t>
  </si>
  <si>
    <t>7#楼-A座302单元</t>
  </si>
  <si>
    <t>2024-02-01</t>
  </si>
  <si>
    <t>2026-01-31</t>
  </si>
  <si>
    <t>DZ1271续6</t>
  </si>
  <si>
    <t>1#楼-1201</t>
  </si>
  <si>
    <t>2025-01-31</t>
  </si>
  <si>
    <t>DZ1740</t>
  </si>
  <si>
    <t>2024-01-22</t>
  </si>
  <si>
    <t>2#楼-2008</t>
  </si>
  <si>
    <t>DZ-Y-83续6</t>
  </si>
  <si>
    <t>张辉</t>
  </si>
  <si>
    <t>1#楼-1605</t>
  </si>
  <si>
    <t>DZ-Y-01续8</t>
  </si>
  <si>
    <t>2024-02-06</t>
  </si>
  <si>
    <t>刘兴雨</t>
  </si>
  <si>
    <t>1#楼-1511</t>
  </si>
  <si>
    <t>DZ1608续2</t>
  </si>
  <si>
    <t>2#楼-2420</t>
  </si>
  <si>
    <t>2024-02-07</t>
  </si>
  <si>
    <t>2025-02-06</t>
  </si>
  <si>
    <t>DZ1607续2</t>
  </si>
  <si>
    <t>2024-01-25</t>
  </si>
  <si>
    <t>2#楼-2816</t>
  </si>
  <si>
    <t>DZ1609续2</t>
  </si>
  <si>
    <t>1#楼-1010</t>
  </si>
  <si>
    <t>2024-02-08</t>
  </si>
  <si>
    <t>2025-02-07</t>
  </si>
  <si>
    <t>DZ1282续6</t>
  </si>
  <si>
    <t>2#楼-2517</t>
  </si>
  <si>
    <t>2024-02-10</t>
  </si>
  <si>
    <t>2025-02-09</t>
  </si>
  <si>
    <t>DZ1649续1</t>
  </si>
  <si>
    <t>2024-02-05</t>
  </si>
  <si>
    <t>1#楼-1312</t>
  </si>
  <si>
    <t>DZ1279续6</t>
  </si>
  <si>
    <t>2#楼-2909</t>
  </si>
  <si>
    <t>2024-02-12</t>
  </si>
  <si>
    <t>2025-02-11</t>
  </si>
  <si>
    <t>DZ1650续1</t>
  </si>
  <si>
    <t>1#楼-1021</t>
  </si>
  <si>
    <t>2024-02-13</t>
  </si>
  <si>
    <t>2025-02-12</t>
  </si>
  <si>
    <t>DZ-Y-158续2</t>
  </si>
  <si>
    <t>高群</t>
  </si>
  <si>
    <t>2#楼-2002</t>
  </si>
  <si>
    <t>2024-02-14</t>
  </si>
  <si>
    <t>2025-02-13</t>
  </si>
  <si>
    <t>DZ1648续1</t>
  </si>
  <si>
    <t>2#楼-2917</t>
  </si>
  <si>
    <t>2024-02-17</t>
  </si>
  <si>
    <t>2025-02-16</t>
  </si>
  <si>
    <t>DZ1735</t>
  </si>
  <si>
    <t>1#楼-1910</t>
  </si>
  <si>
    <t>2024-02-19</t>
  </si>
  <si>
    <t>2025-02-18</t>
  </si>
  <si>
    <t>DZ1281续6</t>
  </si>
  <si>
    <t>2#楼-2408</t>
  </si>
  <si>
    <t>DZ1742</t>
  </si>
  <si>
    <t>1#楼-1805</t>
  </si>
  <si>
    <t>2024-02-20</t>
  </si>
  <si>
    <t>2025-02-19</t>
  </si>
  <si>
    <t>DZ1741</t>
  </si>
  <si>
    <t>2024-01-24</t>
  </si>
  <si>
    <t>2#楼-2611</t>
  </si>
  <si>
    <t>DZ1651续1</t>
  </si>
  <si>
    <t>2#楼-2320</t>
  </si>
  <si>
    <t>2024-02-24</t>
  </si>
  <si>
    <t>2025-02-23</t>
  </si>
  <si>
    <t>DZ1137续6</t>
  </si>
  <si>
    <t>机械工业仪器仪表综合技术经济研究所</t>
  </si>
  <si>
    <t>2#楼-2617,2#楼-2606,2#楼-2605,2#楼-2603,2#楼-2601</t>
  </si>
  <si>
    <t>2024-02-25</t>
  </si>
  <si>
    <t>2025-02-24</t>
  </si>
  <si>
    <t>DZ1374续5</t>
  </si>
  <si>
    <t>1#楼-1719</t>
  </si>
  <si>
    <t>2024-02-26</t>
  </si>
  <si>
    <t>2025-02-25</t>
  </si>
  <si>
    <t>DZ1547续3</t>
  </si>
  <si>
    <t>1#楼-1710</t>
  </si>
  <si>
    <t>2024-02-27</t>
  </si>
  <si>
    <t>2025-02-26</t>
  </si>
  <si>
    <t>DZ1746</t>
  </si>
  <si>
    <t>2024-02-28</t>
  </si>
  <si>
    <t>2#楼-2005</t>
  </si>
  <si>
    <t>2024-03-01</t>
  </si>
  <si>
    <t>DZ1552续3</t>
  </si>
  <si>
    <t>1#楼-1916</t>
  </si>
  <si>
    <t>DZ1744</t>
  </si>
  <si>
    <t>2024-03-18</t>
  </si>
  <si>
    <t>2#楼-2921</t>
  </si>
  <si>
    <t>DZ1612续2</t>
  </si>
  <si>
    <t>2024-03-11</t>
  </si>
  <si>
    <t>北京德默高科医药技术有限公司</t>
  </si>
  <si>
    <t>2#楼-2418</t>
  </si>
  <si>
    <t>DZQYW-XZLHT-2024-003</t>
  </si>
  <si>
    <t>2024-03-04</t>
  </si>
  <si>
    <t>融智生物科技（青岛）有限公司</t>
  </si>
  <si>
    <t>13#楼-A座401单元</t>
  </si>
  <si>
    <t>DZ1748</t>
  </si>
  <si>
    <t>2#楼-2712</t>
  </si>
  <si>
    <t>DZ1652续1</t>
  </si>
  <si>
    <t>2024-02-29</t>
  </si>
  <si>
    <t>2#楼-2610</t>
  </si>
  <si>
    <t>2024-03-02</t>
  </si>
  <si>
    <t>2025-03-01</t>
  </si>
  <si>
    <t>DZ1553续3</t>
  </si>
  <si>
    <t>1#楼-1508</t>
  </si>
  <si>
    <t>2025-03-03</t>
  </si>
  <si>
    <t>DZ1542续3</t>
  </si>
  <si>
    <t>2024-03-27</t>
  </si>
  <si>
    <t>1#楼-1320</t>
  </si>
  <si>
    <t>2024-03-05</t>
  </si>
  <si>
    <t>2025-03-04</t>
  </si>
  <si>
    <t>DZ1743</t>
  </si>
  <si>
    <t>2024-02-18</t>
  </si>
  <si>
    <t>1#楼-1717,1#楼-1817</t>
  </si>
  <si>
    <t>2024-03-06</t>
  </si>
  <si>
    <t>2025-03-05</t>
  </si>
  <si>
    <t>DZ1289续6</t>
  </si>
  <si>
    <t>1#楼-1701,1#楼-1409</t>
  </si>
  <si>
    <t>2024-03-08</t>
  </si>
  <si>
    <t>2025-03-07</t>
  </si>
  <si>
    <t>DZ1550续3</t>
  </si>
  <si>
    <t>2024-01-30</t>
  </si>
  <si>
    <t>2#楼-2802</t>
  </si>
  <si>
    <t>DZ1548续3</t>
  </si>
  <si>
    <t>1#楼-1721</t>
  </si>
  <si>
    <t>DZ1745</t>
  </si>
  <si>
    <t>1#楼-1718</t>
  </si>
  <si>
    <t>2024-03-10</t>
  </si>
  <si>
    <t>2025-03-09</t>
  </si>
  <si>
    <t>DZ-Y-196</t>
  </si>
  <si>
    <t>彭遥</t>
  </si>
  <si>
    <t>1#楼-1618</t>
  </si>
  <si>
    <t>2025-03-10</t>
  </si>
  <si>
    <t>DZ1376续5</t>
  </si>
  <si>
    <t>河南亿恩科技股份有限公司</t>
  </si>
  <si>
    <t>2#楼-2507</t>
  </si>
  <si>
    <t>2024-03-14</t>
  </si>
  <si>
    <t>2025-03-13</t>
  </si>
  <si>
    <t>DZQYW-XZLHT-2021-001-BC-02</t>
  </si>
  <si>
    <t>9#楼-B座502单元,9#楼-A座501单元</t>
  </si>
  <si>
    <t>2024-03-16</t>
  </si>
  <si>
    <t>DZ1149续6</t>
  </si>
  <si>
    <t>1#楼-1218</t>
  </si>
  <si>
    <t>2025-03-17</t>
  </si>
  <si>
    <t>DZ-Y-195</t>
  </si>
  <si>
    <t>王美洋</t>
  </si>
  <si>
    <t>1#楼-1005</t>
  </si>
  <si>
    <t>DZ1747</t>
  </si>
  <si>
    <t>1#楼-1401</t>
  </si>
  <si>
    <t>2024-03-20</t>
  </si>
  <si>
    <t>2025-03-19</t>
  </si>
  <si>
    <t>DZ1293续6</t>
  </si>
  <si>
    <t>2024-02-16</t>
  </si>
  <si>
    <t>2#楼-2509</t>
  </si>
  <si>
    <t>2024-03-21</t>
  </si>
  <si>
    <t>2025-03-20</t>
  </si>
  <si>
    <t>DZ1613续2</t>
  </si>
  <si>
    <t>北京翯羽初心科技有限公司</t>
  </si>
  <si>
    <t>2#楼-2501</t>
  </si>
  <si>
    <t>2024-03-24</t>
  </si>
  <si>
    <t>2025-03-23</t>
  </si>
  <si>
    <t>DZ1657续1</t>
  </si>
  <si>
    <t>2024-04-18</t>
  </si>
  <si>
    <t>北京富兰地工具有限公司</t>
  </si>
  <si>
    <t>2#楼-2720</t>
  </si>
  <si>
    <t>DZ1150续7</t>
  </si>
  <si>
    <t>2#楼-2301</t>
  </si>
  <si>
    <t>2024-03-25</t>
  </si>
  <si>
    <t>2025-03-24</t>
  </si>
  <si>
    <t>DZ1466续4</t>
  </si>
  <si>
    <t>1#楼-1221</t>
  </si>
  <si>
    <t>2025-03-26</t>
  </si>
  <si>
    <t>DZ1660续1</t>
  </si>
  <si>
    <t>2#楼-2305</t>
  </si>
  <si>
    <t>DZ1654续1</t>
  </si>
  <si>
    <t>2#楼-2608</t>
  </si>
  <si>
    <t>2024-03-31</t>
  </si>
  <si>
    <t>2025-03-30</t>
  </si>
  <si>
    <t>DZQYW-XZLHT-2024-004</t>
  </si>
  <si>
    <t>光科芯图（北京）科技有限公司</t>
  </si>
  <si>
    <t>11#楼-B座102单元,11#楼-B座302单元</t>
  </si>
  <si>
    <t>2024-04-01</t>
  </si>
  <si>
    <t>DZQYW-XZLHT-2021-004-BC-01</t>
  </si>
  <si>
    <t>2024-03-13</t>
  </si>
  <si>
    <t>6#楼-B座302单元</t>
  </si>
  <si>
    <t>DZ1555续3</t>
  </si>
  <si>
    <t>1#楼-1319</t>
  </si>
  <si>
    <t>2025-03-31</t>
  </si>
  <si>
    <t>DZ1157续7</t>
  </si>
  <si>
    <t>2024-03-28</t>
  </si>
  <si>
    <t>北京交大思诺科技股份有限公司</t>
  </si>
  <si>
    <t>2#楼-2717</t>
  </si>
  <si>
    <t>DZQYW-XZLHT-2020-012-BC-07</t>
  </si>
  <si>
    <t>2024-04-15</t>
  </si>
  <si>
    <t>北京金蜂有度数码科技有限公司</t>
  </si>
  <si>
    <t>2#楼-附楼201单元-2</t>
  </si>
  <si>
    <t>DZ1557续3</t>
  </si>
  <si>
    <t>1#楼-1502</t>
  </si>
  <si>
    <t>DZQYW-XZLHT-2024-005</t>
  </si>
  <si>
    <t>瞬联软件科技（北京）有限公司</t>
  </si>
  <si>
    <t>11#楼-A座101单元</t>
  </si>
  <si>
    <t>DZ1748.</t>
  </si>
  <si>
    <t>1#楼-1510</t>
  </si>
  <si>
    <t>2024-04-02</t>
  </si>
  <si>
    <t>2025-04-01</t>
  </si>
  <si>
    <t>DZ1161续7</t>
  </si>
  <si>
    <t>1#楼-1909</t>
  </si>
  <si>
    <t>2024-04-05</t>
  </si>
  <si>
    <t>2025-04-04</t>
  </si>
  <si>
    <t>DZ1751</t>
  </si>
  <si>
    <t>北京万物通联网络科技有限公司</t>
  </si>
  <si>
    <t>1#楼-1812</t>
  </si>
  <si>
    <t>2024-04-07</t>
  </si>
  <si>
    <t>2025-04-06</t>
  </si>
  <si>
    <t>DZ1294续6</t>
  </si>
  <si>
    <t>1#楼-1802</t>
  </si>
  <si>
    <t>2024-04-09</t>
  </si>
  <si>
    <t>2025-04-08</t>
  </si>
  <si>
    <t>DZ-Y-166续1</t>
  </si>
  <si>
    <t>赵同同</t>
  </si>
  <si>
    <t>2#楼-2620</t>
  </si>
  <si>
    <t>2024-04-10</t>
  </si>
  <si>
    <t>2025-04-09</t>
  </si>
  <si>
    <t>DZ1232续7</t>
  </si>
  <si>
    <t>2#楼-2707</t>
  </si>
  <si>
    <t>2024-04-12</t>
  </si>
  <si>
    <t>2025-04-11</t>
  </si>
  <si>
    <t>DZ1383续5</t>
  </si>
  <si>
    <t>1#楼-1620</t>
  </si>
  <si>
    <t>DZ-Y-64续7</t>
  </si>
  <si>
    <t>王敏</t>
  </si>
  <si>
    <t>2#楼-2422</t>
  </si>
  <si>
    <t>DZQYW-XZLHT-2024-006</t>
  </si>
  <si>
    <t>玄武芯材（北京）科技有限公司</t>
  </si>
  <si>
    <t>13#楼-A座301单元</t>
  </si>
  <si>
    <t>2024-04-19</t>
  </si>
  <si>
    <t>2027-04-18</t>
  </si>
  <si>
    <t>DZ1476续4</t>
  </si>
  <si>
    <t>2#楼-2316</t>
  </si>
  <si>
    <t>2024-04-21</t>
  </si>
  <si>
    <t>2025-04-20</t>
  </si>
  <si>
    <t>DZ1288续6</t>
  </si>
  <si>
    <t>2#楼-2923</t>
  </si>
  <si>
    <t>2024-04-23</t>
  </si>
  <si>
    <t>2025-04-22</t>
  </si>
  <si>
    <t>DZ1287续2</t>
  </si>
  <si>
    <t>2#楼-2706</t>
  </si>
  <si>
    <t>2024-04-28</t>
  </si>
  <si>
    <t>2025-04-27</t>
  </si>
  <si>
    <t>DZ1084续9</t>
  </si>
  <si>
    <t>1#楼-1720</t>
  </si>
  <si>
    <t>DZ1663续1</t>
  </si>
  <si>
    <t>2#楼-2021</t>
  </si>
  <si>
    <t>2025-04-29</t>
  </si>
  <si>
    <t>DZ1667续1</t>
  </si>
  <si>
    <t>1#楼-1002</t>
  </si>
  <si>
    <t>DZ1660.续1</t>
  </si>
  <si>
    <t>广电计量检测集团股份有限公司</t>
  </si>
  <si>
    <t>2#楼-2019</t>
  </si>
  <si>
    <t>DZ1754</t>
  </si>
  <si>
    <t>1#楼-1406</t>
  </si>
  <si>
    <t>2024-05-01</t>
  </si>
  <si>
    <t>DZ-Y-133续4</t>
  </si>
  <si>
    <t>王真</t>
  </si>
  <si>
    <t>1#楼-1023</t>
  </si>
  <si>
    <t>DZ-Y-93续6</t>
  </si>
  <si>
    <t>2024-05-06</t>
  </si>
  <si>
    <t>侯文娟</t>
  </si>
  <si>
    <t>1#楼-1819</t>
  </si>
  <si>
    <t>2025-05-01</t>
  </si>
  <si>
    <t>DZ-Y-168续1</t>
  </si>
  <si>
    <t>张萌</t>
  </si>
  <si>
    <t>1#楼-1823</t>
  </si>
  <si>
    <t>2025-05-04</t>
  </si>
  <si>
    <t>DZ1662续1</t>
  </si>
  <si>
    <t>2#楼-2020</t>
  </si>
  <si>
    <t>2024-05-08</t>
  </si>
  <si>
    <t>2025-05-07</t>
  </si>
  <si>
    <t>DZ1176续7</t>
  </si>
  <si>
    <t>2024-04-11</t>
  </si>
  <si>
    <t>2#楼-2423,2#楼-2401</t>
  </si>
  <si>
    <t>2024-05-10</t>
  </si>
  <si>
    <t>2025-05-09</t>
  </si>
  <si>
    <t>DZ1185续7</t>
  </si>
  <si>
    <t>2#楼-2323</t>
  </si>
  <si>
    <t>DZ-Y-134续4</t>
  </si>
  <si>
    <t>1#楼-1705</t>
  </si>
  <si>
    <t>2024-05-16</t>
  </si>
  <si>
    <t>2025-05-15</t>
  </si>
  <si>
    <t>DZ1398续5</t>
  </si>
  <si>
    <t>2#楼-2309</t>
  </si>
  <si>
    <t>2025-05-16</t>
  </si>
  <si>
    <t>DZ1393续5</t>
  </si>
  <si>
    <t>1#楼-1415</t>
  </si>
  <si>
    <t>DZ1392续5</t>
  </si>
  <si>
    <t>1#楼-1307</t>
  </si>
  <si>
    <t>DZ-Y-135续4</t>
  </si>
  <si>
    <t>刘欢</t>
  </si>
  <si>
    <t>1#楼-1907</t>
  </si>
  <si>
    <t>2025-05-19</t>
  </si>
  <si>
    <t>DZ1672续1</t>
  </si>
  <si>
    <t>2#楼-2001</t>
  </si>
  <si>
    <t>2024-05-28</t>
  </si>
  <si>
    <t>2025-05-27</t>
  </si>
  <si>
    <t>DZ1575续3</t>
  </si>
  <si>
    <t>1#楼-1202</t>
  </si>
  <si>
    <t>2024-06-01</t>
  </si>
  <si>
    <t>DZ1619续2</t>
  </si>
  <si>
    <t>1#楼-1207</t>
  </si>
  <si>
    <t>办公已出租</t>
    <phoneticPr fontId="132" type="noConversion"/>
  </si>
  <si>
    <t>宗地容积率</t>
  </si>
  <si>
    <t>与级别开发程度不一致</t>
  </si>
  <si>
    <t>收益法办公</t>
  </si>
  <si>
    <t>收益法办公</t>
    <phoneticPr fontId="16" type="noConversion"/>
  </si>
  <si>
    <t>收益法宿舍</t>
  </si>
  <si>
    <t>收益法宿舍</t>
    <phoneticPr fontId="16" type="noConversion"/>
  </si>
  <si>
    <t>收益法（汇总）</t>
  </si>
  <si>
    <r>
      <t>2023</t>
    </r>
    <r>
      <rPr>
        <sz val="10"/>
        <color indexed="8"/>
        <rFont val="宋体"/>
        <family val="3"/>
        <charset val="134"/>
      </rPr>
      <t>年中安</t>
    </r>
    <phoneticPr fontId="8" type="noConversion"/>
  </si>
  <si>
    <t>项目模式</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</si>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</sst>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9"/>
      <color theme="1"/>
      <name val="Arial"/>
      <family val="2"/>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xf numFmtId="43" fontId="267" fillId="0" borderId="0" applyFont="0" applyFill="0" applyBorder="0" applyAlignment="0" applyProtection="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6" fillId="0" borderId="0" xfId="0" applyFont="1" applyAlignment="1">
      <alignment horizontal="left" vertical="center"/>
    </xf>
    <xf numFmtId="0" fontId="77" fillId="12" borderId="0" xfId="0" applyFont="1" applyFill="1" applyAlignment="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47" fillId="6" borderId="0" xfId="0" applyNumberFormat="1" applyFont="1" applyFill="1" applyProtection="1">
      <alignment vertical="center"/>
      <protection locked="0"/>
    </xf>
    <xf numFmtId="0" fontId="263" fillId="0" borderId="176" xfId="0" applyFont="1" applyBorder="1" applyAlignment="1">
      <alignment vertical="center" wrapText="1"/>
    </xf>
    <xf numFmtId="0" fontId="263" fillId="0" borderId="177" xfId="0" applyFont="1" applyBorder="1" applyAlignment="1">
      <alignment vertical="center" wrapText="1"/>
    </xf>
    <xf numFmtId="0" fontId="268" fillId="0" borderId="178" xfId="0" applyFont="1" applyBorder="1" applyAlignment="1">
      <alignment vertical="center" wrapText="1"/>
    </xf>
    <xf numFmtId="0" fontId="268" fillId="0" borderId="179" xfId="0" applyFont="1" applyBorder="1" applyAlignment="1">
      <alignment vertical="center" wrapText="1"/>
    </xf>
    <xf numFmtId="0" fontId="263" fillId="0" borderId="179" xfId="0" applyFont="1" applyBorder="1" applyAlignment="1">
      <alignment vertical="center" wrapText="1"/>
    </xf>
    <xf numFmtId="0" fontId="263" fillId="0" borderId="178" xfId="0" applyFont="1" applyBorder="1" applyAlignment="1">
      <alignment vertical="center" wrapText="1"/>
    </xf>
    <xf numFmtId="0" fontId="80" fillId="0" borderId="1" xfId="0" applyFont="1" applyBorder="1" applyAlignment="1">
      <alignment horizontal="center" vertical="center" wrapText="1"/>
    </xf>
    <xf numFmtId="43" fontId="80" fillId="0" borderId="1" xfId="19" applyFont="1" applyBorder="1" applyAlignment="1">
      <alignment horizontal="center" vertical="center" wrapText="1"/>
    </xf>
    <xf numFmtId="0" fontId="0" fillId="0" borderId="1" xfId="0" applyBorder="1">
      <alignment vertical="center"/>
    </xf>
    <xf numFmtId="43" fontId="0" fillId="0" borderId="1" xfId="19" applyFont="1" applyBorder="1">
      <alignment vertical="center"/>
    </xf>
    <xf numFmtId="43" fontId="0" fillId="0" borderId="0" xfId="19" applyFont="1">
      <alignment vertical="center"/>
    </xf>
    <xf numFmtId="0" fontId="269" fillId="5" borderId="0" xfId="0" applyFont="1" applyFill="1">
      <alignment vertical="center"/>
    </xf>
    <xf numFmtId="43" fontId="269" fillId="5" borderId="0" xfId="19" applyFont="1" applyFill="1">
      <alignment vertical="center"/>
    </xf>
    <xf numFmtId="0" fontId="0" fillId="0" borderId="0" xfId="0" applyFont="1" applyFill="1" applyBorder="1">
      <alignment vertical="center"/>
    </xf>
    <xf numFmtId="0" fontId="0" fillId="0" borderId="0" xfId="0" applyBorder="1">
      <alignment vertical="center"/>
    </xf>
    <xf numFmtId="43" fontId="0" fillId="0" borderId="0" xfId="19" applyFont="1" applyBorder="1">
      <alignment vertical="center"/>
    </xf>
    <xf numFmtId="0" fontId="96" fillId="5" borderId="1" xfId="0" applyFont="1" applyFill="1" applyBorder="1">
      <alignment vertical="center"/>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4" fillId="0" borderId="0" xfId="9" applyFont="1" applyAlignment="1">
      <alignment horizontal="left" vertical="center"/>
    </xf>
    <xf numFmtId="0" fontId="102" fillId="0" borderId="0" xfId="9" applyFont="1" applyAlignment="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xf numFmtId="181" fontId="99" fillId="22" borderId="1"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8">
    <dxf>
      <font>
        <color rgb="FF9C0006"/>
      </font>
      <fill>
        <patternFill>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估价对象为北京市房地产，为所有。根据《国有土地使用证》[]，估价对象（分摊）出让国有建设用地使用权面积为108355.49平方米，建筑面积为219142.06平方米。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估价对象为北京市房地产,属开发建设的，该项目尚在开发建设中。根据《国有土地使用证》[]，估价对象（分摊）出让国有建设用地使用权面积为108355.49平方米，规划建筑面积为219142.06平方米。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2024年5月9日（评估专业人员实地查勘之日）</v>
      </c>
    </row>
    <row r="13" spans="1:2" s="1203" customFormat="1">
      <c r="A13" s="1201" t="s">
        <v>529</v>
      </c>
      <c r="B13" s="1202" t="str">
        <f>'预评函-1'!A18</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256947</v>
      </c>
    </row>
    <row r="21" spans="1:2" s="1203" customFormat="1">
      <c r="A21" s="1201" t="s">
        <v>537</v>
      </c>
      <c r="B21" s="1202">
        <f ca="1">'预评函-2'!D7</f>
        <v>11725</v>
      </c>
    </row>
    <row r="22" spans="1:2" s="1203" customFormat="1">
      <c r="A22" s="1201" t="s">
        <v>538</v>
      </c>
      <c r="B22" s="1202" t="str">
        <f ca="1">'预评函-2'!D6</f>
        <v>贰拾伍亿陆仟玖佰肆拾柒万元整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256947</v>
      </c>
    </row>
    <row r="31" spans="1:2" s="1203" customFormat="1">
      <c r="A31" s="1201" t="s">
        <v>576</v>
      </c>
      <c r="B31" s="1202">
        <f ca="1">'预评函-2'!D15</f>
        <v>11725</v>
      </c>
    </row>
    <row r="32" spans="1:2" s="1203" customFormat="1">
      <c r="A32" s="1201" t="s">
        <v>543</v>
      </c>
      <c r="B32" s="1202" t="str">
        <f ca="1">'预评函-2'!D14</f>
        <v>贰拾伍亿陆仟玖佰肆拾柒万元整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97683</v>
      </c>
    </row>
    <row r="39" spans="1:2" s="1203" customFormat="1">
      <c r="A39" s="1201" t="s">
        <v>545</v>
      </c>
      <c r="B39" s="1202">
        <f ca="1">'预评函-2'!D21</f>
        <v>4458</v>
      </c>
    </row>
    <row r="40" spans="1:2" s="1203" customFormat="1">
      <c r="A40" s="1201" t="s">
        <v>546</v>
      </c>
      <c r="B40" s="1202" t="str">
        <f ca="1">'预评函-2'!D20</f>
        <v>玖亿柒仟陆佰捌拾叁万元整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219142.06</v>
      </c>
    </row>
    <row r="44" spans="1:2" s="1203" customFormat="1">
      <c r="A44" s="1201" t="s">
        <v>575</v>
      </c>
      <c r="B44" s="1202" t="str">
        <f>'预评函-3'!C2</f>
        <v>(分摊)土地面积</v>
      </c>
    </row>
    <row r="45" spans="1:2" s="1203" customFormat="1">
      <c r="A45" s="1201" t="s">
        <v>547</v>
      </c>
      <c r="B45" s="1202">
        <f>'预评函-3'!C4</f>
        <v>108355.49</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3" sqref="H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4949</v>
      </c>
      <c r="C5" s="1547" t="s">
        <v>318</v>
      </c>
      <c r="F5" s="1548" t="s">
        <v>1015</v>
      </c>
      <c r="G5" s="1548">
        <v>70</v>
      </c>
      <c r="H5" s="1548" t="s">
        <v>1016</v>
      </c>
      <c r="I5" s="1548" t="s">
        <v>3326</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3327</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3328</v>
      </c>
    </row>
    <row r="8" spans="1:23">
      <c r="A8" s="1546" t="s">
        <v>1025</v>
      </c>
      <c r="B8" s="1546" t="s">
        <v>1026</v>
      </c>
      <c r="C8" s="1547" t="s">
        <v>319</v>
      </c>
      <c r="F8" s="1548" t="s">
        <v>1027</v>
      </c>
      <c r="H8" s="1548" t="s">
        <v>2563</v>
      </c>
      <c r="I8" s="1548" t="s">
        <v>3329</v>
      </c>
    </row>
    <row r="9" spans="1:23">
      <c r="A9" s="1546" t="s">
        <v>1028</v>
      </c>
      <c r="B9" s="1546" t="s">
        <v>1029</v>
      </c>
      <c r="C9" s="1547" t="s">
        <v>320</v>
      </c>
      <c r="F9" s="1548" t="s">
        <v>1030</v>
      </c>
      <c r="H9" s="1548"/>
      <c r="I9" s="1551" t="s">
        <v>3330</v>
      </c>
    </row>
    <row r="10" spans="1:23">
      <c r="A10" s="1546" t="s">
        <v>1031</v>
      </c>
      <c r="B10" s="1546" t="s">
        <v>1032</v>
      </c>
      <c r="C10" s="1547" t="s">
        <v>321</v>
      </c>
      <c r="F10" s="1548" t="s">
        <v>2564</v>
      </c>
      <c r="I10" s="1551" t="s">
        <v>3331</v>
      </c>
    </row>
    <row r="11" spans="1:23">
      <c r="A11" s="1546" t="s">
        <v>1033</v>
      </c>
      <c r="B11" s="1546" t="s">
        <v>1034</v>
      </c>
      <c r="C11" s="1547" t="s">
        <v>322</v>
      </c>
      <c r="F11" s="1548" t="s">
        <v>13</v>
      </c>
      <c r="I11" s="1551" t="s">
        <v>3332</v>
      </c>
    </row>
    <row r="12" spans="1:23">
      <c r="A12" s="1546" t="s">
        <v>1035</v>
      </c>
      <c r="B12" s="1546" t="s">
        <v>1036</v>
      </c>
      <c r="C12" s="1547" t="s">
        <v>323</v>
      </c>
      <c r="I12" s="1551" t="s">
        <v>3333</v>
      </c>
    </row>
    <row r="13" spans="1:23">
      <c r="A13" s="1546" t="s">
        <v>1037</v>
      </c>
      <c r="B13" s="1546" t="s">
        <v>1038</v>
      </c>
      <c r="C13" s="1547" t="s">
        <v>324</v>
      </c>
      <c r="I13" s="1551" t="s">
        <v>3334</v>
      </c>
    </row>
    <row r="14" spans="1:23">
      <c r="A14" s="1546" t="s">
        <v>1039</v>
      </c>
      <c r="B14" s="1546" t="s">
        <v>1040</v>
      </c>
      <c r="C14" s="1548" t="s">
        <v>13</v>
      </c>
      <c r="I14" s="1551" t="s">
        <v>3335</v>
      </c>
    </row>
    <row r="15" spans="1:23">
      <c r="A15" s="1546" t="s">
        <v>1041</v>
      </c>
      <c r="B15" s="1546" t="s">
        <v>1042</v>
      </c>
      <c r="C15" s="1547"/>
      <c r="I15" s="1551" t="s">
        <v>3336</v>
      </c>
    </row>
    <row r="16" spans="1:23">
      <c r="A16" s="1546" t="s">
        <v>1043</v>
      </c>
      <c r="B16" s="1546" t="s">
        <v>312</v>
      </c>
      <c r="C16" s="1547"/>
    </row>
    <row r="17" spans="1:3">
      <c r="A17" s="1546" t="s">
        <v>1044</v>
      </c>
      <c r="B17" s="1546" t="s">
        <v>2275</v>
      </c>
      <c r="C17" s="1547"/>
    </row>
    <row r="18" spans="1:3">
      <c r="A18" s="1546" t="s">
        <v>1045</v>
      </c>
      <c r="B18" s="1546" t="s">
        <v>2419</v>
      </c>
      <c r="C18" s="1547"/>
    </row>
    <row r="19" spans="1:3">
      <c r="A19" s="1546" t="s">
        <v>1046</v>
      </c>
      <c r="B19" s="1549" t="s">
        <v>4951</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2486</v>
      </c>
      <c r="B1" s="2993"/>
      <c r="C1" s="2993"/>
      <c r="D1" s="2993"/>
      <c r="E1" s="2993"/>
      <c r="F1" s="2994"/>
      <c r="I1" s="3416" t="s">
        <v>2579</v>
      </c>
      <c r="J1" s="3205"/>
      <c r="K1" s="3205"/>
      <c r="L1" s="3205"/>
      <c r="M1" s="3205"/>
      <c r="N1" s="3417"/>
      <c r="O1" s="3417"/>
      <c r="P1" s="3417"/>
      <c r="Q1" s="3417"/>
      <c r="R1" s="3417"/>
    </row>
    <row r="2" spans="1:18">
      <c r="A2" s="2996"/>
      <c r="B2" s="2997"/>
      <c r="C2" s="2997"/>
      <c r="D2" s="2997"/>
      <c r="E2" s="2997"/>
      <c r="F2" s="2998"/>
      <c r="I2" s="3511" t="s">
        <v>2566</v>
      </c>
      <c r="J2" s="3511"/>
      <c r="K2" s="3511"/>
      <c r="L2" s="3511"/>
      <c r="M2" s="3511"/>
      <c r="N2" s="3511"/>
      <c r="O2" s="3511"/>
      <c r="P2" s="3511"/>
      <c r="Q2" s="3511"/>
      <c r="R2" s="3511"/>
    </row>
    <row r="3" spans="1:18">
      <c r="A3" s="2999" t="s">
        <v>2487</v>
      </c>
      <c r="B3" s="3000">
        <f>项目基本情况!D3</f>
        <v>45421</v>
      </c>
      <c r="C3" s="3002"/>
      <c r="D3" s="3002"/>
      <c r="E3" s="3002"/>
      <c r="F3" s="2998"/>
      <c r="I3" s="3418"/>
      <c r="J3" s="3418" t="s">
        <v>2570</v>
      </c>
      <c r="K3" s="3418" t="s">
        <v>2571</v>
      </c>
      <c r="L3" s="3418" t="s">
        <v>2572</v>
      </c>
      <c r="M3" s="3418" t="s">
        <v>2573</v>
      </c>
      <c r="N3" s="3419" t="s">
        <v>2574</v>
      </c>
      <c r="O3" s="3419" t="s">
        <v>2575</v>
      </c>
      <c r="P3" s="3419" t="s">
        <v>2576</v>
      </c>
      <c r="Q3" s="3419" t="s">
        <v>2577</v>
      </c>
      <c r="R3" s="3419" t="s">
        <v>2578</v>
      </c>
    </row>
    <row r="4" spans="1:18">
      <c r="A4" s="2999" t="s">
        <v>2488</v>
      </c>
      <c r="B4" s="3002" t="s">
        <v>2489</v>
      </c>
      <c r="C4" s="3002" t="s">
        <v>2490</v>
      </c>
      <c r="D4" s="3002" t="s">
        <v>2491</v>
      </c>
      <c r="E4" s="3002" t="s">
        <v>2492</v>
      </c>
      <c r="F4" s="2998"/>
      <c r="I4" s="3418" t="s">
        <v>2567</v>
      </c>
      <c r="J4" s="3418">
        <v>80</v>
      </c>
      <c r="K4" s="3418">
        <v>70</v>
      </c>
      <c r="L4" s="3418">
        <v>20</v>
      </c>
      <c r="M4" s="3418">
        <v>30</v>
      </c>
      <c r="N4" s="3002">
        <v>45</v>
      </c>
      <c r="O4" s="3002">
        <v>60</v>
      </c>
      <c r="P4" s="3002">
        <v>50</v>
      </c>
      <c r="Q4" s="3002">
        <v>20</v>
      </c>
      <c r="R4" s="3002">
        <v>375</v>
      </c>
    </row>
    <row r="5" spans="1:18">
      <c r="A5" s="3003">
        <v>40</v>
      </c>
      <c r="B5" s="3000">
        <v>46375</v>
      </c>
      <c r="C5" s="3002">
        <f>ROUNDDOWN(MIN((B5-B3)/365,A5),2)</f>
        <v>2.61</v>
      </c>
      <c r="D5" s="3004">
        <f>IF(ISERROR(ROUND(POWER(1+E5,A5-C5)*(POWER(1+E5,C5)-1)/(POWER(1+E5,A5)-1),3)),0,ROUND(POWER(1+E5,A5-C5)*(POWER(1+E5,C5)-1)/(POWER(1+E5,A5)-1),4))</f>
        <v>0.1229</v>
      </c>
      <c r="E5" s="3005">
        <v>0.04</v>
      </c>
      <c r="F5" s="2998"/>
      <c r="I5" s="3418" t="s">
        <v>2568</v>
      </c>
      <c r="J5" s="3418">
        <v>70</v>
      </c>
      <c r="K5" s="3418">
        <v>60</v>
      </c>
      <c r="L5" s="3418">
        <v>15</v>
      </c>
      <c r="M5" s="3418">
        <v>25</v>
      </c>
      <c r="N5" s="3002">
        <v>40</v>
      </c>
      <c r="O5" s="3002">
        <v>50</v>
      </c>
      <c r="P5" s="3002">
        <v>40</v>
      </c>
      <c r="Q5" s="3002">
        <v>15</v>
      </c>
      <c r="R5" s="3002">
        <v>315</v>
      </c>
    </row>
    <row r="6" spans="1:18">
      <c r="A6" s="3003">
        <v>50</v>
      </c>
      <c r="B6" s="3000">
        <v>50028</v>
      </c>
      <c r="C6" s="3002">
        <f>ROUNDDOWN(MIN((B6-B3)/365,A6),2)</f>
        <v>12.62</v>
      </c>
      <c r="D6" s="3004">
        <f>IF(ISERROR(ROUND(POWER(1+E6,A6-C6)*(POWER(1+E6,C6)-1)/(POWER(1+E6,A6)-1),3)),0,ROUND(POWER(1+E6,A6-C6)*(POWER(1+E6,C6)-1)/(POWER(1+E6,A6)-1),4))</f>
        <v>0.45429999999999998</v>
      </c>
      <c r="E6" s="3005">
        <v>0.04</v>
      </c>
      <c r="F6" s="2998"/>
      <c r="I6" s="3418" t="s">
        <v>2569</v>
      </c>
      <c r="J6" s="3418">
        <v>60</v>
      </c>
      <c r="K6" s="3418">
        <v>50</v>
      </c>
      <c r="L6" s="3418">
        <v>10</v>
      </c>
      <c r="M6" s="3418">
        <v>20</v>
      </c>
      <c r="N6" s="3002">
        <v>35</v>
      </c>
      <c r="O6" s="3002">
        <v>40</v>
      </c>
      <c r="P6" s="3002">
        <v>30</v>
      </c>
      <c r="Q6" s="3002">
        <v>10</v>
      </c>
      <c r="R6" s="3002">
        <v>255</v>
      </c>
    </row>
    <row r="7" spans="1:18">
      <c r="A7" s="3003">
        <v>70</v>
      </c>
      <c r="B7" s="3000">
        <v>57333</v>
      </c>
      <c r="C7" s="3002">
        <f>ROUNDDOWN(MIN((B7-B3)/365,A7),2)</f>
        <v>32.630000000000003</v>
      </c>
      <c r="D7" s="3004">
        <f>IF(ISERROR(ROUND(POWER(1+E7,A7-C7)*(POWER(1+E7,C7)-1)/(POWER(1+E7,A7)-1),3)),0,ROUND(POWER(1+E7,A7-C7)*(POWER(1+E7,C7)-1)/(POWER(1+E7,A7)-1),4))</f>
        <v>0.77139999999999997</v>
      </c>
      <c r="E7" s="3005">
        <v>0.04</v>
      </c>
      <c r="F7" s="2998"/>
    </row>
    <row r="8" spans="1:18">
      <c r="A8" s="2996"/>
      <c r="B8" s="2997"/>
      <c r="C8" s="2997"/>
      <c r="D8" s="2997"/>
      <c r="E8" s="2997"/>
      <c r="F8" s="2998"/>
    </row>
    <row r="9" spans="1:18">
      <c r="A9" s="2999" t="s">
        <v>2493</v>
      </c>
      <c r="B9" s="3002"/>
      <c r="C9" s="3002"/>
      <c r="D9" s="3002"/>
      <c r="E9" s="3002"/>
      <c r="F9" s="3006"/>
    </row>
    <row r="10" spans="1:18">
      <c r="A10" s="2999" t="s">
        <v>2494</v>
      </c>
      <c r="B10" s="3002"/>
      <c r="C10" s="3002"/>
      <c r="D10" s="3002" t="s">
        <v>2492</v>
      </c>
      <c r="E10" s="3002"/>
      <c r="F10" s="3006" t="s">
        <v>2491</v>
      </c>
    </row>
    <row r="11" spans="1:18">
      <c r="A11" s="2999" t="s">
        <v>2495</v>
      </c>
      <c r="B11" s="3007">
        <v>70</v>
      </c>
      <c r="C11" s="3002" t="s">
        <v>2496</v>
      </c>
      <c r="D11" s="3008">
        <v>4.4999999999999998E-2</v>
      </c>
      <c r="E11" s="3002" t="s">
        <v>2497</v>
      </c>
      <c r="F11" s="3009">
        <f>ROUND(1-(1/(POWER(1+D11,B11))),4)</f>
        <v>0.95409999999999995</v>
      </c>
    </row>
    <row r="12" spans="1:18">
      <c r="A12" s="2999" t="s">
        <v>2498</v>
      </c>
      <c r="B12" s="3007">
        <v>40</v>
      </c>
      <c r="C12" s="3002" t="s">
        <v>2499</v>
      </c>
      <c r="D12" s="3008">
        <v>4.4999999999999998E-2</v>
      </c>
      <c r="E12" s="3002" t="s">
        <v>2500</v>
      </c>
      <c r="F12" s="3009">
        <f>ROUND(1-(1/(POWER(1+D12,B12))),4)</f>
        <v>0.82809999999999995</v>
      </c>
    </row>
    <row r="13" spans="1:18">
      <c r="A13" s="2999" t="s">
        <v>2501</v>
      </c>
      <c r="B13" s="3002"/>
      <c r="C13" s="3002"/>
      <c r="D13" s="2997"/>
      <c r="E13" s="2997"/>
      <c r="F13" s="2998"/>
    </row>
    <row r="14" spans="1:18">
      <c r="A14" s="2999" t="s">
        <v>2502</v>
      </c>
      <c r="B14" s="3007">
        <v>5000</v>
      </c>
      <c r="C14" s="3001"/>
      <c r="D14" s="2997"/>
      <c r="E14" s="2997"/>
      <c r="F14" s="2998"/>
    </row>
    <row r="15" spans="1:18">
      <c r="A15" s="2999" t="s">
        <v>2503</v>
      </c>
      <c r="B15" s="3002">
        <f>ROUND(B14*F12/F11,2)</f>
        <v>4339.6899999999996</v>
      </c>
      <c r="C15" s="3002">
        <f>ROUND(F12/F11,4)</f>
        <v>0.8679</v>
      </c>
      <c r="D15" s="2997"/>
      <c r="E15" s="2997"/>
      <c r="F15" s="2998"/>
    </row>
    <row r="16" spans="1:18">
      <c r="A16" s="2999" t="s">
        <v>2504</v>
      </c>
      <c r="B16" s="3002"/>
      <c r="C16" s="3002"/>
      <c r="D16" s="2997"/>
      <c r="E16" s="2997"/>
      <c r="F16" s="2998"/>
    </row>
    <row r="17" spans="1:13">
      <c r="A17" s="2999" t="s">
        <v>2503</v>
      </c>
      <c r="B17" s="3008">
        <v>4810</v>
      </c>
      <c r="C17" s="3001"/>
      <c r="D17" s="2997"/>
      <c r="E17" s="2997"/>
      <c r="F17" s="2998"/>
    </row>
    <row r="18" spans="1:13" ht="14.25" thickBot="1">
      <c r="A18" s="3010" t="s">
        <v>2502</v>
      </c>
      <c r="B18" s="3011">
        <f>ROUND(B17*F11/F12,2)</f>
        <v>5541.87</v>
      </c>
      <c r="C18" s="3011">
        <f>ROUND(F11/F12,4)</f>
        <v>1.1521999999999999</v>
      </c>
      <c r="D18" s="3012"/>
      <c r="E18" s="3012"/>
      <c r="F18" s="3013"/>
    </row>
    <row r="19" spans="1:13" ht="14.25" thickBot="1"/>
    <row r="20" spans="1:13" s="3048" customFormat="1" ht="14.25" thickTop="1">
      <c r="A20" s="3045" t="s">
        <v>2505</v>
      </c>
      <c r="B20" s="3046"/>
      <c r="C20" s="3046"/>
      <c r="D20" s="3046"/>
      <c r="E20" s="3046"/>
      <c r="F20" s="3046"/>
      <c r="G20" s="3047"/>
      <c r="I20" s="3049" t="s">
        <v>2550</v>
      </c>
      <c r="J20" s="3049" t="s">
        <v>2555</v>
      </c>
      <c r="K20" s="3049"/>
      <c r="L20" s="3049"/>
      <c r="M20" s="3049"/>
    </row>
    <row r="21" spans="1:13">
      <c r="A21" s="3014"/>
      <c r="B21" s="3015" t="s">
        <v>2506</v>
      </c>
      <c r="C21" s="3015" t="s">
        <v>2507</v>
      </c>
      <c r="D21" s="3015" t="s">
        <v>2508</v>
      </c>
      <c r="E21" s="3015" t="s">
        <v>2509</v>
      </c>
      <c r="F21" s="3015" t="s">
        <v>2510</v>
      </c>
      <c r="G21" s="3016" t="s">
        <v>2511</v>
      </c>
      <c r="I21" s="3037">
        <v>5</v>
      </c>
      <c r="J21" s="3037">
        <v>54.2</v>
      </c>
    </row>
    <row r="22" spans="1:13">
      <c r="A22" s="3014" t="s">
        <v>2512</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2513</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2553</v>
      </c>
      <c r="M23" s="3037" t="s">
        <v>2554</v>
      </c>
    </row>
    <row r="24" spans="1:13">
      <c r="A24" s="3014" t="s">
        <v>2514</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2552</v>
      </c>
      <c r="M24" s="3037">
        <v>10</v>
      </c>
    </row>
    <row r="25" spans="1:13">
      <c r="A25" s="3014" t="s">
        <v>2515</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2556</v>
      </c>
      <c r="M25" s="3037">
        <v>8</v>
      </c>
    </row>
    <row r="26" spans="1:13">
      <c r="A26" s="3019"/>
      <c r="B26" s="3020"/>
      <c r="C26" s="3020"/>
      <c r="D26" s="3020"/>
      <c r="E26" s="3020"/>
      <c r="F26" s="3020"/>
      <c r="G26" s="3021"/>
      <c r="I26" s="3037">
        <v>30</v>
      </c>
      <c r="J26" s="3037">
        <v>90.5</v>
      </c>
      <c r="K26" s="3037">
        <f t="shared" si="2"/>
        <v>4.2000000000000028</v>
      </c>
      <c r="L26" s="3037" t="s">
        <v>2557</v>
      </c>
      <c r="M26" s="3037">
        <v>5</v>
      </c>
    </row>
    <row r="27" spans="1:13">
      <c r="A27" s="3019" t="s">
        <v>2516</v>
      </c>
      <c r="B27" s="3020"/>
      <c r="C27" s="3020"/>
      <c r="D27" s="3020"/>
      <c r="E27" s="3020"/>
      <c r="F27" s="3020"/>
      <c r="G27" s="3021"/>
      <c r="I27" s="3037">
        <v>35</v>
      </c>
      <c r="J27" s="3037">
        <v>93.8</v>
      </c>
      <c r="K27" s="3037">
        <f t="shared" si="2"/>
        <v>3.2999999999999972</v>
      </c>
      <c r="L27" s="3037" t="s">
        <v>2558</v>
      </c>
      <c r="M27" s="3037">
        <v>3</v>
      </c>
    </row>
    <row r="28" spans="1:13">
      <c r="A28" s="3019" t="s">
        <v>2517</v>
      </c>
      <c r="B28" s="3020"/>
      <c r="C28" s="3020"/>
      <c r="D28" s="3020"/>
      <c r="E28" s="3020"/>
      <c r="F28" s="3020"/>
      <c r="G28" s="3021"/>
      <c r="I28" s="3037">
        <v>40</v>
      </c>
      <c r="J28" s="3037">
        <v>96.4</v>
      </c>
      <c r="K28" s="3037">
        <f t="shared" si="2"/>
        <v>2.6000000000000085</v>
      </c>
      <c r="L28" s="3037" t="s">
        <v>2559</v>
      </c>
      <c r="M28" s="3037">
        <v>2</v>
      </c>
    </row>
    <row r="29" spans="1:13">
      <c r="A29" s="3019" t="s">
        <v>2518</v>
      </c>
      <c r="B29" s="3020"/>
      <c r="C29" s="3020"/>
      <c r="D29" s="3020"/>
      <c r="E29" s="3020"/>
      <c r="F29" s="3020"/>
      <c r="G29" s="3021"/>
      <c r="I29" s="3037">
        <v>45</v>
      </c>
      <c r="J29" s="3037">
        <v>98.4</v>
      </c>
      <c r="K29" s="3037">
        <f t="shared" si="2"/>
        <v>2</v>
      </c>
    </row>
    <row r="30" spans="1:13">
      <c r="A30" s="3019" t="s">
        <v>2519</v>
      </c>
      <c r="B30" s="3020"/>
      <c r="C30" s="3020"/>
      <c r="D30" s="3020"/>
      <c r="E30" s="3020"/>
      <c r="F30" s="3020"/>
      <c r="G30" s="3021"/>
      <c r="I30" s="3037">
        <v>50</v>
      </c>
      <c r="J30" s="3037">
        <v>100</v>
      </c>
      <c r="K30" s="3037">
        <f t="shared" si="2"/>
        <v>1.5999999999999943</v>
      </c>
    </row>
    <row r="31" spans="1:13">
      <c r="A31" s="3019" t="s">
        <v>2520</v>
      </c>
      <c r="B31" s="3020"/>
      <c r="C31" s="3020"/>
      <c r="D31" s="3020"/>
      <c r="E31" s="3020"/>
      <c r="F31" s="3020"/>
      <c r="G31" s="3021"/>
      <c r="I31" s="3037" t="s">
        <v>2551</v>
      </c>
    </row>
    <row r="32" spans="1:13">
      <c r="A32" s="3019" t="s">
        <v>2521</v>
      </c>
      <c r="B32" s="3020"/>
      <c r="C32" s="3020"/>
      <c r="D32" s="3020"/>
      <c r="E32" s="3020"/>
      <c r="F32" s="3020"/>
      <c r="G32" s="3021"/>
    </row>
    <row r="33" spans="1:13">
      <c r="A33" s="3019" t="s">
        <v>2522</v>
      </c>
      <c r="B33" s="3020"/>
      <c r="C33" s="3020"/>
      <c r="D33" s="3020"/>
      <c r="E33" s="3020"/>
      <c r="F33" s="3020"/>
      <c r="G33" s="3021"/>
      <c r="I33" s="3037" t="s">
        <v>2550</v>
      </c>
      <c r="J33" s="3037" t="s">
        <v>2560</v>
      </c>
    </row>
    <row r="34" spans="1:13">
      <c r="A34" s="3019" t="s">
        <v>2523</v>
      </c>
      <c r="B34" s="3020"/>
      <c r="C34" s="3020"/>
      <c r="D34" s="3020"/>
      <c r="E34" s="3020"/>
      <c r="F34" s="3020"/>
      <c r="G34" s="3021"/>
      <c r="I34" s="3037">
        <v>5</v>
      </c>
      <c r="J34" s="3037">
        <v>55.1</v>
      </c>
    </row>
    <row r="35" spans="1:13">
      <c r="A35" s="3019" t="s">
        <v>2524</v>
      </c>
      <c r="B35" s="3020"/>
      <c r="C35" s="3020"/>
      <c r="D35" s="3020"/>
      <c r="E35" s="3020"/>
      <c r="F35" s="3020"/>
      <c r="G35" s="3021"/>
      <c r="I35" s="3037">
        <v>10</v>
      </c>
      <c r="J35" s="3037">
        <v>67</v>
      </c>
      <c r="K35" s="3037">
        <f>J35-J34</f>
        <v>11.899999999999999</v>
      </c>
    </row>
    <row r="36" spans="1:13">
      <c r="A36" s="3019" t="s">
        <v>2525</v>
      </c>
      <c r="B36" s="3020"/>
      <c r="C36" s="3020"/>
      <c r="D36" s="3020"/>
      <c r="E36" s="3020"/>
      <c r="F36" s="3020"/>
      <c r="G36" s="3021"/>
      <c r="I36" s="3037">
        <v>15</v>
      </c>
      <c r="J36" s="3037">
        <v>76.3</v>
      </c>
      <c r="K36" s="3037">
        <f t="shared" ref="K36:K41" si="3">J36-J35</f>
        <v>9.2999999999999972</v>
      </c>
      <c r="L36" s="3037" t="s">
        <v>2553</v>
      </c>
      <c r="M36" s="3037" t="s">
        <v>2554</v>
      </c>
    </row>
    <row r="37" spans="1:13">
      <c r="A37" s="3019" t="s">
        <v>2526</v>
      </c>
      <c r="B37" s="3020"/>
      <c r="C37" s="3020"/>
      <c r="D37" s="3020"/>
      <c r="E37" s="3020"/>
      <c r="F37" s="3020"/>
      <c r="G37" s="3021"/>
      <c r="I37" s="3037">
        <v>20</v>
      </c>
      <c r="J37" s="3037">
        <v>83.6</v>
      </c>
      <c r="K37" s="3037">
        <f t="shared" si="3"/>
        <v>7.2999999999999972</v>
      </c>
      <c r="L37" s="3037" t="s">
        <v>2552</v>
      </c>
      <c r="M37" s="3037">
        <v>10</v>
      </c>
    </row>
    <row r="38" spans="1:13">
      <c r="A38" s="3019" t="s">
        <v>2527</v>
      </c>
      <c r="B38" s="3020"/>
      <c r="C38" s="3020"/>
      <c r="D38" s="3020"/>
      <c r="E38" s="3020"/>
      <c r="F38" s="3020"/>
      <c r="G38" s="3021"/>
      <c r="I38" s="3037">
        <v>25</v>
      </c>
      <c r="J38" s="3037">
        <v>89.3</v>
      </c>
      <c r="K38" s="3037">
        <f t="shared" si="3"/>
        <v>5.7000000000000028</v>
      </c>
      <c r="L38" s="3037" t="s">
        <v>2556</v>
      </c>
      <c r="M38" s="3037">
        <v>8</v>
      </c>
    </row>
    <row r="39" spans="1:13">
      <c r="A39" s="3019"/>
      <c r="B39" s="3020"/>
      <c r="C39" s="3020"/>
      <c r="D39" s="3020"/>
      <c r="E39" s="3020"/>
      <c r="F39" s="3020"/>
      <c r="G39" s="3021"/>
      <c r="I39" s="3037">
        <v>30</v>
      </c>
      <c r="J39" s="3037">
        <v>93.8</v>
      </c>
      <c r="K39" s="3037">
        <f t="shared" si="3"/>
        <v>4.5</v>
      </c>
      <c r="L39" s="3037" t="s">
        <v>2557</v>
      </c>
      <c r="M39" s="3037">
        <v>6</v>
      </c>
    </row>
    <row r="40" spans="1:13">
      <c r="A40" s="3022" t="s">
        <v>2528</v>
      </c>
      <c r="B40" s="3023"/>
      <c r="C40" s="3023"/>
      <c r="D40" s="3023"/>
      <c r="E40" s="3023"/>
      <c r="F40" s="3023"/>
      <c r="G40" s="3024"/>
      <c r="I40" s="3037">
        <v>35</v>
      </c>
      <c r="J40" s="3037">
        <v>97.2</v>
      </c>
      <c r="K40" s="3037">
        <f t="shared" si="3"/>
        <v>3.4000000000000057</v>
      </c>
      <c r="L40" s="3037" t="s">
        <v>2558</v>
      </c>
      <c r="M40" s="3037">
        <v>3</v>
      </c>
    </row>
    <row r="41" spans="1:13">
      <c r="A41" s="3025" t="s">
        <v>2529</v>
      </c>
      <c r="B41" s="3026" t="s">
        <v>2530</v>
      </c>
      <c r="C41" s="3027" t="s">
        <v>2531</v>
      </c>
      <c r="D41" s="3027" t="s">
        <v>2532</v>
      </c>
      <c r="E41" s="3028"/>
      <c r="F41" s="3029"/>
      <c r="G41" s="3030"/>
      <c r="I41" s="3037">
        <v>40</v>
      </c>
      <c r="J41" s="3037">
        <v>100</v>
      </c>
      <c r="K41" s="3037">
        <f t="shared" si="3"/>
        <v>2.7999999999999972</v>
      </c>
    </row>
    <row r="42" spans="1:13">
      <c r="A42" s="3025" t="s">
        <v>2533</v>
      </c>
      <c r="B42" s="3026" t="s">
        <v>2534</v>
      </c>
      <c r="C42" s="3027" t="s">
        <v>2535</v>
      </c>
      <c r="D42" s="3031" t="s">
        <v>2536</v>
      </c>
      <c r="E42" s="3023" t="s">
        <v>2537</v>
      </c>
      <c r="F42" s="3023"/>
      <c r="G42" s="3024"/>
    </row>
    <row r="43" spans="1:13">
      <c r="A43" s="3025" t="s">
        <v>2538</v>
      </c>
      <c r="B43" s="3026" t="s">
        <v>2539</v>
      </c>
      <c r="C43" s="3027" t="s">
        <v>2540</v>
      </c>
      <c r="D43" s="3027" t="s">
        <v>2541</v>
      </c>
      <c r="E43" s="3028" t="s">
        <v>2542</v>
      </c>
      <c r="F43" s="3029"/>
      <c r="G43" s="3030"/>
      <c r="I43" s="3037" t="s">
        <v>2550</v>
      </c>
      <c r="J43" s="3037" t="s">
        <v>2561</v>
      </c>
    </row>
    <row r="44" spans="1:13">
      <c r="A44" s="3025" t="s">
        <v>2543</v>
      </c>
      <c r="B44" s="3026" t="s">
        <v>2544</v>
      </c>
      <c r="C44" s="3027" t="s">
        <v>2545</v>
      </c>
      <c r="D44" s="3031">
        <v>0.5</v>
      </c>
      <c r="E44" s="3028" t="s">
        <v>2546</v>
      </c>
      <c r="F44" s="3029"/>
      <c r="G44" s="3030"/>
      <c r="I44" s="3037">
        <v>30</v>
      </c>
      <c r="J44" s="3037">
        <v>81.7</v>
      </c>
    </row>
    <row r="45" spans="1:13" ht="14.25" thickBot="1">
      <c r="A45" s="3032" t="s">
        <v>2547</v>
      </c>
      <c r="B45" s="3033" t="s">
        <v>2534</v>
      </c>
      <c r="C45" s="3034" t="s">
        <v>2534</v>
      </c>
      <c r="D45" s="3034" t="s">
        <v>2548</v>
      </c>
      <c r="E45" s="3035" t="s">
        <v>2549</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9" sqref="L3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8" customWidth="1"/>
    <col min="12" max="13" width="10" style="260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2151</v>
      </c>
      <c r="B2" s="2371"/>
      <c r="C2" s="2372"/>
      <c r="D2" s="2650"/>
      <c r="E2" s="2642"/>
      <c r="F2" s="2642"/>
      <c r="G2" s="2643"/>
      <c r="H2" s="2643"/>
      <c r="I2" s="264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2152</v>
      </c>
      <c r="B3" s="2373">
        <v>45421</v>
      </c>
      <c r="C3" s="2374" t="s">
        <v>2153</v>
      </c>
      <c r="D3" s="2373">
        <f>B3</f>
        <v>45421</v>
      </c>
      <c r="E3" s="2643"/>
      <c r="F3" s="2643"/>
      <c r="G3" s="2643"/>
      <c r="H3" s="2643"/>
      <c r="I3" s="264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4"/>
      <c r="F5" s="2644"/>
      <c r="G5" s="2644"/>
      <c r="H5" s="2644"/>
      <c r="I5" s="264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2384"/>
      <c r="C6" s="2385"/>
      <c r="D6" s="2386"/>
      <c r="E6" s="2642"/>
      <c r="F6" s="2644"/>
      <c r="G6" s="2644"/>
      <c r="H6" s="2644"/>
      <c r="I6" s="2644"/>
      <c r="J6" s="2439"/>
      <c r="K6" s="2595" t="str">
        <f>IF(COUNTIF(B6,"*上海银行*"),"上海银行","")</f>
        <v/>
      </c>
      <c r="L6" s="2593"/>
      <c r="M6" s="2593"/>
      <c r="N6" s="2439"/>
      <c r="O6" s="2450"/>
      <c r="P6" s="2439"/>
      <c r="Q6" s="2439"/>
      <c r="R6" s="2439"/>
    </row>
    <row r="7" spans="1:30">
      <c r="A7" s="2383" t="s">
        <v>2157</v>
      </c>
      <c r="B7" s="2387"/>
      <c r="C7" s="2385"/>
      <c r="D7" s="2386"/>
      <c r="E7" s="2642"/>
      <c r="F7" s="2644"/>
      <c r="G7" s="2644"/>
      <c r="H7" s="2644"/>
      <c r="I7" s="2644"/>
      <c r="J7" s="2439"/>
      <c r="K7" s="2596"/>
      <c r="L7" s="2593"/>
      <c r="M7" s="2593"/>
      <c r="N7" s="2439"/>
      <c r="O7" s="2450"/>
      <c r="P7" s="2439"/>
      <c r="Q7" s="2439"/>
      <c r="R7" s="2439"/>
    </row>
    <row r="8" spans="1:30">
      <c r="A8" s="2388" t="s">
        <v>2158</v>
      </c>
      <c r="B8" s="2389" t="s">
        <v>3362</v>
      </c>
      <c r="C8" s="2390"/>
      <c r="D8" s="3515" t="s">
        <v>2159</v>
      </c>
      <c r="E8" s="2391" t="s">
        <v>3366</v>
      </c>
      <c r="F8" s="2392"/>
      <c r="G8" s="2643"/>
      <c r="H8" s="2643"/>
      <c r="I8" s="2643"/>
      <c r="J8" s="2439"/>
      <c r="K8" s="2594"/>
      <c r="L8" s="2593"/>
      <c r="M8" s="2593"/>
      <c r="N8" s="2439"/>
      <c r="O8" s="2450"/>
      <c r="P8" s="2439"/>
      <c r="Q8" s="2439"/>
      <c r="R8" s="2439"/>
    </row>
    <row r="9" spans="1:30" ht="13.5" thickBot="1">
      <c r="A9" s="2393" t="s">
        <v>2160</v>
      </c>
      <c r="B9" s="2394" t="s">
        <v>3366</v>
      </c>
      <c r="C9" s="2395"/>
      <c r="D9" s="3516"/>
      <c r="E9" s="2394" t="s">
        <v>587</v>
      </c>
      <c r="F9" s="2396"/>
      <c r="G9" s="2645"/>
      <c r="H9" s="2645"/>
      <c r="I9" s="2645"/>
      <c r="J9" s="2439"/>
      <c r="K9" s="2596"/>
      <c r="L9" s="2593"/>
      <c r="M9" s="2593"/>
      <c r="N9" s="2439"/>
      <c r="O9" s="2450"/>
      <c r="P9" s="2439"/>
      <c r="Q9" s="2439"/>
      <c r="R9" s="2439"/>
    </row>
    <row r="10" spans="1:30" ht="13.5" thickTop="1">
      <c r="A10" s="2397" t="s">
        <v>2161</v>
      </c>
      <c r="B10" s="2398" t="s">
        <v>3367</v>
      </c>
      <c r="C10" s="2399"/>
      <c r="D10" s="2382"/>
      <c r="E10" s="2400" t="s">
        <v>2162</v>
      </c>
      <c r="F10" s="2646"/>
      <c r="G10" s="2647"/>
      <c r="H10" s="2648"/>
      <c r="I10" s="2649"/>
      <c r="J10" s="2439"/>
      <c r="K10" s="2596"/>
      <c r="L10" s="2593"/>
      <c r="M10" s="2593"/>
      <c r="N10" s="2439"/>
      <c r="O10" s="2450"/>
      <c r="P10" s="2439"/>
      <c r="Q10" s="2439"/>
      <c r="R10" s="2439"/>
    </row>
    <row r="11" spans="1:30">
      <c r="A11" s="2401" t="s">
        <v>2163</v>
      </c>
      <c r="B11" s="2402" t="s">
        <v>3368</v>
      </c>
      <c r="C11" s="2403"/>
      <c r="D11" s="2404"/>
      <c r="E11" s="2370"/>
      <c r="F11" s="2370"/>
      <c r="G11" s="2370"/>
      <c r="H11" s="2370"/>
      <c r="I11" s="2370"/>
      <c r="J11" s="3040"/>
      <c r="K11" s="3039"/>
      <c r="L11" s="2593"/>
      <c r="M11" s="2593"/>
      <c r="N11" s="2439"/>
      <c r="O11" s="2450"/>
      <c r="P11" s="2439"/>
      <c r="Q11" s="2439"/>
      <c r="R11" s="2439"/>
    </row>
    <row r="12" spans="1:30">
      <c r="A12" s="2405" t="s">
        <v>2164</v>
      </c>
      <c r="B12" s="323" t="s">
        <v>2165</v>
      </c>
      <c r="C12" s="2406" t="s">
        <v>2166</v>
      </c>
      <c r="D12" s="2406" t="s">
        <v>2167</v>
      </c>
      <c r="E12" s="2406" t="s">
        <v>2168</v>
      </c>
      <c r="F12" s="2406" t="s">
        <v>2169</v>
      </c>
      <c r="G12" s="2406" t="s">
        <v>2170</v>
      </c>
      <c r="H12" s="2406" t="s">
        <v>2171</v>
      </c>
      <c r="I12" s="3038" t="s">
        <v>2562</v>
      </c>
      <c r="J12" s="3041"/>
      <c r="K12" s="2593"/>
      <c r="L12" s="2593"/>
      <c r="M12" s="2439"/>
      <c r="N12" s="2450"/>
      <c r="O12" s="2439"/>
      <c r="P12" s="2439"/>
      <c r="Q12" s="2439"/>
      <c r="AD12" s="1745"/>
    </row>
    <row r="13" spans="1:30">
      <c r="A13" s="3402" t="s">
        <v>3318</v>
      </c>
      <c r="B13" s="2407" t="s">
        <v>2172</v>
      </c>
      <c r="C13" s="856"/>
      <c r="D13" s="856"/>
      <c r="E13" s="856"/>
      <c r="F13" s="856"/>
      <c r="G13" s="856"/>
      <c r="H13" s="856">
        <v>57855</v>
      </c>
      <c r="I13" s="856"/>
      <c r="J13" s="3041"/>
      <c r="K13" s="2593"/>
      <c r="L13" s="2593"/>
      <c r="M13" s="2439"/>
      <c r="N13" s="2450"/>
      <c r="O13" s="2439"/>
      <c r="P13" s="2439"/>
      <c r="Q13" s="2439"/>
      <c r="AD13" s="1745"/>
    </row>
    <row r="14" spans="1:30">
      <c r="A14" s="1081"/>
      <c r="B14" s="2407" t="s">
        <v>2173</v>
      </c>
      <c r="C14" s="2408"/>
      <c r="D14" s="2408"/>
      <c r="E14" s="2408"/>
      <c r="F14" s="2408"/>
      <c r="G14" s="2408"/>
      <c r="H14" s="2408">
        <v>50</v>
      </c>
      <c r="I14" s="2408"/>
      <c r="J14" s="3042"/>
      <c r="K14" s="2593"/>
      <c r="L14" s="2593"/>
      <c r="M14" s="2439"/>
      <c r="N14" s="2450"/>
      <c r="O14" s="2439"/>
      <c r="P14" s="2439"/>
      <c r="Q14" s="2439"/>
      <c r="AD14" s="1745"/>
    </row>
    <row r="15" spans="1:30">
      <c r="A15" s="320"/>
      <c r="B15" s="2409" t="s">
        <v>2174</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34.06</v>
      </c>
      <c r="I15" s="2410" t="str">
        <f>IF(A13="出让",IF(I13="","",ROUNDDOWN(MIN((I13-$D$3)/365,I14),2)),I14)</f>
        <v/>
      </c>
      <c r="J15" s="3043"/>
      <c r="K15" s="2451"/>
      <c r="L15" s="2451"/>
      <c r="M15" s="2509"/>
      <c r="N15" s="2451"/>
      <c r="O15" s="2509"/>
      <c r="P15" s="2439"/>
      <c r="Q15" s="2439"/>
      <c r="AD15" s="1745"/>
    </row>
    <row r="16" spans="1:30">
      <c r="A16" s="2400" t="s">
        <v>2175</v>
      </c>
      <c r="B16" s="3522"/>
      <c r="C16" s="3523"/>
      <c r="D16" s="3524"/>
      <c r="E16" s="2413" t="s">
        <v>2176</v>
      </c>
      <c r="F16" s="3525"/>
      <c r="G16" s="3526"/>
      <c r="H16" s="3526"/>
      <c r="I16" s="3527"/>
      <c r="J16" s="2439"/>
      <c r="K16" s="2597"/>
      <c r="L16" s="2451"/>
      <c r="M16" s="2451"/>
      <c r="N16" s="2509"/>
      <c r="O16" s="2451"/>
      <c r="P16" s="2509"/>
      <c r="Q16" s="2439"/>
      <c r="R16" s="2439"/>
    </row>
    <row r="17" spans="1:28">
      <c r="A17" s="313" t="s">
        <v>2177</v>
      </c>
      <c r="B17" s="302" t="s">
        <v>2178</v>
      </c>
      <c r="C17" s="8">
        <f>'数据-汇总表'!E3</f>
        <v>219142.06</v>
      </c>
      <c r="D17" s="2322" t="s">
        <v>2179</v>
      </c>
      <c r="E17" s="3528" t="s">
        <v>2180</v>
      </c>
      <c r="F17" s="3529"/>
      <c r="G17" s="3529"/>
      <c r="H17" s="3529"/>
      <c r="I17" s="3530"/>
      <c r="J17" s="2439"/>
      <c r="K17" s="2598"/>
      <c r="L17" s="2451"/>
      <c r="M17" s="2451"/>
      <c r="N17" s="2509"/>
      <c r="O17" s="2451"/>
      <c r="P17" s="2509"/>
      <c r="Q17" s="2439"/>
      <c r="R17" s="2439"/>
      <c r="S17" s="2439"/>
      <c r="T17" s="2439"/>
      <c r="U17" s="2439"/>
      <c r="V17" s="2439"/>
    </row>
    <row r="18" spans="1:28" ht="24.75" thickBot="1">
      <c r="A18" s="2414" t="s">
        <v>2181</v>
      </c>
      <c r="B18" s="1090" t="s">
        <v>2182</v>
      </c>
      <c r="C18" s="2415">
        <f>'数据-汇总表'!D3</f>
        <v>108355.49</v>
      </c>
      <c r="D18" s="1092" t="s">
        <v>2183</v>
      </c>
      <c r="E18" s="3531" t="s">
        <v>2184</v>
      </c>
      <c r="F18" s="3532"/>
      <c r="G18" s="3532"/>
      <c r="H18" s="3532"/>
      <c r="I18" s="3533"/>
      <c r="J18" s="2439"/>
      <c r="K18" s="2598"/>
      <c r="L18" s="2451"/>
      <c r="M18" s="2451"/>
      <c r="N18" s="2509"/>
      <c r="O18" s="2451"/>
      <c r="P18" s="2509"/>
      <c r="Q18" s="2439"/>
      <c r="R18" s="2439"/>
      <c r="S18" s="2439"/>
      <c r="T18" s="2439"/>
      <c r="U18" s="2439"/>
      <c r="V18" s="2439"/>
    </row>
    <row r="19" spans="1:28" ht="37.5" thickTop="1" thickBot="1">
      <c r="A19" s="327" t="s">
        <v>1054</v>
      </c>
      <c r="B19" s="307" t="s">
        <v>2185</v>
      </c>
      <c r="C19" s="1563"/>
      <c r="D19" s="1564" t="s">
        <v>2186</v>
      </c>
      <c r="E19" s="1565"/>
      <c r="F19" s="1566" t="str">
        <f>IF(AND(C19="是",E19="否"),"是否提供他项权证或相关说明","")</f>
        <v/>
      </c>
      <c r="G19" s="1567"/>
      <c r="H19" s="2644"/>
      <c r="I19" s="2644"/>
      <c r="J19" s="2439"/>
      <c r="K19" s="2596"/>
      <c r="L19" s="2593"/>
      <c r="M19" s="2593"/>
      <c r="N19" s="2509"/>
      <c r="O19" s="2451"/>
      <c r="P19" s="2509"/>
      <c r="Q19" s="2439"/>
      <c r="R19" s="2439"/>
      <c r="S19" s="2439"/>
      <c r="T19" s="2439"/>
      <c r="U19" s="2439"/>
      <c r="V19" s="2439"/>
    </row>
    <row r="20" spans="1:28">
      <c r="A20" s="2612" t="s">
        <v>2187</v>
      </c>
      <c r="B20" s="3518" t="s">
        <v>2188</v>
      </c>
      <c r="C20" s="3519"/>
      <c r="D20" s="3520" t="s">
        <v>2189</v>
      </c>
      <c r="E20" s="3521"/>
      <c r="F20" s="2627" t="s">
        <v>1055</v>
      </c>
      <c r="G20" s="2644"/>
      <c r="H20" s="2644"/>
      <c r="I20" s="2644"/>
      <c r="J20" s="2439"/>
      <c r="K20" s="3517" t="s">
        <v>2190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2"/>
      <c r="B21" s="2613" t="s">
        <v>2191</v>
      </c>
      <c r="C21" s="2614" t="s">
        <v>1056</v>
      </c>
      <c r="D21" s="1568" t="s">
        <v>2192</v>
      </c>
      <c r="E21" s="2615" t="s">
        <v>1056</v>
      </c>
      <c r="F21" s="2628"/>
      <c r="G21" s="2644"/>
      <c r="H21" s="2644"/>
      <c r="I21" s="264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2"/>
      <c r="B22" s="2616" t="s">
        <v>2193</v>
      </c>
      <c r="C22" s="2614" t="s">
        <v>1057</v>
      </c>
      <c r="D22" s="2643"/>
      <c r="E22" s="2643"/>
      <c r="F22" s="2643"/>
      <c r="G22" s="2644"/>
      <c r="H22" s="2644"/>
      <c r="I22" s="264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7" t="s">
        <v>2194</v>
      </c>
      <c r="B23" s="2502" t="s">
        <v>2195</v>
      </c>
      <c r="C23" s="2618"/>
      <c r="D23" s="2619" t="s">
        <v>2195</v>
      </c>
      <c r="E23" s="2620"/>
      <c r="F23" s="2643"/>
      <c r="G23" s="2644"/>
      <c r="H23" s="2644"/>
      <c r="I23" s="2644"/>
      <c r="J23" s="2439"/>
      <c r="K23" s="2599"/>
      <c r="L23" s="2475"/>
      <c r="M23" s="2593"/>
      <c r="N23" s="2509"/>
      <c r="O23" s="2451"/>
      <c r="P23" s="2509"/>
      <c r="Q23" s="2439"/>
      <c r="R23" s="2439"/>
      <c r="S23" s="2439"/>
      <c r="T23" s="2439"/>
      <c r="U23" s="2439"/>
      <c r="V23" s="2439"/>
    </row>
    <row r="24" spans="1:28">
      <c r="A24" s="2617"/>
      <c r="B24" s="2502" t="s">
        <v>1058</v>
      </c>
      <c r="C24" s="2621"/>
      <c r="D24" s="2617" t="s">
        <v>1058</v>
      </c>
      <c r="E24" s="2622"/>
      <c r="F24" s="2643"/>
      <c r="G24" s="2644"/>
      <c r="H24" s="2644"/>
      <c r="I24" s="2644"/>
      <c r="J24" s="2439"/>
      <c r="K24" s="2599"/>
      <c r="L24" s="2475"/>
      <c r="M24" s="2593"/>
      <c r="N24" s="2509"/>
      <c r="O24" s="2451"/>
      <c r="P24" s="2509"/>
      <c r="Q24" s="2439"/>
      <c r="R24" s="2439"/>
      <c r="S24" s="2439"/>
      <c r="T24" s="2439"/>
      <c r="U24" s="2439"/>
      <c r="V24" s="2439"/>
    </row>
    <row r="25" spans="1:28">
      <c r="A25" s="2617"/>
      <c r="B25" s="2502" t="s">
        <v>1059</v>
      </c>
      <c r="C25" s="2621"/>
      <c r="D25" s="2617" t="s">
        <v>1059</v>
      </c>
      <c r="E25" s="2622"/>
      <c r="F25" s="2643"/>
      <c r="G25" s="2644"/>
      <c r="H25" s="2644"/>
      <c r="I25" s="2644"/>
      <c r="J25" s="2439"/>
      <c r="K25" s="2596"/>
      <c r="L25" s="2593"/>
      <c r="M25" s="2593"/>
      <c r="N25" s="2509"/>
      <c r="O25" s="2451"/>
      <c r="P25" s="2509"/>
      <c r="Q25" s="2439"/>
      <c r="R25" s="2439"/>
      <c r="S25" s="2439"/>
      <c r="T25" s="2439"/>
      <c r="U25" s="2439"/>
      <c r="V25" s="2439"/>
    </row>
    <row r="26" spans="1:28" ht="13.5" thickBot="1">
      <c r="A26" s="2623"/>
      <c r="B26" s="2624" t="s">
        <v>1060</v>
      </c>
      <c r="C26" s="2625"/>
      <c r="D26" s="2623" t="s">
        <v>1060</v>
      </c>
      <c r="E26" s="2626"/>
      <c r="F26" s="2645"/>
      <c r="G26" s="2645"/>
      <c r="H26" s="2645"/>
      <c r="I26" s="2645"/>
      <c r="J26" s="2439"/>
      <c r="K26" s="2596"/>
      <c r="L26" s="2593"/>
      <c r="M26" s="2593"/>
      <c r="N26" s="2509"/>
      <c r="O26" s="2451"/>
      <c r="P26" s="2509"/>
      <c r="Q26" s="2439"/>
      <c r="R26" s="2439"/>
      <c r="S26" s="2439"/>
      <c r="T26" s="2439"/>
      <c r="U26" s="2439"/>
      <c r="V26" s="2439"/>
    </row>
    <row r="27" spans="1:28" ht="13.5" thickTop="1">
      <c r="A27" s="3535" t="s">
        <v>2196</v>
      </c>
      <c r="B27" s="320" t="s">
        <v>2197</v>
      </c>
      <c r="C27" s="2416"/>
      <c r="D27" s="2417"/>
      <c r="E27" s="2644"/>
      <c r="F27" s="2644"/>
      <c r="G27" s="2644"/>
      <c r="H27" s="2644"/>
      <c r="I27" s="2644"/>
      <c r="J27" s="2439"/>
      <c r="K27" s="2597"/>
      <c r="L27" s="2451"/>
      <c r="M27" s="2451"/>
      <c r="N27" s="2509"/>
      <c r="O27" s="2451"/>
      <c r="P27" s="2509"/>
      <c r="Q27" s="2439"/>
      <c r="R27" s="2439"/>
      <c r="S27" s="2439"/>
      <c r="T27" s="2439"/>
      <c r="U27" s="2439"/>
      <c r="V27" s="2439"/>
    </row>
    <row r="28" spans="1:28">
      <c r="A28" s="3535"/>
      <c r="B28" s="302" t="s">
        <v>2198</v>
      </c>
      <c r="C28" s="2418"/>
      <c r="D28" s="2419"/>
      <c r="E28" s="2644"/>
      <c r="F28" s="2644"/>
      <c r="G28" s="2644"/>
      <c r="H28" s="2644"/>
      <c r="I28" s="2644"/>
      <c r="J28" s="2439"/>
      <c r="K28" s="2596"/>
      <c r="L28" s="2593"/>
      <c r="M28" s="2593"/>
      <c r="N28" s="2439"/>
      <c r="O28" s="2450"/>
      <c r="P28" s="2439"/>
      <c r="Q28" s="2439"/>
      <c r="R28" s="2439"/>
      <c r="S28" s="2439"/>
      <c r="T28" s="2439"/>
      <c r="U28" s="2439"/>
      <c r="V28" s="2439"/>
    </row>
    <row r="29" spans="1:28">
      <c r="A29" s="3535"/>
      <c r="B29" s="302" t="s">
        <v>2199</v>
      </c>
      <c r="C29" s="2420"/>
      <c r="D29" s="2421"/>
      <c r="E29" s="2644"/>
      <c r="F29" s="2644"/>
      <c r="G29" s="2644"/>
      <c r="H29" s="2644"/>
      <c r="I29" s="2644"/>
      <c r="J29" s="2439"/>
      <c r="K29" s="2596"/>
      <c r="L29" s="2593"/>
      <c r="M29" s="2593"/>
      <c r="N29" s="2439"/>
      <c r="O29" s="2450"/>
      <c r="P29" s="2439"/>
      <c r="Q29" s="2439"/>
      <c r="R29" s="2439"/>
      <c r="S29" s="2439"/>
      <c r="T29" s="2439"/>
      <c r="U29" s="2439"/>
      <c r="V29" s="2439"/>
    </row>
    <row r="30" spans="1:28">
      <c r="A30" s="3536"/>
      <c r="B30" s="302" t="s">
        <v>2200</v>
      </c>
      <c r="C30" s="3537"/>
      <c r="D30" s="3538"/>
      <c r="E30" s="2644"/>
      <c r="F30" s="2644"/>
      <c r="G30" s="2644"/>
      <c r="H30" s="2644"/>
      <c r="I30" s="2644"/>
      <c r="J30" s="2439"/>
      <c r="K30" s="2596"/>
      <c r="L30" s="2593"/>
      <c r="M30" s="2593"/>
      <c r="N30" s="2439"/>
      <c r="O30" s="2450"/>
      <c r="P30" s="2439"/>
      <c r="Q30" s="2439"/>
      <c r="R30" s="2439"/>
      <c r="S30" s="2439"/>
      <c r="T30" s="2439"/>
      <c r="U30" s="2439"/>
      <c r="V30" s="2439"/>
    </row>
    <row r="31" spans="1:28">
      <c r="A31" s="3539" t="s">
        <v>2201</v>
      </c>
      <c r="B31" s="2422"/>
      <c r="C31" s="2323" t="str">
        <f>IF(B31="现房","成新及维护状况正常否",IF(B31="在建","工程状态是否正常",IF(B31="土地","是否闲置","-")))</f>
        <v>-</v>
      </c>
      <c r="D31" s="1373"/>
      <c r="E31" s="2423"/>
      <c r="F31" s="2644"/>
      <c r="G31" s="2644"/>
      <c r="H31" s="2644"/>
      <c r="I31" s="2644"/>
      <c r="J31" s="2439"/>
      <c r="K31" s="2595"/>
      <c r="L31" s="2593"/>
      <c r="M31" s="2593"/>
      <c r="N31" s="2439"/>
      <c r="O31" s="2450"/>
      <c r="P31" s="2439"/>
      <c r="Q31" s="2439"/>
      <c r="R31" s="2439"/>
      <c r="S31" s="2439"/>
      <c r="T31" s="2439"/>
      <c r="U31" s="2439"/>
      <c r="V31" s="2439"/>
    </row>
    <row r="32" spans="1:28">
      <c r="A32" s="3540"/>
      <c r="B32" s="2422"/>
      <c r="C32" s="2323" t="str">
        <f>IF(B32="现房","成新及维护状况是否正常",IF(B32="在建","工程状态是否正常",IF(B32="土地","是否闲置","-")))</f>
        <v>-</v>
      </c>
      <c r="D32" s="1373"/>
      <c r="E32" s="2423"/>
      <c r="F32" s="2644"/>
      <c r="G32" s="2644"/>
      <c r="H32" s="2644"/>
      <c r="I32" s="2644"/>
      <c r="J32" s="2439"/>
      <c r="K32" s="2596"/>
      <c r="L32" s="2593"/>
      <c r="M32" s="2593"/>
      <c r="N32" s="2439"/>
      <c r="O32" s="2450"/>
      <c r="P32" s="2439"/>
      <c r="Q32" s="2439"/>
      <c r="R32" s="2439"/>
      <c r="S32" s="2439"/>
      <c r="T32" s="2439"/>
      <c r="U32" s="2439"/>
      <c r="V32" s="2439"/>
    </row>
    <row r="33" spans="1:30">
      <c r="A33" s="3540"/>
      <c r="B33" s="2425"/>
      <c r="C33" s="1590" t="str">
        <f>IF(B33="现房","成新及维护状况是否正常",IF(B33="在建","工程状态是否正常",IF(B33="土地","是否闲置","-")))</f>
        <v>-</v>
      </c>
      <c r="D33" s="1365"/>
      <c r="E33" s="2426"/>
      <c r="F33" s="2644"/>
      <c r="G33" s="2644"/>
      <c r="H33" s="2644"/>
      <c r="I33" s="2644"/>
      <c r="J33" s="2439"/>
      <c r="K33" s="2596"/>
      <c r="L33" s="2593"/>
      <c r="M33" s="2593"/>
      <c r="N33" s="2439"/>
      <c r="O33" s="2450"/>
      <c r="P33" s="2439"/>
      <c r="Q33" s="2439"/>
      <c r="R33" s="2439"/>
      <c r="S33" s="2439"/>
      <c r="T33" s="2439"/>
      <c r="U33" s="2439"/>
      <c r="V33" s="2439"/>
    </row>
    <row r="34" spans="1:30">
      <c r="A34" s="302" t="s">
        <v>2202</v>
      </c>
      <c r="B34" s="2026"/>
      <c r="C34" s="2026"/>
      <c r="D34" s="2026"/>
      <c r="E34" s="2026"/>
      <c r="F34" s="2026"/>
      <c r="G34" s="2026"/>
      <c r="H34" s="2026"/>
      <c r="I34" s="2644"/>
      <c r="J34" s="2439"/>
      <c r="K34" s="2427">
        <f>COUNTIF(B34:H34,"——")</f>
        <v>0</v>
      </c>
      <c r="L34" s="323" t="s">
        <v>2203</v>
      </c>
      <c r="M34" s="323" t="s">
        <v>2204</v>
      </c>
      <c r="N34" s="323" t="s">
        <v>2205</v>
      </c>
      <c r="O34" s="323" t="s">
        <v>2206</v>
      </c>
      <c r="P34" s="323" t="s">
        <v>2207</v>
      </c>
      <c r="Q34" s="323" t="s">
        <v>2208</v>
      </c>
      <c r="R34" s="323" t="s">
        <v>2209</v>
      </c>
      <c r="S34" s="3534" t="s">
        <v>2210</v>
      </c>
      <c r="T34" s="2428" t="str">
        <f>NUMBERSTRING(7-K34,1)&amp;"通"</f>
        <v>七通</v>
      </c>
      <c r="U34" s="2439"/>
      <c r="V34" s="2439"/>
    </row>
    <row r="35" spans="1:30">
      <c r="A35" s="2429"/>
      <c r="B35" s="3541" t="s">
        <v>2211</v>
      </c>
      <c r="C35" s="3541"/>
      <c r="D35" s="3541"/>
      <c r="E35" s="3541"/>
      <c r="F35" s="664">
        <f>C10</f>
        <v>0</v>
      </c>
      <c r="G35" s="2644"/>
      <c r="H35" s="2644"/>
      <c r="I35" s="264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9"/>
      <c r="V35" s="2439"/>
    </row>
    <row r="36" spans="1:30">
      <c r="A36" s="2430"/>
      <c r="B36" s="664" t="s">
        <v>2167</v>
      </c>
      <c r="C36" s="664" t="s">
        <v>2168</v>
      </c>
      <c r="D36" s="664" t="s">
        <v>2166</v>
      </c>
      <c r="E36" s="664" t="s">
        <v>2171</v>
      </c>
      <c r="F36" s="3044" t="s">
        <v>2565</v>
      </c>
      <c r="G36" s="2644"/>
      <c r="H36" s="2644"/>
      <c r="I36" s="2644"/>
      <c r="J36" s="2439"/>
      <c r="K36" s="2596"/>
      <c r="L36" s="2593"/>
      <c r="M36" s="2593"/>
      <c r="N36" s="2439"/>
      <c r="O36" s="2450"/>
      <c r="P36" s="2439"/>
      <c r="Q36" s="2439"/>
      <c r="R36" s="2439"/>
      <c r="S36" s="2439"/>
      <c r="T36" s="2439"/>
      <c r="U36" s="2439"/>
      <c r="V36" s="2439"/>
    </row>
    <row r="37" spans="1:30">
      <c r="A37" s="2610" t="s">
        <v>2212</v>
      </c>
      <c r="B37" s="2431"/>
      <c r="C37" s="2431"/>
      <c r="D37" s="2431"/>
      <c r="E37" s="2431" t="s">
        <v>304</v>
      </c>
      <c r="F37" s="2431"/>
      <c r="G37" s="2644"/>
      <c r="H37" s="2644"/>
      <c r="I37" s="2644"/>
      <c r="J37" s="2439"/>
      <c r="K37" s="2596"/>
      <c r="L37" s="2593"/>
      <c r="M37" s="2593"/>
      <c r="N37" s="2439"/>
      <c r="O37" s="2450"/>
      <c r="P37" s="2439"/>
      <c r="Q37" s="2439"/>
      <c r="R37" s="2439"/>
      <c r="S37" s="2439"/>
      <c r="T37" s="2439"/>
      <c r="U37" s="2439"/>
      <c r="V37" s="2439"/>
    </row>
    <row r="38" spans="1:30" ht="13.5" thickBot="1">
      <c r="A38" s="2611" t="s">
        <v>2213</v>
      </c>
      <c r="B38" s="2432"/>
      <c r="C38" s="2432"/>
      <c r="D38" s="2432"/>
      <c r="E38" s="2432" t="s">
        <v>3442</v>
      </c>
      <c r="F38" s="2432"/>
      <c r="G38" s="2645"/>
      <c r="H38" s="2645"/>
      <c r="I38" s="2645"/>
      <c r="J38" s="2439"/>
      <c r="K38" s="2596"/>
      <c r="L38" s="2593"/>
      <c r="M38" s="2593"/>
      <c r="N38" s="2439"/>
      <c r="O38" s="2450"/>
      <c r="P38" s="2439"/>
      <c r="Q38" s="2439"/>
      <c r="R38" s="2439"/>
      <c r="S38" s="2439"/>
      <c r="T38" s="2439"/>
      <c r="U38" s="2439"/>
      <c r="V38" s="2439"/>
    </row>
    <row r="39" spans="1:30" s="2435" customFormat="1" ht="14.25" thickTop="1" thickBot="1">
      <c r="A39" s="2433" t="s">
        <v>2214</v>
      </c>
      <c r="B39" s="2434"/>
      <c r="C39" s="2434"/>
      <c r="D39" s="2434"/>
      <c r="E39" s="2434"/>
      <c r="F39" s="2434"/>
      <c r="G39" s="2434"/>
      <c r="H39" s="2434"/>
      <c r="I39" s="2434"/>
      <c r="J39" s="2602"/>
      <c r="K39" s="2603"/>
      <c r="L39" s="2602"/>
      <c r="M39" s="2602"/>
      <c r="N39" s="2602"/>
      <c r="O39" s="2604"/>
      <c r="P39" s="2602"/>
      <c r="Q39" s="2602"/>
      <c r="R39" s="2602"/>
      <c r="S39" s="2602"/>
      <c r="T39" s="2602"/>
      <c r="U39" s="2602"/>
      <c r="V39" s="2602"/>
      <c r="W39" s="2605"/>
      <c r="X39" s="2605"/>
      <c r="Y39" s="2605"/>
      <c r="Z39" s="2605"/>
      <c r="AA39" s="2605"/>
      <c r="AB39" s="2605"/>
      <c r="AC39" s="2605"/>
      <c r="AD39" s="2605"/>
    </row>
    <row r="40" spans="1:30">
      <c r="A40" s="2370"/>
      <c r="B40" s="2370"/>
      <c r="C40" s="2370"/>
      <c r="D40" s="2370"/>
      <c r="E40" s="2370"/>
      <c r="F40" s="2370"/>
      <c r="G40" s="2370"/>
      <c r="H40" s="2370"/>
      <c r="I40" s="1578"/>
      <c r="J40" s="2509"/>
      <c r="K40" s="2595"/>
      <c r="L40" s="2451"/>
      <c r="M40" s="2451"/>
      <c r="N40" s="2509"/>
      <c r="O40" s="2451"/>
      <c r="P40" s="2439"/>
      <c r="Q40" s="2439"/>
      <c r="R40" s="2439"/>
      <c r="S40" s="2439"/>
      <c r="T40" s="2439"/>
      <c r="U40" s="2439"/>
      <c r="V40" s="2439"/>
    </row>
    <row r="41" spans="1:30">
      <c r="A41" s="2436" t="s">
        <v>2215</v>
      </c>
      <c r="B41" s="1757"/>
      <c r="C41" s="1373"/>
      <c r="D41" s="2370"/>
      <c r="E41" s="2370"/>
      <c r="F41" s="2370"/>
      <c r="G41" s="2370"/>
      <c r="H41" s="2370"/>
      <c r="I41" s="1576"/>
      <c r="J41" s="2439"/>
      <c r="K41" s="2596"/>
      <c r="L41" s="2593"/>
      <c r="M41" s="2593"/>
      <c r="N41" s="2439"/>
      <c r="O41" s="2450"/>
      <c r="P41" s="2439"/>
      <c r="Q41" s="2439"/>
      <c r="R41" s="2439"/>
      <c r="S41" s="2439"/>
      <c r="T41" s="2439"/>
      <c r="U41" s="2439"/>
      <c r="V41" s="2439"/>
    </row>
    <row r="42" spans="1:30" ht="25.5">
      <c r="A42" s="323" t="s">
        <v>2216</v>
      </c>
      <c r="B42" s="8" t="s">
        <v>2217</v>
      </c>
      <c r="C42" s="8" t="s">
        <v>2218</v>
      </c>
      <c r="D42" s="8" t="s">
        <v>2219</v>
      </c>
      <c r="E42" s="8" t="s">
        <v>2220</v>
      </c>
      <c r="F42" s="8" t="s">
        <v>2221</v>
      </c>
      <c r="G42" s="8" t="s">
        <v>2222</v>
      </c>
      <c r="H42" s="8" t="s">
        <v>2223</v>
      </c>
      <c r="I42" s="8" t="s">
        <v>2224</v>
      </c>
      <c r="J42" s="2606" t="s">
        <v>2225</v>
      </c>
      <c r="K42" s="2607" t="s">
        <v>2226</v>
      </c>
      <c r="L42" s="2607" t="s">
        <v>2227</v>
      </c>
      <c r="M42" s="2607" t="s">
        <v>2228</v>
      </c>
      <c r="N42" s="2600" t="s">
        <v>2229</v>
      </c>
      <c r="O42" s="2600" t="s">
        <v>2230</v>
      </c>
      <c r="P42" s="2600" t="s">
        <v>2231</v>
      </c>
      <c r="Q42" s="2601" t="s">
        <v>2232</v>
      </c>
      <c r="R42" s="2601" t="s">
        <v>2233</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8"/>
  <sheetViews>
    <sheetView workbookViewId="0">
      <selection activeCell="P25" sqref="P25"/>
    </sheetView>
  </sheetViews>
  <sheetFormatPr defaultRowHeight="12"/>
  <cols>
    <col min="1" max="16384" width="9" style="3437"/>
  </cols>
  <sheetData>
    <row r="1" spans="1:9" ht="26.25" thickBot="1">
      <c r="A1" s="3453" t="s">
        <v>3413</v>
      </c>
      <c r="B1" s="3454" t="s">
        <v>3414</v>
      </c>
      <c r="C1" s="3454" t="s">
        <v>3415</v>
      </c>
      <c r="D1" s="3454" t="s">
        <v>3416</v>
      </c>
      <c r="E1" s="3454" t="s">
        <v>3417</v>
      </c>
      <c r="F1" s="3454" t="s">
        <v>3418</v>
      </c>
      <c r="G1" s="3454" t="s">
        <v>3419</v>
      </c>
      <c r="H1" s="3454" t="s">
        <v>3420</v>
      </c>
      <c r="I1" s="3454" t="s">
        <v>3421</v>
      </c>
    </row>
    <row r="2" spans="1:9" ht="26.25" thickBot="1">
      <c r="A2" s="3455" t="s">
        <v>3422</v>
      </c>
      <c r="B2" s="3456" t="s">
        <v>3423</v>
      </c>
      <c r="C2" s="3456">
        <v>24186.799999999999</v>
      </c>
      <c r="D2" s="3456">
        <v>0</v>
      </c>
      <c r="E2" s="3456">
        <v>22218.92</v>
      </c>
      <c r="F2" s="3456">
        <v>201.82</v>
      </c>
      <c r="G2" s="3456">
        <v>1766.06</v>
      </c>
      <c r="H2" s="3457" t="s">
        <v>3424</v>
      </c>
      <c r="I2" s="3457" t="s">
        <v>3425</v>
      </c>
    </row>
    <row r="3" spans="1:9" ht="13.5" thickBot="1">
      <c r="A3" s="3455" t="s">
        <v>3426</v>
      </c>
      <c r="B3" s="3456">
        <v>6</v>
      </c>
      <c r="C3" s="3456">
        <v>23770.1</v>
      </c>
      <c r="D3" s="3456">
        <v>23200.5</v>
      </c>
      <c r="E3" s="3456">
        <v>0</v>
      </c>
      <c r="F3" s="3456">
        <v>569.6</v>
      </c>
      <c r="G3" s="3456">
        <v>0</v>
      </c>
      <c r="H3" s="3457" t="s">
        <v>3416</v>
      </c>
      <c r="I3" s="3457" t="s">
        <v>21</v>
      </c>
    </row>
    <row r="4" spans="1:9" ht="13.5" thickBot="1">
      <c r="A4" s="3455" t="s">
        <v>3427</v>
      </c>
      <c r="B4" s="3456">
        <v>6</v>
      </c>
      <c r="C4" s="3456">
        <v>11211.78</v>
      </c>
      <c r="D4" s="3456">
        <v>10929.3</v>
      </c>
      <c r="E4" s="3456">
        <v>0</v>
      </c>
      <c r="F4" s="3456">
        <v>282.48</v>
      </c>
      <c r="G4" s="3456">
        <v>0</v>
      </c>
      <c r="H4" s="3457" t="s">
        <v>3416</v>
      </c>
      <c r="I4" s="3457" t="s">
        <v>21</v>
      </c>
    </row>
    <row r="5" spans="1:9" ht="13.5" thickBot="1">
      <c r="A5" s="3455" t="s">
        <v>3428</v>
      </c>
      <c r="B5" s="3456">
        <v>5</v>
      </c>
      <c r="C5" s="3456">
        <v>9393.74</v>
      </c>
      <c r="D5" s="3456">
        <v>9111.26</v>
      </c>
      <c r="E5" s="3456">
        <v>0</v>
      </c>
      <c r="F5" s="3456">
        <v>282.48</v>
      </c>
      <c r="G5" s="3456">
        <v>0</v>
      </c>
      <c r="H5" s="3457" t="s">
        <v>3416</v>
      </c>
      <c r="I5" s="3457" t="s">
        <v>21</v>
      </c>
    </row>
    <row r="6" spans="1:9" ht="13.5" thickBot="1">
      <c r="A6" s="3455" t="s">
        <v>3429</v>
      </c>
      <c r="B6" s="3456">
        <v>6</v>
      </c>
      <c r="C6" s="3456">
        <v>11211.78</v>
      </c>
      <c r="D6" s="3456">
        <v>10929.3</v>
      </c>
      <c r="E6" s="3456">
        <v>0</v>
      </c>
      <c r="F6" s="3456">
        <v>282.48</v>
      </c>
      <c r="G6" s="3456">
        <v>0</v>
      </c>
      <c r="H6" s="3457" t="s">
        <v>3416</v>
      </c>
      <c r="I6" s="3457" t="s">
        <v>21</v>
      </c>
    </row>
    <row r="7" spans="1:9" ht="13.5" thickBot="1">
      <c r="A7" s="3455" t="s">
        <v>3430</v>
      </c>
      <c r="B7" s="3456">
        <v>5</v>
      </c>
      <c r="C7" s="3456">
        <v>9393.74</v>
      </c>
      <c r="D7" s="3456">
        <v>9111.26</v>
      </c>
      <c r="E7" s="3456">
        <v>0</v>
      </c>
      <c r="F7" s="3456">
        <v>282.48</v>
      </c>
      <c r="G7" s="3456">
        <v>0</v>
      </c>
      <c r="H7" s="3457" t="s">
        <v>3416</v>
      </c>
      <c r="I7" s="3457" t="s">
        <v>21</v>
      </c>
    </row>
    <row r="8" spans="1:9" ht="13.5" thickBot="1">
      <c r="A8" s="3455" t="s">
        <v>3431</v>
      </c>
      <c r="B8" s="3456">
        <v>5</v>
      </c>
      <c r="C8" s="3456">
        <v>9393.74</v>
      </c>
      <c r="D8" s="3456">
        <v>9111.26</v>
      </c>
      <c r="E8" s="3456">
        <v>0</v>
      </c>
      <c r="F8" s="3456">
        <v>282.48</v>
      </c>
      <c r="G8" s="3456">
        <v>0</v>
      </c>
      <c r="H8" s="3457" t="s">
        <v>3416</v>
      </c>
      <c r="I8" s="3457" t="s">
        <v>21</v>
      </c>
    </row>
    <row r="9" spans="1:9" ht="13.5" thickBot="1">
      <c r="A9" s="3455" t="s">
        <v>3432</v>
      </c>
      <c r="B9" s="3456">
        <v>6</v>
      </c>
      <c r="C9" s="3456">
        <v>11211.78</v>
      </c>
      <c r="D9" s="3456">
        <v>10929.3</v>
      </c>
      <c r="E9" s="3456">
        <v>0</v>
      </c>
      <c r="F9" s="3456">
        <v>282.48</v>
      </c>
      <c r="G9" s="3456">
        <v>0</v>
      </c>
      <c r="H9" s="3457" t="s">
        <v>3416</v>
      </c>
      <c r="I9" s="3457" t="s">
        <v>21</v>
      </c>
    </row>
    <row r="10" spans="1:9" ht="13.5" thickBot="1">
      <c r="A10" s="3455" t="s">
        <v>3433</v>
      </c>
      <c r="B10" s="3456">
        <v>5</v>
      </c>
      <c r="C10" s="3456">
        <v>9393.74</v>
      </c>
      <c r="D10" s="3456">
        <v>9111.26</v>
      </c>
      <c r="E10" s="3456">
        <v>0</v>
      </c>
      <c r="F10" s="3456">
        <v>282.48</v>
      </c>
      <c r="G10" s="3456">
        <v>0</v>
      </c>
      <c r="H10" s="3457" t="s">
        <v>3416</v>
      </c>
      <c r="I10" s="3457" t="s">
        <v>21</v>
      </c>
    </row>
    <row r="11" spans="1:9" ht="13.5" thickBot="1">
      <c r="A11" s="3455" t="s">
        <v>3434</v>
      </c>
      <c r="B11" s="3456">
        <v>6</v>
      </c>
      <c r="C11" s="3456">
        <v>11211.78</v>
      </c>
      <c r="D11" s="3456">
        <v>10929.3</v>
      </c>
      <c r="E11" s="3456">
        <v>0</v>
      </c>
      <c r="F11" s="3456">
        <v>282.48</v>
      </c>
      <c r="G11" s="3456">
        <v>0</v>
      </c>
      <c r="H11" s="3457" t="s">
        <v>3416</v>
      </c>
      <c r="I11" s="3457" t="s">
        <v>21</v>
      </c>
    </row>
    <row r="12" spans="1:9" ht="13.5" thickBot="1">
      <c r="A12" s="3455" t="s">
        <v>3435</v>
      </c>
      <c r="B12" s="3456">
        <v>6</v>
      </c>
      <c r="C12" s="3456">
        <v>11211.78</v>
      </c>
      <c r="D12" s="3456">
        <v>10929.3</v>
      </c>
      <c r="E12" s="3456">
        <v>0</v>
      </c>
      <c r="F12" s="3456">
        <v>282.48</v>
      </c>
      <c r="G12" s="3456">
        <v>0</v>
      </c>
      <c r="H12" s="3457" t="s">
        <v>3416</v>
      </c>
      <c r="I12" s="3457" t="s">
        <v>21</v>
      </c>
    </row>
    <row r="13" spans="1:9" ht="13.5" thickBot="1">
      <c r="A13" s="3455" t="s">
        <v>3436</v>
      </c>
      <c r="B13" s="3456">
        <v>5</v>
      </c>
      <c r="C13" s="3456">
        <v>9393.74</v>
      </c>
      <c r="D13" s="3456">
        <v>9111.26</v>
      </c>
      <c r="E13" s="3456">
        <v>0</v>
      </c>
      <c r="F13" s="3456">
        <v>282.48</v>
      </c>
      <c r="G13" s="3456">
        <v>0</v>
      </c>
      <c r="H13" s="3457" t="s">
        <v>3416</v>
      </c>
      <c r="I13" s="3457" t="s">
        <v>21</v>
      </c>
    </row>
    <row r="14" spans="1:9" ht="13.5" thickBot="1">
      <c r="A14" s="3455" t="s">
        <v>3437</v>
      </c>
      <c r="B14" s="3456">
        <v>6</v>
      </c>
      <c r="C14" s="3456">
        <v>11211.78</v>
      </c>
      <c r="D14" s="3456">
        <v>10929.3</v>
      </c>
      <c r="E14" s="3456">
        <v>0</v>
      </c>
      <c r="F14" s="3456">
        <v>282.48</v>
      </c>
      <c r="G14" s="3456">
        <v>0</v>
      </c>
      <c r="H14" s="3457" t="s">
        <v>3416</v>
      </c>
      <c r="I14" s="3457" t="s">
        <v>21</v>
      </c>
    </row>
    <row r="15" spans="1:9" ht="13.5" thickBot="1">
      <c r="A15" s="3455" t="s">
        <v>3438</v>
      </c>
      <c r="B15" s="3456">
        <v>5</v>
      </c>
      <c r="C15" s="3456">
        <v>9393.74</v>
      </c>
      <c r="D15" s="3456">
        <v>9111.26</v>
      </c>
      <c r="E15" s="3456">
        <v>0</v>
      </c>
      <c r="F15" s="3456">
        <v>282.48</v>
      </c>
      <c r="G15" s="3456">
        <v>0</v>
      </c>
      <c r="H15" s="3457" t="s">
        <v>3416</v>
      </c>
      <c r="I15" s="3457" t="s">
        <v>21</v>
      </c>
    </row>
    <row r="16" spans="1:9" ht="13.5" thickBot="1">
      <c r="A16" s="3455" t="s">
        <v>3439</v>
      </c>
      <c r="B16" s="3456">
        <v>6</v>
      </c>
      <c r="C16" s="3456">
        <v>23781.94</v>
      </c>
      <c r="D16" s="3456">
        <v>23212.34</v>
      </c>
      <c r="E16" s="3456">
        <v>0</v>
      </c>
      <c r="F16" s="3456">
        <v>569.6</v>
      </c>
      <c r="G16" s="3456">
        <v>0</v>
      </c>
      <c r="H16" s="3457" t="s">
        <v>3416</v>
      </c>
      <c r="I16" s="3457" t="s">
        <v>21</v>
      </c>
    </row>
    <row r="17" spans="1:9" ht="13.5" thickBot="1">
      <c r="A17" s="3455" t="s">
        <v>3440</v>
      </c>
      <c r="B17" s="3456">
        <v>6</v>
      </c>
      <c r="C17" s="3456">
        <v>23770.1</v>
      </c>
      <c r="D17" s="3456">
        <v>23200.5</v>
      </c>
      <c r="E17" s="3456">
        <v>0</v>
      </c>
      <c r="F17" s="3456">
        <v>569.6</v>
      </c>
      <c r="G17" s="3456">
        <v>0</v>
      </c>
      <c r="H17" s="3457" t="s">
        <v>3416</v>
      </c>
      <c r="I17" s="3457" t="s">
        <v>21</v>
      </c>
    </row>
    <row r="18" spans="1:9" ht="26.25" thickBot="1">
      <c r="A18" s="3458" t="s">
        <v>3441</v>
      </c>
      <c r="B18" s="3456" t="s">
        <v>43</v>
      </c>
      <c r="C18" s="3456">
        <v>219142.06</v>
      </c>
      <c r="D18" s="3456">
        <v>189856.7</v>
      </c>
      <c r="E18" s="3456">
        <v>22218.92</v>
      </c>
      <c r="F18" s="3456">
        <v>5300.38</v>
      </c>
      <c r="G18" s="3456">
        <v>1766.06</v>
      </c>
      <c r="H18" s="3456" t="s">
        <v>43</v>
      </c>
      <c r="I18" s="3456" t="s">
        <v>43</v>
      </c>
    </row>
  </sheetData>
  <phoneticPr fontId="1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32" sqref="Q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108355.49</v>
      </c>
      <c r="B3" s="11">
        <f>IF(C3="否",G5-AT5,G5)</f>
        <v>219142.06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219142.06</v>
      </c>
      <c r="H5" s="13">
        <f t="shared" ref="H5:AT5" si="0">SUM(H13:H656)</f>
        <v>217376</v>
      </c>
      <c r="I5" s="13">
        <f t="shared" si="0"/>
        <v>194955.26</v>
      </c>
      <c r="J5" s="13">
        <f t="shared" si="0"/>
        <v>0</v>
      </c>
      <c r="K5" s="13">
        <f t="shared" si="0"/>
        <v>22420.739999999998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1766.06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1766.06</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219142.06</v>
      </c>
      <c r="BA5" s="15">
        <f t="shared" si="1"/>
        <v>217376</v>
      </c>
      <c r="BB5" s="15">
        <f t="shared" si="1"/>
        <v>194955.26</v>
      </c>
      <c r="BC5" s="15">
        <f t="shared" si="1"/>
        <v>22420.739999999998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1766.06</v>
      </c>
      <c r="BM5" s="15">
        <f t="shared" si="1"/>
        <v>0</v>
      </c>
      <c r="BN5" s="15">
        <f t="shared" si="1"/>
        <v>0</v>
      </c>
      <c r="BO5" s="15">
        <f t="shared" si="1"/>
        <v>0</v>
      </c>
      <c r="BP5" s="15">
        <f t="shared" si="1"/>
        <v>0</v>
      </c>
      <c r="BQ5" s="15">
        <f t="shared" si="1"/>
        <v>0</v>
      </c>
      <c r="BR5" s="15">
        <f t="shared" si="1"/>
        <v>1766.06</v>
      </c>
      <c r="BS5" s="15">
        <f t="shared" si="1"/>
        <v>0</v>
      </c>
      <c r="BT5" s="16">
        <f t="shared" si="1"/>
        <v>0</v>
      </c>
    </row>
    <row r="6" spans="1:72" s="1589" customFormat="1" ht="12.75">
      <c r="A6" s="12" t="s">
        <v>1071</v>
      </c>
      <c r="B6" s="1586"/>
      <c r="C6" s="1586"/>
      <c r="D6" s="1587"/>
      <c r="E6" s="13">
        <f>H6+AC6+AT6</f>
        <v>108355.48999999999</v>
      </c>
      <c r="F6" s="13" t="s">
        <v>0</v>
      </c>
      <c r="G6" s="13" t="s">
        <v>1</v>
      </c>
      <c r="H6" s="17">
        <f>SUMIF(I$12:AB$12,"总值",I6:AB6)</f>
        <v>107482.26</v>
      </c>
      <c r="I6" s="13">
        <f t="shared" ref="I6:AB6" si="2">ROUND($A$3*I5/$B$3,2)</f>
        <v>96396.25</v>
      </c>
      <c r="J6" s="13">
        <f t="shared" si="2"/>
        <v>0</v>
      </c>
      <c r="K6" s="13">
        <f t="shared" si="2"/>
        <v>11086.01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873.23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873.23</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108355.49</v>
      </c>
      <c r="AZ6" s="13" t="s">
        <v>2</v>
      </c>
      <c r="BA6" s="13">
        <f>ROUND($AY$6*BA5/$AZ$5,2)</f>
        <v>107482.26</v>
      </c>
      <c r="BB6" s="13">
        <f>ROUND($AY$6*BB5/$AZ$5,2)</f>
        <v>96396.25</v>
      </c>
      <c r="BC6" s="13">
        <f t="shared" ref="BC6:BH6" si="4">ROUND($AY$6*BC5/$AZ$5,2)</f>
        <v>11086.01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873.23</v>
      </c>
      <c r="BM6" s="13">
        <f t="shared" si="5"/>
        <v>0</v>
      </c>
      <c r="BN6" s="13">
        <f t="shared" si="5"/>
        <v>0</v>
      </c>
      <c r="BO6" s="13">
        <f t="shared" si="5"/>
        <v>0</v>
      </c>
      <c r="BP6" s="13">
        <f t="shared" si="5"/>
        <v>0</v>
      </c>
      <c r="BQ6" s="13">
        <f t="shared" si="5"/>
        <v>0</v>
      </c>
      <c r="BR6" s="13">
        <f t="shared" si="5"/>
        <v>873.23</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3369</v>
      </c>
      <c r="J9" s="809"/>
      <c r="K9" s="1603" t="s">
        <v>3369</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3443</v>
      </c>
      <c r="J11" s="1615"/>
      <c r="K11" s="1614" t="s">
        <v>3417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宿舍</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tr">
        <f>面积表!A2</f>
        <v>1号楼、2号楼、21幢</v>
      </c>
      <c r="D13" s="1625" t="s">
        <v>3370</v>
      </c>
      <c r="E13" s="13">
        <f>IF($C$3="是",ROUND($A$3*G13/$B$3,2),ROUND($A$3*(G13-AT13)/$B$3,2))</f>
        <v>11959.24</v>
      </c>
      <c r="F13" s="29"/>
      <c r="G13" s="30">
        <f>H13+AC13+AT13</f>
        <v>24186.799999999999</v>
      </c>
      <c r="H13" s="17">
        <f>SUMIF(I$12:AB$12,"总值",I13:AB13)</f>
        <v>22420.739999999998</v>
      </c>
      <c r="I13" s="1626"/>
      <c r="J13" s="1626"/>
      <c r="K13" s="1626">
        <f>面积表!E2+面积表!F2</f>
        <v>22420.739999999998</v>
      </c>
      <c r="L13" s="1626"/>
      <c r="M13" s="1626"/>
      <c r="N13" s="1626"/>
      <c r="O13" s="1626"/>
      <c r="P13" s="1626"/>
      <c r="Q13" s="1626"/>
      <c r="R13" s="1626"/>
      <c r="S13" s="1626"/>
      <c r="T13" s="1626"/>
      <c r="U13" s="1626"/>
      <c r="V13" s="1626"/>
      <c r="W13" s="1626"/>
      <c r="X13" s="1626"/>
      <c r="Y13" s="1626"/>
      <c r="Z13" s="1626"/>
      <c r="AA13" s="1626"/>
      <c r="AB13" s="1626"/>
      <c r="AC13" s="13">
        <f>SUMIF(AD$12:AS$12,"总值",AD13:AS13)</f>
        <v>1766.06</v>
      </c>
      <c r="AD13" s="1627"/>
      <c r="AE13" s="1627"/>
      <c r="AF13" s="1627"/>
      <c r="AG13" s="1627"/>
      <c r="AH13" s="1627"/>
      <c r="AI13" s="1627"/>
      <c r="AJ13" s="1627"/>
      <c r="AK13" s="1627"/>
      <c r="AL13" s="1627"/>
      <c r="AM13" s="1627"/>
      <c r="AN13" s="1627">
        <v>1766.06</v>
      </c>
      <c r="AO13" s="1627"/>
      <c r="AP13" s="1627"/>
      <c r="AQ13" s="1627"/>
      <c r="AR13" s="1627"/>
      <c r="AS13" s="1627"/>
      <c r="AT13" s="1628"/>
      <c r="AU13" s="1629"/>
      <c r="AV13" s="8">
        <f t="shared" ref="AV13:AX17" si="6">A13</f>
        <v>0</v>
      </c>
      <c r="AW13" s="8">
        <f t="shared" si="6"/>
        <v>0</v>
      </c>
      <c r="AX13" s="8" t="str">
        <f t="shared" si="6"/>
        <v>1号楼、2号楼、21幢</v>
      </c>
      <c r="AY13" s="1349">
        <f>ROUND($AY$6*AZ13/$AZ$5,2)</f>
        <v>11959.24</v>
      </c>
      <c r="AZ13" s="13">
        <f>BA13+BL13</f>
        <v>24186.799999999999</v>
      </c>
      <c r="BA13" s="13">
        <f>SUM(BB13:BK13)</f>
        <v>22420.739999999998</v>
      </c>
      <c r="BB13" s="13">
        <f>IF($D13="是",I13-J13,0)</f>
        <v>0</v>
      </c>
      <c r="BC13" s="13">
        <f>IF($D13="是",K13-L13,0)</f>
        <v>22420.739999999998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1766.06</v>
      </c>
      <c r="BM13" s="13">
        <f>IF($D13="是",AD13-AE13,0)</f>
        <v>0</v>
      </c>
      <c r="BN13" s="13">
        <f>IF($D13="是",AF13-AG13,0)</f>
        <v>0</v>
      </c>
      <c r="BO13" s="13">
        <f>IF($D13="是",AH13-AI13,0)</f>
        <v>0</v>
      </c>
      <c r="BP13" s="13">
        <f>IF($D13="是",AJ13-AK13,0)</f>
        <v>0</v>
      </c>
      <c r="BQ13" s="13">
        <f>IF($D13="是",AL13-AM13,0)</f>
        <v>0</v>
      </c>
      <c r="BR13" s="13">
        <f>IF($D13="是",AN13-AO13,0)</f>
        <v>1766.06</v>
      </c>
      <c r="BS13" s="13">
        <f>IF($D13="是",AP13-AQ13,0)</f>
        <v>0</v>
      </c>
      <c r="BT13" s="19">
        <f>IF($D13="是",AR13-AS13,0)</f>
        <v>0</v>
      </c>
    </row>
    <row r="14" spans="1:72" s="1579" customFormat="1" ht="12.75">
      <c r="A14" s="1051"/>
      <c r="B14" s="1051"/>
      <c r="C14" s="1051" t="str">
        <f>面积表!A3</f>
        <v>3～4号楼</v>
      </c>
      <c r="D14" s="1625" t="s">
        <v>3370</v>
      </c>
      <c r="E14" s="13">
        <f>IF($C$3="是",ROUND($A$3*G14/$B$3,2),ROUND($A$3*(G14-AT14)/$B$3,2))</f>
        <v>11753.2</v>
      </c>
      <c r="F14" s="29"/>
      <c r="G14" s="30">
        <f>H14+AC14+AT14</f>
        <v>23770.1</v>
      </c>
      <c r="H14" s="17">
        <f>SUMIF(I$12:AB$12,"总值",I14:AB14)</f>
        <v>23770.1</v>
      </c>
      <c r="I14" s="1626">
        <f>面积表!C3</f>
        <v>23770.1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3～4号楼</v>
      </c>
      <c r="AY14" s="1349">
        <f>ROUND($AY$6*AZ14/$AZ$5,2)</f>
        <v>11753.2</v>
      </c>
      <c r="AZ14" s="13">
        <f>BA14+BL14</f>
        <v>23770.1</v>
      </c>
      <c r="BA14" s="13">
        <f>SUM(BB14:BK14)</f>
        <v>23770.1</v>
      </c>
      <c r="BB14" s="13">
        <f>IF($D14="是",I14-J14,0)</f>
        <v>23770.1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tr">
        <f>面积表!A4</f>
        <v>5号楼</v>
      </c>
      <c r="D15" s="1625" t="s">
        <v>3370</v>
      </c>
      <c r="E15" s="13">
        <f>IF($C$3="是",ROUND($A$3*G15/$B$3,2),ROUND($A$3*(G15-AT15)/$B$3,2))</f>
        <v>5543.7</v>
      </c>
      <c r="F15" s="29"/>
      <c r="G15" s="30">
        <f>H15+AC15+AT15</f>
        <v>11211.78</v>
      </c>
      <c r="H15" s="17">
        <f>SUMIF(I$12:AB$12,"总值",I15:AB15)</f>
        <v>11211.78</v>
      </c>
      <c r="I15" s="1626">
        <f>面积表!C4</f>
        <v>11211.78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5号楼</v>
      </c>
      <c r="AY15" s="1349">
        <f>ROUND($AY$6*AZ15/$AZ$5,2)</f>
        <v>5543.7</v>
      </c>
      <c r="AZ15" s="13">
        <f>BA15+BL15</f>
        <v>11211.78</v>
      </c>
      <c r="BA15" s="13">
        <f>SUM(BB15:BK15)</f>
        <v>11211.78</v>
      </c>
      <c r="BB15" s="13">
        <f>IF($D15="是",I15-J15,0)</f>
        <v>11211.78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tr">
        <f>面积表!A5</f>
        <v>6号楼</v>
      </c>
      <c r="D16" s="1625" t="s">
        <v>3370</v>
      </c>
      <c r="E16" s="13">
        <f>IF($C$3="是",ROUND($A$3*G16/$B$3,2),ROUND($A$3*(G16-AT16)/$B$3,2))</f>
        <v>4644.76</v>
      </c>
      <c r="F16" s="29"/>
      <c r="G16" s="30">
        <f>H16+AC16+AT16</f>
        <v>9393.74</v>
      </c>
      <c r="H16" s="17">
        <f>SUMIF(I$12:AB$12,"总值",I16:AB16)</f>
        <v>9393.74</v>
      </c>
      <c r="I16" s="1626">
        <f>面积表!C5</f>
        <v>9393.74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6号楼</v>
      </c>
      <c r="AY16" s="1349">
        <f>ROUND($AY$6*AZ16/$AZ$5,2)</f>
        <v>4644.76</v>
      </c>
      <c r="AZ16" s="13">
        <f>BA16+BL16</f>
        <v>9393.74</v>
      </c>
      <c r="BA16" s="13">
        <f>SUM(BB16:BK16)</f>
        <v>9393.74</v>
      </c>
      <c r="BB16" s="13">
        <f>IF($D16="是",I16-J16,0)</f>
        <v>9393.74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tr">
        <f>面积表!A6</f>
        <v>7号楼</v>
      </c>
      <c r="D17" s="1625" t="s">
        <v>3370</v>
      </c>
      <c r="E17" s="13">
        <f>IF($C$3="是",ROUND($A$3*G17/$B$3,2),ROUND($A$3*(G17-AT17)/$B$3,2))</f>
        <v>5543.7</v>
      </c>
      <c r="F17" s="29"/>
      <c r="G17" s="30">
        <f>H17+AC17+AT17</f>
        <v>11211.78</v>
      </c>
      <c r="H17" s="17">
        <f>SUMIF(I$12:AB$12,"总值",I17:AB17)</f>
        <v>11211.78</v>
      </c>
      <c r="I17" s="1626">
        <f>面积表!C6</f>
        <v>11211.78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7号楼</v>
      </c>
      <c r="AY17" s="1349">
        <f>ROUND($AY$6*AZ17/$AZ$5,2)</f>
        <v>5543.7</v>
      </c>
      <c r="AZ17" s="13">
        <f>BA17+BL17</f>
        <v>11211.78</v>
      </c>
      <c r="BA17" s="13">
        <f>SUM(BB17:BK17)</f>
        <v>11211.78</v>
      </c>
      <c r="BB17" s="13">
        <f>IF($D17="是",I17-J17,0)</f>
        <v>11211.78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t="str">
        <f>面积表!A7</f>
        <v>8号楼</v>
      </c>
      <c r="D18" s="1625" t="s">
        <v>3370</v>
      </c>
      <c r="E18" s="32">
        <f t="shared" ref="E18:E112" si="7">IF($C$3="是",ROUND($A$3*G18/$B$3,2),ROUND($A$3*(G18-AT18)/$B$3,2))</f>
        <v>4644.76</v>
      </c>
      <c r="F18" s="33"/>
      <c r="G18" s="34">
        <f t="shared" ref="G18:G109" si="8">H18+AC18+AT18</f>
        <v>9393.74</v>
      </c>
      <c r="H18" s="35">
        <f t="shared" ref="H18:H109" si="9">SUMIF(I$12:AB$12,"总值",I18:AB18)</f>
        <v>9393.74</v>
      </c>
      <c r="I18" s="1626">
        <f>面积表!C7</f>
        <v>9393.74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8号楼</v>
      </c>
      <c r="AY18" s="39">
        <f t="shared" ref="AY18:AY109" si="14">ROUND($AY$6*AZ18/$AZ$5,2)</f>
        <v>4644.76</v>
      </c>
      <c r="AZ18" s="32">
        <f t="shared" ref="AZ18:AZ109" si="15">BA18+BL18</f>
        <v>9393.74</v>
      </c>
      <c r="BA18" s="32">
        <f t="shared" ref="BA18:BA109" si="16">SUM(BB18:BK18)</f>
        <v>9393.74</v>
      </c>
      <c r="BB18" s="32">
        <f t="shared" ref="BB18:BB109" si="17">IF($D18="是",I18-J18,0)</f>
        <v>9393.74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t="str">
        <f>面积表!A8</f>
        <v>9号楼</v>
      </c>
      <c r="D19" s="1625" t="s">
        <v>3370</v>
      </c>
      <c r="E19" s="32">
        <f t="shared" si="7"/>
        <v>4644.76</v>
      </c>
      <c r="F19" s="33"/>
      <c r="G19" s="34">
        <f t="shared" si="8"/>
        <v>9393.74</v>
      </c>
      <c r="H19" s="35">
        <f t="shared" si="9"/>
        <v>9393.74</v>
      </c>
      <c r="I19" s="1626">
        <f>面积表!C8</f>
        <v>9393.74</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9号楼</v>
      </c>
      <c r="AY19" s="39">
        <f t="shared" si="14"/>
        <v>4644.76</v>
      </c>
      <c r="AZ19" s="32">
        <f t="shared" si="15"/>
        <v>9393.74</v>
      </c>
      <c r="BA19" s="32">
        <f t="shared" si="16"/>
        <v>9393.74</v>
      </c>
      <c r="BB19" s="32">
        <f t="shared" si="17"/>
        <v>9393.74</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t="str">
        <f>面积表!A9</f>
        <v>10号楼</v>
      </c>
      <c r="D20" s="1625" t="s">
        <v>3370</v>
      </c>
      <c r="E20" s="32">
        <f t="shared" si="7"/>
        <v>5543.7</v>
      </c>
      <c r="F20" s="33"/>
      <c r="G20" s="34">
        <f t="shared" si="8"/>
        <v>11211.78</v>
      </c>
      <c r="H20" s="35">
        <f t="shared" si="9"/>
        <v>11211.78</v>
      </c>
      <c r="I20" s="1626">
        <f>面积表!C9</f>
        <v>11211.78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10号楼</v>
      </c>
      <c r="AY20" s="39">
        <f t="shared" si="14"/>
        <v>5543.7</v>
      </c>
      <c r="AZ20" s="32">
        <f t="shared" si="15"/>
        <v>11211.78</v>
      </c>
      <c r="BA20" s="32">
        <f t="shared" si="16"/>
        <v>11211.78</v>
      </c>
      <c r="BB20" s="32">
        <f t="shared" si="17"/>
        <v>11211.78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t="str">
        <f>面积表!A10</f>
        <v>11号楼</v>
      </c>
      <c r="D21" s="1625" t="s">
        <v>3370</v>
      </c>
      <c r="E21" s="32">
        <f t="shared" si="7"/>
        <v>4644.76</v>
      </c>
      <c r="F21" s="33"/>
      <c r="G21" s="34">
        <f t="shared" si="8"/>
        <v>9393.74</v>
      </c>
      <c r="H21" s="35">
        <f t="shared" si="9"/>
        <v>9393.74</v>
      </c>
      <c r="I21" s="1626">
        <f>面积表!C10</f>
        <v>9393.74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11号楼</v>
      </c>
      <c r="AY21" s="39">
        <f t="shared" si="14"/>
        <v>4644.76</v>
      </c>
      <c r="AZ21" s="32">
        <f t="shared" si="15"/>
        <v>9393.74</v>
      </c>
      <c r="BA21" s="32">
        <f t="shared" si="16"/>
        <v>9393.74</v>
      </c>
      <c r="BB21" s="32">
        <f t="shared" si="17"/>
        <v>9393.74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1" t="str">
        <f>面积表!A11</f>
        <v>12号楼</v>
      </c>
      <c r="D22" s="1625" t="s">
        <v>3370</v>
      </c>
      <c r="E22" s="32">
        <f t="shared" si="7"/>
        <v>5543.7</v>
      </c>
      <c r="F22" s="33"/>
      <c r="G22" s="34">
        <f t="shared" si="8"/>
        <v>11211.78</v>
      </c>
      <c r="H22" s="35">
        <f t="shared" si="9"/>
        <v>11211.78</v>
      </c>
      <c r="I22" s="1626">
        <f>面积表!C11</f>
        <v>11211.78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12号楼</v>
      </c>
      <c r="AY22" s="39">
        <f t="shared" si="14"/>
        <v>5543.7</v>
      </c>
      <c r="AZ22" s="32">
        <f t="shared" si="15"/>
        <v>11211.78</v>
      </c>
      <c r="BA22" s="32">
        <f t="shared" si="16"/>
        <v>11211.78</v>
      </c>
      <c r="BB22" s="32">
        <f t="shared" si="17"/>
        <v>11211.78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1" t="str">
        <f>面积表!A12</f>
        <v>13号楼</v>
      </c>
      <c r="D23" s="1625" t="s">
        <v>3370</v>
      </c>
      <c r="E23" s="32">
        <f t="shared" si="7"/>
        <v>5543.7</v>
      </c>
      <c r="F23" s="33"/>
      <c r="G23" s="34">
        <f t="shared" si="8"/>
        <v>11211.78</v>
      </c>
      <c r="H23" s="35">
        <f t="shared" si="9"/>
        <v>11211.78</v>
      </c>
      <c r="I23" s="1626">
        <f>面积表!C12</f>
        <v>11211.78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13号楼</v>
      </c>
      <c r="AY23" s="39">
        <f t="shared" si="14"/>
        <v>5543.7</v>
      </c>
      <c r="AZ23" s="32">
        <f t="shared" si="15"/>
        <v>11211.78</v>
      </c>
      <c r="BA23" s="32">
        <f t="shared" si="16"/>
        <v>11211.78</v>
      </c>
      <c r="BB23" s="32">
        <f t="shared" si="17"/>
        <v>11211.78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t="str">
        <f>面积表!A13</f>
        <v>14号楼</v>
      </c>
      <c r="D24" s="1625" t="s">
        <v>3370</v>
      </c>
      <c r="E24" s="32">
        <f t="shared" si="7"/>
        <v>4644.76</v>
      </c>
      <c r="F24" s="33"/>
      <c r="G24" s="34">
        <f t="shared" si="8"/>
        <v>9393.74</v>
      </c>
      <c r="H24" s="35">
        <f t="shared" si="9"/>
        <v>9393.74</v>
      </c>
      <c r="I24" s="1626">
        <f>面积表!C13</f>
        <v>9393.74</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14号楼</v>
      </c>
      <c r="AY24" s="39">
        <f t="shared" si="14"/>
        <v>4644.76</v>
      </c>
      <c r="AZ24" s="32">
        <f t="shared" si="15"/>
        <v>9393.74</v>
      </c>
      <c r="BA24" s="32">
        <f t="shared" si="16"/>
        <v>9393.74</v>
      </c>
      <c r="BB24" s="32">
        <f t="shared" si="17"/>
        <v>9393.74</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t="str">
        <f>面积表!A14</f>
        <v>15号楼</v>
      </c>
      <c r="D25" s="1625" t="s">
        <v>3370</v>
      </c>
      <c r="E25" s="32">
        <f t="shared" si="7"/>
        <v>5543.7</v>
      </c>
      <c r="F25" s="33"/>
      <c r="G25" s="34">
        <f t="shared" si="8"/>
        <v>11211.78</v>
      </c>
      <c r="H25" s="35">
        <f t="shared" si="9"/>
        <v>11211.78</v>
      </c>
      <c r="I25" s="1626">
        <f>面积表!C14</f>
        <v>11211.78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15号楼</v>
      </c>
      <c r="AY25" s="39">
        <f t="shared" si="14"/>
        <v>5543.7</v>
      </c>
      <c r="AZ25" s="32">
        <f t="shared" si="15"/>
        <v>11211.78</v>
      </c>
      <c r="BA25" s="32">
        <f t="shared" si="16"/>
        <v>11211.78</v>
      </c>
      <c r="BB25" s="32">
        <f t="shared" si="17"/>
        <v>11211.78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t="str">
        <f>面积表!A15</f>
        <v>16号楼</v>
      </c>
      <c r="D26" s="1625" t="s">
        <v>3370</v>
      </c>
      <c r="E26" s="32">
        <f t="shared" si="7"/>
        <v>4644.76</v>
      </c>
      <c r="F26" s="33"/>
      <c r="G26" s="34">
        <f t="shared" si="8"/>
        <v>9393.74</v>
      </c>
      <c r="H26" s="35">
        <f t="shared" si="9"/>
        <v>9393.74</v>
      </c>
      <c r="I26" s="1626">
        <f>面积表!C15</f>
        <v>9393.74</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16号楼</v>
      </c>
      <c r="AY26" s="39">
        <f t="shared" si="14"/>
        <v>4644.76</v>
      </c>
      <c r="AZ26" s="32">
        <f t="shared" si="15"/>
        <v>9393.74</v>
      </c>
      <c r="BA26" s="32">
        <f t="shared" si="16"/>
        <v>9393.74</v>
      </c>
      <c r="BB26" s="32">
        <f t="shared" si="17"/>
        <v>9393.74</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28.5">
      <c r="A27" s="6"/>
      <c r="B27" s="31"/>
      <c r="C27" s="1051" t="str">
        <f>面积表!A16</f>
        <v>17～18号楼</v>
      </c>
      <c r="D27" s="1625" t="s">
        <v>3370</v>
      </c>
      <c r="E27" s="32">
        <f t="shared" si="7"/>
        <v>11759.06</v>
      </c>
      <c r="F27" s="33"/>
      <c r="G27" s="34">
        <f t="shared" si="8"/>
        <v>23781.94</v>
      </c>
      <c r="H27" s="35">
        <f t="shared" si="9"/>
        <v>23781.94</v>
      </c>
      <c r="I27" s="1626">
        <f>面积表!C16</f>
        <v>23781.94</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17～18号楼</v>
      </c>
      <c r="AY27" s="39">
        <f t="shared" si="14"/>
        <v>11759.06</v>
      </c>
      <c r="AZ27" s="32">
        <f t="shared" si="15"/>
        <v>23781.94</v>
      </c>
      <c r="BA27" s="32">
        <f t="shared" si="16"/>
        <v>23781.94</v>
      </c>
      <c r="BB27" s="32">
        <f t="shared" si="17"/>
        <v>23781.94</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28.5">
      <c r="A28" s="6"/>
      <c r="B28" s="31"/>
      <c r="C28" s="1051" t="str">
        <f>面积表!A17</f>
        <v>19～20号楼</v>
      </c>
      <c r="D28" s="1625" t="s">
        <v>3370</v>
      </c>
      <c r="E28" s="32">
        <f t="shared" si="7"/>
        <v>11753.2</v>
      </c>
      <c r="F28" s="33"/>
      <c r="G28" s="34">
        <f t="shared" si="8"/>
        <v>23770.1</v>
      </c>
      <c r="H28" s="35">
        <f t="shared" si="9"/>
        <v>23770.1</v>
      </c>
      <c r="I28" s="1626">
        <f>面积表!C17</f>
        <v>23770.1</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19～20号楼</v>
      </c>
      <c r="AY28" s="39">
        <f t="shared" si="14"/>
        <v>11753.2</v>
      </c>
      <c r="AZ28" s="32">
        <f t="shared" si="15"/>
        <v>23770.1</v>
      </c>
      <c r="BA28" s="32">
        <f t="shared" si="16"/>
        <v>23770.1</v>
      </c>
      <c r="BB28" s="32">
        <f t="shared" si="17"/>
        <v>23770.1</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5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5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9" sqref="L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1" t="s">
        <v>1130</v>
      </c>
      <c r="B2" s="3551"/>
      <c r="C2" s="3551"/>
      <c r="D2" s="796" t="s">
        <v>1106</v>
      </c>
      <c r="E2" s="1639" t="s">
        <v>1107</v>
      </c>
      <c r="F2" s="2639"/>
      <c r="G2" s="2630"/>
      <c r="H2" s="2631"/>
      <c r="I2" s="2325" t="s">
        <v>1131</v>
      </c>
      <c r="J2" s="2639"/>
      <c r="K2" s="2639"/>
      <c r="L2" s="2639"/>
      <c r="M2" s="2639"/>
      <c r="N2" s="2641"/>
      <c r="O2" s="2639"/>
      <c r="P2" s="2639"/>
    </row>
    <row r="3" spans="1:16" ht="15.75" thickBot="1">
      <c r="A3" s="3552" t="s">
        <v>1104</v>
      </c>
      <c r="B3" s="3552"/>
      <c r="C3" s="3552"/>
      <c r="D3" s="43">
        <f>'数据-基础表'!AY6</f>
        <v>108355.49</v>
      </c>
      <c r="E3" s="43">
        <f>'数据-基础表'!AZ5</f>
        <v>219142.06</v>
      </c>
      <c r="F3" s="2639"/>
      <c r="G3" s="1145"/>
      <c r="H3" s="1026" t="s">
        <v>1105</v>
      </c>
      <c r="I3" s="855">
        <f>ROUND('数据-基础表'!B3/'数据-基础表'!A3,2)</f>
        <v>2.02</v>
      </c>
      <c r="J3" s="2639"/>
      <c r="K3" s="2639"/>
      <c r="L3" s="2639"/>
      <c r="M3" s="2639"/>
      <c r="N3" s="2641"/>
      <c r="O3" s="2639"/>
      <c r="P3" s="2639"/>
    </row>
    <row r="4" spans="1:16" ht="15">
      <c r="A4" s="3553"/>
      <c r="B4" s="3554"/>
      <c r="C4" s="3555"/>
      <c r="D4" s="1641" t="s">
        <v>1106</v>
      </c>
      <c r="E4" s="1642" t="s">
        <v>1107</v>
      </c>
      <c r="F4" s="2639"/>
      <c r="G4" s="2632" t="s">
        <v>1132</v>
      </c>
      <c r="H4" s="1026" t="s">
        <v>1112</v>
      </c>
      <c r="I4" s="855">
        <f>ROUND(SUMIF('数据-基础表'!I9:AS9,"地上",'数据-基础表'!I5:AS5)/'数据-基础表'!A3,2)</f>
        <v>2.0099999999999998</v>
      </c>
      <c r="J4" s="2639"/>
      <c r="K4" s="2639"/>
      <c r="L4" s="2639"/>
      <c r="M4" s="2639"/>
      <c r="N4" s="2641"/>
      <c r="O4" s="2639"/>
      <c r="P4" s="2639"/>
    </row>
    <row r="5" spans="1:16">
      <c r="A5" s="44" t="s">
        <v>1108</v>
      </c>
      <c r="B5" s="3556" t="s">
        <v>1109</v>
      </c>
      <c r="C5" s="3556"/>
      <c r="D5" s="45">
        <f>ROUND($D$3*E5/$E$3,2)</f>
        <v>0</v>
      </c>
      <c r="E5" s="46">
        <f>SUMIF('数据-基础表'!$11:$11,"住宅",'数据-基础表'!$5:$5)</f>
        <v>0</v>
      </c>
      <c r="F5" s="2639"/>
      <c r="G5" s="1145"/>
      <c r="H5" s="1026" t="s">
        <v>1105</v>
      </c>
      <c r="I5" s="855">
        <f>ROUND(E31/D31,2)</f>
        <v>2.02</v>
      </c>
      <c r="J5" s="2639"/>
      <c r="K5" s="2639"/>
      <c r="L5" s="2639"/>
      <c r="M5" s="2639"/>
      <c r="N5" s="2639"/>
      <c r="O5" s="2639"/>
      <c r="P5" s="2639"/>
    </row>
    <row r="6" spans="1:16" ht="15" thickBot="1">
      <c r="A6" s="1644"/>
      <c r="B6" s="3556" t="s">
        <v>1110</v>
      </c>
      <c r="C6" s="3556"/>
      <c r="D6" s="45">
        <f>ROUND($D$3*E6/$E$3,2)</f>
        <v>108355.49</v>
      </c>
      <c r="E6" s="46">
        <f>E3-E5</f>
        <v>219142.06</v>
      </c>
      <c r="F6" s="2639"/>
      <c r="G6" s="2633" t="s">
        <v>1111</v>
      </c>
      <c r="H6" s="1146" t="s">
        <v>1112</v>
      </c>
      <c r="I6" s="2634">
        <f>ROUND(F31/D31,2)</f>
        <v>2.0099999999999998</v>
      </c>
      <c r="J6" s="2639"/>
      <c r="K6" s="2639"/>
      <c r="L6" s="2639"/>
      <c r="M6" s="2639"/>
      <c r="N6" s="2639"/>
      <c r="O6" s="2639"/>
      <c r="P6" s="2639"/>
    </row>
    <row r="7" spans="1:16" ht="15.75" thickBot="1">
      <c r="A7" s="3548"/>
      <c r="B7" s="3549"/>
      <c r="C7" s="3550"/>
      <c r="D7" s="1641" t="s">
        <v>1106</v>
      </c>
      <c r="E7" s="1645" t="s">
        <v>1113</v>
      </c>
      <c r="F7" s="2639"/>
      <c r="G7" s="2635" t="s">
        <v>1114</v>
      </c>
      <c r="H7" s="2636"/>
      <c r="I7" s="2637"/>
      <c r="J7" s="2639"/>
      <c r="K7" s="2639"/>
      <c r="L7" s="2639"/>
      <c r="M7" s="2639"/>
      <c r="N7" s="2639"/>
      <c r="O7" s="2639"/>
      <c r="P7" s="2639"/>
    </row>
    <row r="8" spans="1:16">
      <c r="A8" s="44" t="s">
        <v>1115</v>
      </c>
      <c r="B8" s="47" t="s">
        <v>1116</v>
      </c>
      <c r="C8" s="45" t="s">
        <v>1117</v>
      </c>
      <c r="D8" s="45">
        <f t="shared" ref="D8:D15" si="0">ROUND($D$3*E8/$E$3,2)</f>
        <v>107482.26</v>
      </c>
      <c r="E8" s="48">
        <f>SUMIF('数据-基础表'!BB10:BK10,"地上",'数据-基础表'!BB5:BK5)</f>
        <v>217376</v>
      </c>
      <c r="F8" s="2639"/>
      <c r="G8" s="2640"/>
      <c r="H8" s="2640"/>
      <c r="I8" s="2639"/>
      <c r="J8" s="2639"/>
      <c r="K8" s="2639"/>
      <c r="L8" s="2639"/>
      <c r="M8" s="2639"/>
      <c r="N8" s="2639"/>
      <c r="O8" s="2639"/>
      <c r="P8" s="2639"/>
    </row>
    <row r="9" spans="1:16">
      <c r="A9" s="1646"/>
      <c r="B9" s="1647"/>
      <c r="C9" s="45" t="s">
        <v>1118</v>
      </c>
      <c r="D9" s="45">
        <f t="shared" si="0"/>
        <v>0</v>
      </c>
      <c r="E9" s="49">
        <v>0</v>
      </c>
      <c r="F9" s="2639"/>
      <c r="G9" s="2640"/>
      <c r="H9" s="2640"/>
      <c r="I9" s="2639"/>
      <c r="J9" s="2639"/>
      <c r="K9" s="2639"/>
      <c r="L9" s="2639"/>
      <c r="M9" s="2639"/>
      <c r="N9" s="2639"/>
      <c r="O9" s="2639"/>
      <c r="P9" s="2639"/>
    </row>
    <row r="10" spans="1:16">
      <c r="A10" s="1646"/>
      <c r="B10" s="1647"/>
      <c r="C10" s="45" t="s">
        <v>1127</v>
      </c>
      <c r="D10" s="45">
        <f t="shared" si="0"/>
        <v>0</v>
      </c>
      <c r="E10" s="48">
        <f>SUMPRODUCT(('数据-基础表'!BB10:BK10="地下")*('数据-基础表'!BB11:BK11="商业")*('数据-基础表'!BB5:BK5))</f>
        <v>0</v>
      </c>
      <c r="F10" s="2639"/>
      <c r="G10" s="2640"/>
      <c r="H10" s="2640"/>
      <c r="I10" s="2639"/>
      <c r="J10" s="2639"/>
      <c r="K10" s="2639"/>
      <c r="L10" s="2639"/>
      <c r="M10" s="2639"/>
      <c r="N10" s="2639"/>
      <c r="O10" s="2639"/>
      <c r="P10" s="2639"/>
    </row>
    <row r="11" spans="1:16">
      <c r="A11" s="1646"/>
      <c r="B11" s="1647"/>
      <c r="C11" s="45" t="s">
        <v>1119</v>
      </c>
      <c r="D11" s="45">
        <f t="shared" si="0"/>
        <v>0</v>
      </c>
      <c r="E11" s="48">
        <f>SUMPRODUCT(('数据-基础表'!BB10:BK10="地下")*('数据-基础表'!BB11:BK11="办公")*('数据-基础表'!BB5:BK5))+'数据-基础表'!BP5</f>
        <v>0</v>
      </c>
      <c r="F11" s="2639"/>
      <c r="G11" s="2640"/>
      <c r="H11" s="2640"/>
      <c r="I11" s="2639"/>
      <c r="J11" s="2639"/>
      <c r="K11" s="2639"/>
      <c r="L11" s="2639"/>
      <c r="M11" s="2639"/>
      <c r="N11" s="2639"/>
      <c r="O11" s="2639"/>
      <c r="P11" s="2639"/>
    </row>
    <row r="12" spans="1:16">
      <c r="A12" s="1646"/>
      <c r="B12" s="1647"/>
      <c r="C12" s="45" t="s">
        <v>1120</v>
      </c>
      <c r="D12" s="45">
        <f t="shared" si="0"/>
        <v>0</v>
      </c>
      <c r="E12" s="48">
        <f>SUMPRODUCT(('数据-基础表'!BB10:BK10="地下")*('数据-基础表'!BB11:BK11="仓储")*('数据-基础表'!BB5:BK5))</f>
        <v>0</v>
      </c>
      <c r="F12" s="2639"/>
      <c r="G12" s="2640"/>
      <c r="H12" s="2640"/>
      <c r="I12" s="2639"/>
      <c r="J12" s="2639"/>
      <c r="K12" s="2639"/>
      <c r="L12" s="2639"/>
      <c r="M12" s="2639"/>
      <c r="N12" s="2639"/>
      <c r="O12" s="2639"/>
      <c r="P12" s="2639"/>
    </row>
    <row r="13" spans="1:16">
      <c r="A13" s="1646"/>
      <c r="B13" s="1647"/>
      <c r="C13" s="45" t="s">
        <v>1121</v>
      </c>
      <c r="D13" s="45">
        <f t="shared" si="0"/>
        <v>0</v>
      </c>
      <c r="E13" s="48">
        <f>SUMPRODUCT(('数据-基础表'!BB10:BK10="地下")*('数据-基础表'!BB11:BK11="车库")*('数据-基础表'!BB5:BK5))</f>
        <v>0</v>
      </c>
      <c r="F13" s="2639"/>
      <c r="G13" s="2640"/>
      <c r="H13" s="2640"/>
      <c r="I13" s="2639"/>
      <c r="J13" s="2639"/>
      <c r="K13" s="2639"/>
      <c r="L13" s="2639"/>
      <c r="M13" s="2639"/>
      <c r="N13" s="2639"/>
      <c r="O13" s="2639"/>
      <c r="P13" s="2639"/>
    </row>
    <row r="14" spans="1:16">
      <c r="A14" s="1646"/>
      <c r="B14" s="1647"/>
      <c r="C14" s="45" t="s">
        <v>1133</v>
      </c>
      <c r="D14" s="45">
        <f t="shared" si="0"/>
        <v>0</v>
      </c>
      <c r="E14" s="48">
        <f>SUMPRODUCT(('数据-基础表'!BB10:BK10="地下")*('数据-基础表'!BB11:BK11="车库—商业")*('数据-基础表'!BB5:BK5))</f>
        <v>0</v>
      </c>
      <c r="F14" s="2639"/>
      <c r="G14" s="2640"/>
      <c r="H14" s="2640"/>
      <c r="I14" s="2639"/>
      <c r="J14" s="2639"/>
      <c r="K14" s="2639"/>
      <c r="L14" s="2639"/>
      <c r="M14" s="2639"/>
      <c r="N14" s="2639"/>
      <c r="O14" s="2639"/>
      <c r="P14" s="2639"/>
    </row>
    <row r="15" spans="1:16" ht="15" thickBot="1">
      <c r="A15" s="1646"/>
      <c r="B15" s="1647"/>
      <c r="C15" s="45" t="s">
        <v>1128</v>
      </c>
      <c r="D15" s="45">
        <f t="shared" si="0"/>
        <v>0</v>
      </c>
      <c r="E15" s="48">
        <f>SUMPRODUCT(('数据-基础表'!BB10:BK10="地下")*('数据-基础表'!BB11:BK11="车库—办公")*('数据-基础表'!BB5:BK5))</f>
        <v>0</v>
      </c>
      <c r="F15" s="2639"/>
      <c r="G15" s="2640"/>
      <c r="H15" s="2640"/>
      <c r="I15" s="2639"/>
      <c r="J15" s="2639"/>
      <c r="K15" s="2639"/>
      <c r="L15" s="2639"/>
      <c r="M15" s="2639"/>
      <c r="N15" s="2639"/>
      <c r="O15" s="2639"/>
      <c r="P15" s="2639"/>
    </row>
    <row r="16" spans="1:16" ht="15.75" thickBot="1">
      <c r="A16" s="1644"/>
      <c r="B16" s="1647"/>
      <c r="C16" s="47" t="s">
        <v>1122</v>
      </c>
      <c r="D16" s="47">
        <f>SUM(D8:D15)</f>
        <v>107482.26</v>
      </c>
      <c r="E16" s="50">
        <f>SUM(E8:E15)</f>
        <v>217376</v>
      </c>
      <c r="F16" s="2639"/>
      <c r="G16" s="2640"/>
      <c r="H16" s="1648" t="s">
        <v>1134</v>
      </c>
      <c r="I16" s="1649"/>
      <c r="J16" s="1139"/>
      <c r="K16" s="3545" t="s">
        <v>1134</v>
      </c>
      <c r="L16" s="3546"/>
      <c r="M16" s="3546"/>
      <c r="N16" s="3546"/>
      <c r="O16" s="3546"/>
      <c r="P16" s="3547"/>
    </row>
    <row r="17" spans="1:19" ht="15">
      <c r="A17" s="1650" t="s">
        <v>1135</v>
      </c>
      <c r="B17" s="1651" t="s">
        <v>1136</v>
      </c>
      <c r="C17" s="1652" t="s">
        <v>1137</v>
      </c>
      <c r="D17" s="1653" t="s">
        <v>1125</v>
      </c>
      <c r="E17" s="1654" t="s">
        <v>1126</v>
      </c>
      <c r="F17" s="1655"/>
      <c r="G17" s="1656"/>
      <c r="H17" s="1657" t="s">
        <v>1138</v>
      </c>
      <c r="I17" s="1658" t="s">
        <v>1123</v>
      </c>
      <c r="J17" s="1139"/>
      <c r="K17" s="3542" t="s">
        <v>1139</v>
      </c>
      <c r="L17" s="3543"/>
      <c r="M17" s="3544"/>
      <c r="N17" s="3542" t="s">
        <v>1140</v>
      </c>
      <c r="O17" s="3543"/>
      <c r="P17" s="354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6" t="s">
        <v>3445</v>
      </c>
      <c r="D19" s="45">
        <f>ROUND($D$3*E19/$E$3,2)</f>
        <v>96396.25</v>
      </c>
      <c r="E19" s="53">
        <f t="shared" ref="E19:E26" si="1">SUM(F19:G19)</f>
        <v>194955.26</v>
      </c>
      <c r="F19" s="2774">
        <f>'数据-基础表'!I5</f>
        <v>194955.26</v>
      </c>
      <c r="G19" s="2775"/>
      <c r="H19" s="670">
        <f>ROUND($D$3*I19/$E$3,2)</f>
        <v>783.16</v>
      </c>
      <c r="I19" s="48">
        <f t="shared" ref="I19:I26" si="2">IF($I$17="自定义",P19,M19)</f>
        <v>1583.9</v>
      </c>
      <c r="J19" s="1139"/>
      <c r="K19" s="1138">
        <f t="shared" ref="K19:K26" si="3">ROUND(E$28*E19/E$27,2)</f>
        <v>1583.9</v>
      </c>
      <c r="L19" s="1026">
        <f t="shared" ref="L19:L26" si="4">ROUND(IF(COUNTIF(C19,"*住宅*")&gt;0,E$29*E19/E$32,0),2)</f>
        <v>0</v>
      </c>
      <c r="M19" s="1150">
        <f>K19+L19</f>
        <v>1583.9</v>
      </c>
      <c r="N19" s="1668"/>
      <c r="O19" s="1669"/>
      <c r="P19" s="1150">
        <f>N19+O19</f>
        <v>0</v>
      </c>
      <c r="R19" s="1026">
        <f t="shared" ref="R19:S26" si="5">D19+H19</f>
        <v>97179.41</v>
      </c>
      <c r="S19" s="1027">
        <f t="shared" si="5"/>
        <v>196539.16</v>
      </c>
    </row>
    <row r="20" spans="1:19">
      <c r="A20" s="1670"/>
      <c r="B20" s="47" t="s">
        <v>1152</v>
      </c>
      <c r="C20" s="3396" t="s">
        <v>3447</v>
      </c>
      <c r="D20" s="45">
        <f t="shared" ref="D20:D26" si="6">ROUND($D$3*E20/$E$3,2)</f>
        <v>11086.01</v>
      </c>
      <c r="E20" s="53">
        <f t="shared" si="1"/>
        <v>22420.739999999998</v>
      </c>
      <c r="F20" s="2774">
        <f>'数据-基础表'!K5</f>
        <v>22420.739999999998</v>
      </c>
      <c r="G20" s="2775"/>
      <c r="H20" s="670">
        <f t="shared" ref="H20:H26" si="7">ROUND($D$3*I20/$E$3,2)</f>
        <v>90.07</v>
      </c>
      <c r="I20" s="48">
        <f t="shared" si="2"/>
        <v>182.16</v>
      </c>
      <c r="J20" s="1139"/>
      <c r="K20" s="1138">
        <f t="shared" si="3"/>
        <v>182.16</v>
      </c>
      <c r="L20" s="1026">
        <f t="shared" si="4"/>
        <v>0</v>
      </c>
      <c r="M20" s="1150">
        <f t="shared" ref="M20:M26" si="8">K20+L20</f>
        <v>182.16</v>
      </c>
      <c r="N20" s="1668"/>
      <c r="O20" s="1669"/>
      <c r="P20" s="1150">
        <f t="shared" ref="P20:P26" si="9">N20+O20</f>
        <v>0</v>
      </c>
      <c r="R20" s="1026">
        <f t="shared" si="5"/>
        <v>11176.08</v>
      </c>
      <c r="S20" s="1027">
        <f t="shared" si="5"/>
        <v>22602.899999999998</v>
      </c>
    </row>
    <row r="21" spans="1:19">
      <c r="A21" s="1670"/>
      <c r="B21" s="47" t="s">
        <v>1152</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107482.26</v>
      </c>
      <c r="E27" s="1141">
        <f>IF(SUM(E19:E26)='数据-基础表'!BA5,SUM(E19:E26),IF(F27="地上面积有误","面积有误","地下面积有误"))</f>
        <v>217376</v>
      </c>
      <c r="F27" s="1140">
        <f>IF(SUM(F19:F26)=E8,SUM(F19:F26),"地上面积有误")</f>
        <v>217376</v>
      </c>
      <c r="G27" s="1142">
        <f>SUM(G19:G26)</f>
        <v>0</v>
      </c>
      <c r="H27" s="1143">
        <f>SUM(H19:H26)</f>
        <v>873.23</v>
      </c>
      <c r="I27" s="1144">
        <f>SUM(I19:I26)</f>
        <v>1766.0600000000002</v>
      </c>
      <c r="J27" s="1139"/>
      <c r="K27" s="1147">
        <f>SUM(K19:K26)</f>
        <v>1766.0600000000002</v>
      </c>
      <c r="L27" s="1148">
        <f>SUM(L19:L26)</f>
        <v>0</v>
      </c>
      <c r="M27" s="1151">
        <f>SUM(M19:M26)</f>
        <v>1766.0600000000002</v>
      </c>
      <c r="N27" s="1147">
        <f t="shared" ref="N27:O27" si="10">SUM(N19:N26)</f>
        <v>0</v>
      </c>
      <c r="O27" s="1148">
        <f t="shared" si="10"/>
        <v>0</v>
      </c>
      <c r="P27" s="1149">
        <f>SUM(P19:P26)</f>
        <v>0</v>
      </c>
      <c r="R27" s="1028">
        <f>IF(SUM(R19:R26)=$D$3,SUM(R19:R26),SUM(R19:R26)&amp;"误差"&amp;ROUND(SUM(R19:R26)-$D$3,2))</f>
        <v>108355.49</v>
      </c>
      <c r="S27" s="1026">
        <f>IF(SUM(S19:S26)=$E$3,SUM(S19:S26),SUM(S19:S26)&amp;"误差"&amp;ROUND(SUM(S19:S26)-E3,2))</f>
        <v>219142.06</v>
      </c>
    </row>
    <row r="28" spans="1:19">
      <c r="A28" s="1670"/>
      <c r="B28" s="47" t="s">
        <v>1154</v>
      </c>
      <c r="C28" s="1038" t="s">
        <v>1155</v>
      </c>
      <c r="D28" s="45">
        <f>ROUND($D$3*E28/$E$3,2)</f>
        <v>873.23</v>
      </c>
      <c r="E28" s="53">
        <f>SUM(F28:G28)</f>
        <v>1766.06</v>
      </c>
      <c r="F28" s="56">
        <f>'数据-基础表'!BQ5+'数据-基础表'!BS5</f>
        <v>0</v>
      </c>
      <c r="G28" s="57">
        <f>'数据-基础表'!BR5+'数据-基础表'!BT5</f>
        <v>1766.06</v>
      </c>
      <c r="H28" s="2639"/>
      <c r="I28" s="2639"/>
      <c r="J28" s="2639"/>
      <c r="K28" s="2639"/>
      <c r="L28" s="2639"/>
      <c r="M28" s="2639"/>
      <c r="N28" s="2639"/>
      <c r="O28" s="2639"/>
      <c r="P28" s="2639"/>
    </row>
    <row r="29" spans="1:19">
      <c r="A29" s="1670"/>
      <c r="B29" s="47" t="s">
        <v>1154</v>
      </c>
      <c r="C29" s="1674" t="s">
        <v>1156</v>
      </c>
      <c r="D29" s="45">
        <f>ROUND($D$3*E29/$E$3,2)</f>
        <v>0</v>
      </c>
      <c r="E29" s="53">
        <f>SUM(F29:G29)</f>
        <v>0</v>
      </c>
      <c r="F29" s="58">
        <f>'数据-基础表'!BM5+'数据-基础表'!BO5</f>
        <v>0</v>
      </c>
      <c r="G29" s="59">
        <f>'数据-基础表'!BN5+'数据-基础表'!BP5</f>
        <v>0</v>
      </c>
      <c r="H29" s="2639"/>
      <c r="I29" s="2639"/>
      <c r="J29" s="2639"/>
      <c r="K29" s="2639"/>
      <c r="L29" s="2639"/>
      <c r="M29" s="2639"/>
      <c r="N29" s="2639"/>
      <c r="O29" s="2639"/>
      <c r="P29" s="2639"/>
    </row>
    <row r="30" spans="1:19" ht="15">
      <c r="A30" s="1670"/>
      <c r="B30" s="47"/>
      <c r="C30" s="1675" t="s">
        <v>1153</v>
      </c>
      <c r="D30" s="1140">
        <f>SUM(D28:D29)</f>
        <v>873.23</v>
      </c>
      <c r="E30" s="1140">
        <f>SUM(E28:E29)</f>
        <v>1766.06</v>
      </c>
      <c r="F30" s="1140">
        <f>SUM(F28:F29)</f>
        <v>0</v>
      </c>
      <c r="G30" s="1142">
        <f>SUM(G28:G29)</f>
        <v>1766.06</v>
      </c>
      <c r="H30" s="2639"/>
      <c r="I30" s="2639"/>
      <c r="J30" s="2639"/>
      <c r="K30" s="2639"/>
      <c r="L30" s="2639"/>
      <c r="M30" s="2639"/>
      <c r="N30" s="2639"/>
      <c r="O30" s="2639"/>
      <c r="P30" s="2639"/>
    </row>
    <row r="31" spans="1:19" ht="15.75" thickBot="1">
      <c r="A31" s="1676"/>
      <c r="B31" s="1677"/>
      <c r="C31" s="835" t="s">
        <v>1157</v>
      </c>
      <c r="D31" s="676">
        <f>D27+D30</f>
        <v>108355.48999999999</v>
      </c>
      <c r="E31" s="676">
        <f>E27+E30</f>
        <v>219142.06</v>
      </c>
      <c r="F31" s="677">
        <f>F27+F30</f>
        <v>217376</v>
      </c>
      <c r="G31" s="678">
        <f>G27+G30</f>
        <v>1766.06</v>
      </c>
      <c r="H31" s="2639"/>
      <c r="I31" s="2639"/>
      <c r="J31" s="2639"/>
      <c r="K31" s="2639"/>
      <c r="L31" s="2639"/>
      <c r="M31" s="2639"/>
      <c r="N31" s="2639"/>
      <c r="O31" s="2639"/>
      <c r="P31" s="2639"/>
    </row>
    <row r="32" spans="1:19">
      <c r="A32" s="1643"/>
      <c r="B32" s="1643" t="s">
        <v>1158</v>
      </c>
      <c r="C32" s="1643"/>
      <c r="D32" s="1643"/>
      <c r="E32" s="1053">
        <f>SUMIF(C19:C26,"*住宅*",E19:E26)</f>
        <v>0</v>
      </c>
      <c r="F32" s="1643"/>
      <c r="G32" s="1643"/>
      <c r="H32" s="2639"/>
      <c r="I32" s="2639"/>
      <c r="J32" s="2639"/>
      <c r="K32" s="2639"/>
      <c r="L32" s="2639"/>
      <c r="M32" s="2639"/>
      <c r="N32" s="2639"/>
      <c r="O32" s="2639"/>
      <c r="P32" s="263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1"/>
      <c r="AO1" s="2651"/>
      <c r="AP1" s="2651"/>
      <c r="AQ1" s="2651"/>
      <c r="AR1" s="2651"/>
    </row>
    <row r="2" spans="1:67" s="1559" customFormat="1" ht="15.75" thickBot="1">
      <c r="A2" s="1683" t="s">
        <v>1160</v>
      </c>
      <c r="B2" s="1045">
        <f>项目基本情况!D3</f>
        <v>45421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3"/>
      <c r="AO2" s="2653"/>
      <c r="AP2" s="2653"/>
      <c r="AQ2" s="2653"/>
      <c r="AR2" s="265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3"/>
      <c r="AO3" s="2653"/>
      <c r="AP3" s="2653"/>
      <c r="AQ3" s="2653"/>
      <c r="AR3" s="265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53"/>
      <c r="AO4" s="2653"/>
      <c r="AP4" s="2653"/>
      <c r="AQ4" s="2653"/>
      <c r="AR4" s="265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办公用房</v>
      </c>
      <c r="B6" s="1713" t="str">
        <f>IF(A6=0,"","经营性")</f>
        <v>经营性</v>
      </c>
      <c r="C6" s="1714" t="s">
        <v>3</v>
      </c>
      <c r="D6" s="858">
        <f>SUMIF(项目基本情况!C$12:I$12,C6,项目基本情况!C$14:I$14)</f>
        <v>50</v>
      </c>
      <c r="E6" s="857">
        <f>IF(B6="","",SUMIF(项目基本情况!C$12:I$12,C6,项目基本情况!C$13:I$13))</f>
        <v>57855</v>
      </c>
      <c r="F6" s="64">
        <f>SUMIF(项目基本情况!C$12:I$12,C6,项目基本情况!C$15:I$15)</f>
        <v>34.06</v>
      </c>
      <c r="G6" s="65">
        <f>IF(ISERROR(ROUND(POWER(1+H6,D6-F6)*(POWER(1+H6,F6)-1)/(POWER(1+H6,D6)-1),3)),0,ROUND(POWER(1+H6,D6-F6)*(POWER(1+H6,F6)-1)/(POWER(1+H6,D6)-1),3))</f>
        <v>0.873</v>
      </c>
      <c r="H6" s="732">
        <v>4.4999999999999998E-2</v>
      </c>
      <c r="I6" s="3809">
        <v>5.5E-2</v>
      </c>
      <c r="J6" s="66">
        <v>7.0000000000000007E-2</v>
      </c>
      <c r="K6" s="1030">
        <f>SUMIF('数据-汇总表'!C$19:C$33,A6,'数据-汇总表'!E$19:E$33)</f>
        <v>194955.26</v>
      </c>
      <c r="L6" s="733">
        <v>4500</v>
      </c>
      <c r="M6" s="67">
        <f t="shared" ref="M6:M14" si="0">ROUND(K6*L6/10000,0)</f>
        <v>87730</v>
      </c>
      <c r="N6" s="731">
        <f>N19</f>
        <v>0.87</v>
      </c>
      <c r="O6" s="67" t="str">
        <f>IF($N$5="成新度","——",ROUND(M6*N6,0))</f>
        <v>——</v>
      </c>
      <c r="P6" s="68" t="str">
        <f>IF($N$5="成新度","——",M6-O6)</f>
        <v>——</v>
      </c>
      <c r="Q6" s="734">
        <v>0.15</v>
      </c>
      <c r="R6" s="69">
        <f ca="1">SUMIF('数据-汇总表'!C$19:C$33,A6,'数据-汇总表'!R$19:R$27)</f>
        <v>97179.41</v>
      </c>
      <c r="S6" s="51">
        <f>IF('数据-汇总表'!$I$17="按面积比例",SUMIF('数据-汇总表'!C$19:C$33,A6,'数据-汇总表'!K$19:K$33),SUMIF('数据-汇总表'!C$19:C$33,A6,'数据-汇总表'!N$19:N$33))</f>
        <v>1583.9</v>
      </c>
      <c r="T6" s="1172">
        <f>ROUND($L$14*S6/10000,0)</f>
        <v>713</v>
      </c>
      <c r="U6" s="3407">
        <v>2.4500000000000002</v>
      </c>
      <c r="V6" s="70">
        <v>2.5000000000000001E-2</v>
      </c>
      <c r="W6" s="70">
        <v>0.05</v>
      </c>
      <c r="X6" s="1040"/>
      <c r="Y6" s="71">
        <f>N6</f>
        <v>0.87</v>
      </c>
      <c r="Z6" s="72"/>
      <c r="AA6" s="66"/>
      <c r="AB6" s="66"/>
      <c r="AC6" s="1040"/>
      <c r="AD6" s="73"/>
      <c r="AE6" s="1041">
        <f ca="1">IF(AN6="",0,SUMIF(INDIRECT("'"&amp;AN6&amp;"'"&amp;"!E:E"),$AE$5,INDIRECT("'"&amp;AN6&amp;"'"&amp;"!F:F")))</f>
        <v>34.06</v>
      </c>
      <c r="AF6" s="1348"/>
      <c r="AG6" s="138">
        <f>IF(AF6="",0,AE6-AF6)</f>
        <v>0</v>
      </c>
      <c r="AH6" s="74"/>
      <c r="AI6" s="76">
        <v>365</v>
      </c>
      <c r="AJ6" s="77"/>
      <c r="AK6" s="78">
        <v>5.0000000000000001E-3</v>
      </c>
      <c r="AL6" s="79">
        <v>1E-3</v>
      </c>
      <c r="AM6" s="80">
        <v>5.0000000000000001E-3</v>
      </c>
      <c r="AN6" s="1715" t="s">
        <v>4948</v>
      </c>
      <c r="AO6" s="52">
        <f ca="1">SUMIF(INDIRECT("'"&amp;AN6&amp;"'"&amp;"!A:A"),"总价",INDIRECT("'"&amp;AN6&amp;"'"&amp;"!B:B"))</f>
        <v>274326</v>
      </c>
      <c r="AP6" s="1716">
        <f>IF(C6="住宅",K6*L6,0)</f>
        <v>0</v>
      </c>
      <c r="AQ6" s="52">
        <f>ROUND($L$14*$N$14*S6/10000,0)</f>
        <v>620</v>
      </c>
      <c r="AR6" s="52">
        <f>ROUND($L$14*(1-$N$14)*S6/10000,0)</f>
        <v>93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宿舍用房</v>
      </c>
      <c r="B7" s="1713" t="str">
        <f t="shared" ref="B7:B13" si="1">IF(A7=0,"","经营性")</f>
        <v>经营性</v>
      </c>
      <c r="C7" s="1714" t="s">
        <v>3</v>
      </c>
      <c r="D7" s="858">
        <f>SUMIF(项目基本情况!C$12:I$12,C7,项目基本情况!C$14:I$14)</f>
        <v>50</v>
      </c>
      <c r="E7" s="857">
        <f>IF(B7="","",SUMIF(项目基本情况!C$12:I$12,C7,项目基本情况!C$13:I$13))</f>
        <v>57855</v>
      </c>
      <c r="F7" s="64">
        <f>SUMIF(项目基本情况!C$12:I$12,C7,项目基本情况!C$15:I$15)</f>
        <v>34.06</v>
      </c>
      <c r="G7" s="65">
        <f t="shared" ref="G7:G11" si="2">IF(ISERROR(ROUND(POWER(1+H7,D7-F7)*(POWER(1+H7,F7)-1)/(POWER(1+H7,D7)-1),3)),0,ROUND(POWER(1+H7,D7-F7)*(POWER(1+H7,F7)-1)/(POWER(1+H7,D7)-1),3))</f>
        <v>0.873</v>
      </c>
      <c r="H7" s="732">
        <v>4.4999999999999998E-2</v>
      </c>
      <c r="I7" s="3809">
        <v>5.5E-2</v>
      </c>
      <c r="J7" s="66">
        <v>7.0000000000000007E-2</v>
      </c>
      <c r="K7" s="1030">
        <f>SUMIF('数据-汇总表'!C$19:C$33,A7,'数据-汇总表'!E$19:E$33)</f>
        <v>22420.739999999998</v>
      </c>
      <c r="L7" s="733">
        <v>4500</v>
      </c>
      <c r="M7" s="67">
        <f t="shared" si="0"/>
        <v>10089</v>
      </c>
      <c r="N7" s="731">
        <f>N6</f>
        <v>0.87</v>
      </c>
      <c r="O7" s="67" t="str">
        <f t="shared" ref="O7:O14" si="3">IF($N$5="成新度","——",ROUND(M7*N7,0))</f>
        <v>——</v>
      </c>
      <c r="P7" s="68" t="str">
        <f t="shared" ref="P7:P14" si="4">IF($N$5="成新度","——",M7-O7)</f>
        <v>——</v>
      </c>
      <c r="Q7" s="734">
        <v>0.1</v>
      </c>
      <c r="R7" s="69">
        <f ca="1">SUMIF('数据-汇总表'!C$19:C$33,A7,'数据-汇总表'!R$19:R$27)</f>
        <v>11176.08</v>
      </c>
      <c r="S7" s="51">
        <f>IF('数据-汇总表'!$I$17="按面积比例",SUMIF('数据-汇总表'!C$19:C$33,A7,'数据-汇总表'!K$19:K$33),SUMIF('数据-汇总表'!C$19:C$33,A7,'数据-汇总表'!N$19:N$33))</f>
        <v>182.16</v>
      </c>
      <c r="T7" s="1172">
        <f t="shared" ref="T7:T13" si="5">ROUND($L$14*S7/10000,0)</f>
        <v>82</v>
      </c>
      <c r="U7" s="3407">
        <v>1.55</v>
      </c>
      <c r="V7" s="70">
        <v>0.02</v>
      </c>
      <c r="W7" s="70">
        <v>0.05</v>
      </c>
      <c r="X7" s="1040"/>
      <c r="Y7" s="71">
        <f>Y6</f>
        <v>0.87</v>
      </c>
      <c r="Z7" s="72"/>
      <c r="AA7" s="66"/>
      <c r="AB7" s="66"/>
      <c r="AC7" s="1040"/>
      <c r="AD7" s="73"/>
      <c r="AE7" s="1041">
        <f t="shared" ref="AE7:AE13" ca="1" si="6">IF(AN7="",0,SUMIF(INDIRECT("'"&amp;AN7&amp;"'"&amp;"!E:E"),$AE$5,INDIRECT("'"&amp;AN7&amp;"'"&amp;"!F:F")))</f>
        <v>34.06</v>
      </c>
      <c r="AF7" s="1348"/>
      <c r="AG7" s="138">
        <f t="shared" ref="AG7:AG13" si="7">IF(AF7="",0,AE7-AF7)</f>
        <v>0</v>
      </c>
      <c r="AH7" s="74"/>
      <c r="AI7" s="76">
        <v>365</v>
      </c>
      <c r="AJ7" s="77"/>
      <c r="AK7" s="78">
        <f>AK6</f>
        <v>5.0000000000000001E-3</v>
      </c>
      <c r="AL7" s="78">
        <f t="shared" ref="AL7:AM7" si="8">AL6</f>
        <v>1E-3</v>
      </c>
      <c r="AM7" s="78">
        <f t="shared" si="8"/>
        <v>5.0000000000000001E-3</v>
      </c>
      <c r="AN7" s="1715" t="s">
        <v>4950</v>
      </c>
      <c r="AO7" s="52">
        <f t="shared" ref="AO7:AO13" ca="1" si="9">SUMIF(INDIRECT("'"&amp;AN7&amp;"'"&amp;"!A:A"),"总价",INDIRECT("'"&amp;AN7&amp;"'"&amp;"!B:B"))</f>
        <v>18310</v>
      </c>
      <c r="AP7" s="1716">
        <f t="shared" ref="AP7:AP13" si="10">IF(C7="住宅",K7*L7,0)</f>
        <v>0</v>
      </c>
      <c r="AQ7" s="52">
        <f t="shared" ref="AQ7:AQ13" si="11">ROUND($L$14*$N$14*S7/10000,0)</f>
        <v>71</v>
      </c>
      <c r="AR7" s="52">
        <f t="shared" ref="AR7:AR13" si="12">ROUND($L$14*(1-$N$14)*S7/10000,0)</f>
        <v>11</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9"/>
        <v>#REF!</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1766.06</v>
      </c>
      <c r="L14" s="82">
        <f>L6</f>
        <v>4500</v>
      </c>
      <c r="M14" s="67">
        <f t="shared" si="0"/>
        <v>795</v>
      </c>
      <c r="N14" s="83">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1"/>
      <c r="AO14" s="2653"/>
      <c r="AP14" s="2653"/>
      <c r="AQ14" s="2653"/>
      <c r="AR14" s="265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1"/>
      <c r="AO15" s="2653"/>
      <c r="AP15" s="2653"/>
      <c r="AQ15" s="2653"/>
      <c r="AR15" s="265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0.873</v>
      </c>
      <c r="H16" s="90">
        <f>ROUND(SUMPRODUCT(H6:H13,K6:K13)/SUMPRODUCT((H6:H13&gt;0)*(K6:K13)),3)</f>
        <v>4.4999999999999998E-2</v>
      </c>
      <c r="I16" s="91"/>
      <c r="J16" s="91"/>
      <c r="K16" s="92">
        <f>SUM(K6:K15)</f>
        <v>219142.06</v>
      </c>
      <c r="L16" s="93">
        <f>ROUND(M16*10000/SUM(K6:K14),0)</f>
        <v>4500</v>
      </c>
      <c r="M16" s="93">
        <f>SUM(M6:M14)</f>
        <v>98614</v>
      </c>
      <c r="N16" s="94">
        <f>ROUND(SUMPRODUCT(M6:M14,N6:N14)/M16,3)</f>
        <v>0.87</v>
      </c>
      <c r="O16" s="93">
        <f>SUM(O6:O14)</f>
        <v>0</v>
      </c>
      <c r="P16" s="93">
        <f>SUM(P6:P14)</f>
        <v>0</v>
      </c>
      <c r="Q16" s="95">
        <f>ROUND(SUMPRODUCT(Q6:Q13,K6:K13)/SUMPRODUCT((Q6:Q13&gt;0)*(K6:K13)),2)</f>
        <v>0.14000000000000001</v>
      </c>
      <c r="R16" s="1034">
        <f ca="1">SUM(R6:R13)</f>
        <v>108355.49</v>
      </c>
      <c r="S16" s="96">
        <f>SUM(S6:S13)</f>
        <v>1766.0600000000002</v>
      </c>
      <c r="T16" s="97">
        <f>IF(SUMIF(T6:T13,"&lt;9E307")=M14,SUMIF(T6:T13,"&lt;9E307"),"有误，请检查")</f>
        <v>795</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1209</v>
      </c>
      <c r="B18" s="2665"/>
      <c r="C18" s="2653"/>
      <c r="D18" s="2656"/>
      <c r="E18" s="2653"/>
      <c r="F18" s="2653"/>
      <c r="G18" s="2653"/>
      <c r="H18" s="2653"/>
      <c r="I18" s="2653"/>
      <c r="J18" s="2653"/>
      <c r="K18" s="2652"/>
      <c r="L18" s="2652"/>
      <c r="M18" s="2651"/>
      <c r="N18" s="2651">
        <v>2016</v>
      </c>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22" t="s">
        <v>1210</v>
      </c>
      <c r="B19" s="103">
        <v>0</v>
      </c>
      <c r="C19" s="2778" t="s">
        <v>2287</v>
      </c>
      <c r="D19" s="2656"/>
      <c r="E19" s="2653"/>
      <c r="F19" s="2653"/>
      <c r="G19" s="2653"/>
      <c r="H19" s="2653"/>
      <c r="I19" s="2653"/>
      <c r="J19" s="2653"/>
      <c r="K19" s="2652"/>
      <c r="L19" s="2652"/>
      <c r="M19" s="3438" t="s">
        <v>3372</v>
      </c>
      <c r="N19" s="2651">
        <f>ROUND(1-(2024-N18)/60,2)</f>
        <v>0.87</v>
      </c>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23" t="s">
        <v>1211</v>
      </c>
      <c r="B20" s="104">
        <v>3</v>
      </c>
      <c r="C20" s="2779" t="s">
        <v>2285</v>
      </c>
      <c r="D20" s="2656"/>
      <c r="E20" s="2653"/>
      <c r="F20" s="2653"/>
      <c r="G20" s="2653"/>
      <c r="H20" s="2653"/>
      <c r="I20" s="2653"/>
      <c r="J20" s="2653"/>
      <c r="K20" s="2652"/>
      <c r="L20" s="2652"/>
      <c r="M20" s="2651"/>
      <c r="N20" s="2651"/>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24" t="s">
        <v>1212</v>
      </c>
      <c r="B21" s="104">
        <v>3</v>
      </c>
      <c r="C21" s="2653"/>
      <c r="D21" s="2656"/>
      <c r="E21" s="2653"/>
      <c r="F21" s="2653"/>
      <c r="G21" s="2653"/>
      <c r="H21" s="2653"/>
      <c r="I21" s="2653"/>
      <c r="J21" s="2653"/>
      <c r="K21" s="2652"/>
      <c r="L21" s="2652"/>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23" t="s">
        <v>1213</v>
      </c>
      <c r="B22" s="105">
        <f>B19+B20</f>
        <v>3</v>
      </c>
      <c r="C22" s="2653"/>
      <c r="D22" s="2656"/>
      <c r="E22" s="2653"/>
      <c r="F22" s="2653"/>
      <c r="G22" s="2653"/>
      <c r="H22" s="2653"/>
      <c r="I22" s="2653"/>
      <c r="J22" s="2653"/>
      <c r="K22" s="2652"/>
      <c r="L22" s="2652"/>
      <c r="M22" s="2651"/>
      <c r="N22" s="2651"/>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24" t="s">
        <v>1214</v>
      </c>
      <c r="B23" s="105">
        <f>B19+B21</f>
        <v>3</v>
      </c>
      <c r="C23" s="2653"/>
      <c r="D23" s="2656"/>
      <c r="E23" s="2653"/>
      <c r="F23" s="2653"/>
      <c r="G23" s="2653"/>
      <c r="H23" s="2653"/>
      <c r="I23" s="2653"/>
      <c r="J23" s="2653"/>
      <c r="K23" s="2652"/>
      <c r="L23" s="2652"/>
      <c r="M23" s="2651"/>
      <c r="N23" s="2651"/>
      <c r="O23" s="2651"/>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25" t="s">
        <v>1215</v>
      </c>
      <c r="B24" s="106">
        <f>B20-B21</f>
        <v>0</v>
      </c>
      <c r="C24" s="2653"/>
      <c r="D24" s="2656"/>
      <c r="E24" s="2653"/>
      <c r="F24" s="2653"/>
      <c r="G24" s="2653"/>
      <c r="H24" s="2653"/>
      <c r="I24" s="2653"/>
      <c r="J24" s="2653"/>
      <c r="K24" s="2652"/>
      <c r="L24" s="2652"/>
      <c r="M24" s="2651"/>
      <c r="N24" s="2651"/>
      <c r="O24" s="2651"/>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57"/>
      <c r="B25" s="1687"/>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83" t="s">
        <v>1216</v>
      </c>
      <c r="B26" s="1726" t="s">
        <v>1217</v>
      </c>
      <c r="C26" s="2657" t="s">
        <v>1218</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28" customFormat="1" ht="27.75">
      <c r="A27" s="1727" t="s">
        <v>1219</v>
      </c>
      <c r="B27" s="107">
        <v>150</v>
      </c>
      <c r="C27" s="2780" t="s">
        <v>2289</v>
      </c>
      <c r="D27" s="2659"/>
      <c r="E27" s="2641"/>
      <c r="F27" s="2641"/>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60"/>
      <c r="D28" s="2659"/>
      <c r="E28" s="2641"/>
      <c r="F28" s="2641"/>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4164</v>
      </c>
      <c r="C29" s="2781" t="s">
        <v>2276</v>
      </c>
      <c r="D29" s="2659"/>
      <c r="E29" s="2641"/>
      <c r="F29" s="2641"/>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60"/>
      <c r="D30" s="2659"/>
      <c r="E30" s="2641"/>
      <c r="F30" s="2641"/>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8"/>
      <c r="D31" s="2659"/>
      <c r="E31" s="2641"/>
      <c r="F31" s="2641"/>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782" t="s">
        <v>2277</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82" t="s">
        <v>2278</v>
      </c>
      <c r="D34" s="2664" t="s">
        <v>2286</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782" t="s">
        <v>2279</v>
      </c>
      <c r="D35" s="2659"/>
      <c r="E35" s="2641"/>
      <c r="F35" s="2641"/>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782" t="s">
        <v>2280</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31" t="s">
        <v>1229</v>
      </c>
      <c r="B37" s="115">
        <v>0.02</v>
      </c>
      <c r="C37" s="2782" t="s">
        <v>2281</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29" t="s">
        <v>1230</v>
      </c>
      <c r="B38" s="113">
        <v>0.02</v>
      </c>
      <c r="C38" s="2782" t="s">
        <v>2281</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32" t="s">
        <v>1231</v>
      </c>
      <c r="B39" s="31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4" t="s">
        <v>2296</v>
      </c>
      <c r="B40" s="1078">
        <f ca="1">IF(A40="利息：取LPR",存贷款利率!G1,存贷款利率!G1+C40)</f>
        <v>3.4500000000000003E-2</v>
      </c>
      <c r="C40" s="2793">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27" t="s">
        <v>1232</v>
      </c>
      <c r="B41" s="116">
        <f>B42+B43</f>
        <v>5.6000000000000001E-2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33" t="s">
        <v>1233</v>
      </c>
      <c r="B42" s="117">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33" t="s">
        <v>1234</v>
      </c>
      <c r="B43" s="118">
        <f>B42*(B44+B45+B46)+B47</f>
        <v>6.000000000000001E-3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34" t="s">
        <v>1235</v>
      </c>
      <c r="B44" s="119">
        <v>7.0000000000000007E-2</v>
      </c>
      <c r="C44" s="2782" t="s">
        <v>2290</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34" t="s">
        <v>1236</v>
      </c>
      <c r="B45" s="117">
        <v>0.03</v>
      </c>
      <c r="C45" s="2781" t="s">
        <v>2282</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34" t="s">
        <v>1237</v>
      </c>
      <c r="B46" s="117">
        <v>0.02</v>
      </c>
      <c r="C46" s="2781" t="s">
        <v>2283</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35" t="s">
        <v>1238</v>
      </c>
      <c r="B47" s="120"/>
      <c r="C47" s="2784" t="s">
        <v>2291</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36" t="s">
        <v>1239</v>
      </c>
      <c r="B48" s="121">
        <v>0.03</v>
      </c>
      <c r="C48" s="2781" t="s">
        <v>2282</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32" t="s">
        <v>1240</v>
      </c>
      <c r="B49" s="117">
        <v>5.0000000000000001E-4</v>
      </c>
      <c r="C49" s="2781" t="s">
        <v>2284</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37" t="s">
        <v>1241</v>
      </c>
      <c r="B50" s="122">
        <v>1.2E-2</v>
      </c>
      <c r="C50" s="2641"/>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30" t="s">
        <v>1242</v>
      </c>
      <c r="B51" s="123">
        <v>0.12</v>
      </c>
      <c r="C51" s="2641"/>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37" t="s">
        <v>1243</v>
      </c>
      <c r="B52" s="124">
        <f>SUMIF(A54:A63,B53,B54:B63)</f>
        <v>1.5</v>
      </c>
      <c r="C52" s="2641"/>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29" t="s">
        <v>1244</v>
      </c>
      <c r="B53" s="1738" t="s">
        <v>29</v>
      </c>
      <c r="C53" s="2641" t="s">
        <v>1245</v>
      </c>
      <c r="D53" s="2783" t="s">
        <v>2288</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39" t="s">
        <v>1246</v>
      </c>
      <c r="B54" s="75"/>
      <c r="C54" s="2641">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39" t="s">
        <v>1247</v>
      </c>
      <c r="B55" s="75"/>
      <c r="C55" s="2641">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39" t="s">
        <v>1248</v>
      </c>
      <c r="B56" s="75"/>
      <c r="C56" s="2641">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39" t="s">
        <v>1249</v>
      </c>
      <c r="B57" s="75"/>
      <c r="C57" s="2641">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39" t="s">
        <v>1250</v>
      </c>
      <c r="B58" s="75"/>
      <c r="C58" s="2641">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39" t="s">
        <v>1251</v>
      </c>
      <c r="B59" s="75">
        <v>1.5</v>
      </c>
      <c r="C59" s="2641">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39" t="s">
        <v>1252</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39" t="s">
        <v>1253</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39" t="s">
        <v>1254</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40" t="s">
        <v>1255</v>
      </c>
      <c r="B63" s="12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93" customFormat="1">
      <c r="A64" s="2644"/>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93" customFormat="1">
      <c r="A65" s="2644"/>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93" customFormat="1">
      <c r="A66" s="2644"/>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93" customFormat="1">
      <c r="A67" s="2644"/>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93" customFormat="1">
      <c r="A68" s="2644"/>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2268</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2263</v>
      </c>
      <c r="D2" s="2461"/>
      <c r="E2" s="2458"/>
      <c r="F2" s="2462"/>
      <c r="G2" s="2460" t="s">
        <v>2264</v>
      </c>
      <c r="H2" s="799"/>
      <c r="I2" s="799"/>
      <c r="J2" s="799"/>
      <c r="K2" s="799"/>
      <c r="L2" s="799"/>
      <c r="M2" s="799"/>
      <c r="N2" s="799"/>
      <c r="O2" s="799"/>
      <c r="P2" s="799"/>
      <c r="Q2" s="799"/>
      <c r="R2" s="799"/>
    </row>
    <row r="3" spans="1:29" ht="48">
      <c r="A3" s="2441" t="s">
        <v>2265</v>
      </c>
      <c r="B3" s="2463" t="s">
        <v>2234</v>
      </c>
      <c r="C3" s="2464" t="s">
        <v>2266</v>
      </c>
      <c r="D3" s="2465"/>
      <c r="E3" s="2442" t="s">
        <v>2265</v>
      </c>
      <c r="F3" s="2466" t="s">
        <v>2235</v>
      </c>
      <c r="G3" s="2467" t="s">
        <v>2267</v>
      </c>
      <c r="H3" s="799"/>
      <c r="I3" s="799"/>
      <c r="J3" s="799"/>
      <c r="K3" s="799"/>
      <c r="L3" s="799"/>
      <c r="M3" s="799"/>
      <c r="N3" s="799"/>
      <c r="O3" s="799"/>
      <c r="P3" s="799"/>
      <c r="Q3" s="799"/>
      <c r="R3" s="799"/>
    </row>
    <row r="4" spans="1:29" ht="36.75">
      <c r="A4" s="2442"/>
      <c r="B4" s="323" t="s">
        <v>2236</v>
      </c>
      <c r="C4" s="2468" t="s">
        <v>2237</v>
      </c>
      <c r="D4" s="2465"/>
      <c r="E4" s="2469"/>
      <c r="F4" s="1373" t="s">
        <v>2238</v>
      </c>
      <c r="G4" s="2470" t="s">
        <v>2239</v>
      </c>
      <c r="H4" s="799"/>
      <c r="I4" s="799"/>
      <c r="J4" s="799"/>
      <c r="K4" s="799"/>
      <c r="L4" s="799"/>
      <c r="M4" s="799"/>
      <c r="N4" s="799"/>
      <c r="O4" s="799"/>
      <c r="P4" s="799"/>
      <c r="Q4" s="799"/>
      <c r="R4" s="799"/>
    </row>
    <row r="5" spans="1:29" ht="36.75">
      <c r="A5" s="2442"/>
      <c r="B5" s="323" t="s">
        <v>2240</v>
      </c>
      <c r="C5" s="2468" t="s">
        <v>2241</v>
      </c>
      <c r="D5" s="2465"/>
      <c r="E5" s="2469"/>
      <c r="F5" s="323" t="s">
        <v>2242</v>
      </c>
      <c r="G5" s="2470" t="s">
        <v>2243</v>
      </c>
      <c r="H5" s="799"/>
      <c r="I5" s="799"/>
      <c r="J5" s="799"/>
      <c r="K5" s="799"/>
      <c r="L5" s="799"/>
      <c r="M5" s="799"/>
      <c r="N5" s="799"/>
      <c r="O5" s="799"/>
      <c r="P5" s="799"/>
      <c r="Q5" s="799"/>
      <c r="R5" s="799"/>
    </row>
    <row r="6" spans="1:29" ht="36">
      <c r="A6" s="2442"/>
      <c r="B6" s="323" t="s">
        <v>2244</v>
      </c>
      <c r="C6" s="2470" t="s">
        <v>2239</v>
      </c>
      <c r="D6" s="2465"/>
      <c r="E6" s="2469"/>
      <c r="F6" s="323" t="s">
        <v>2245</v>
      </c>
      <c r="G6" s="2470" t="s">
        <v>2246</v>
      </c>
      <c r="H6" s="799"/>
      <c r="I6" s="799"/>
      <c r="J6" s="799"/>
      <c r="K6" s="799"/>
      <c r="L6" s="799"/>
      <c r="M6" s="799"/>
      <c r="N6" s="799"/>
      <c r="O6" s="799"/>
      <c r="P6" s="799"/>
      <c r="Q6" s="799"/>
      <c r="R6" s="799"/>
    </row>
    <row r="7" spans="1:29" ht="24.75" thickBot="1">
      <c r="A7" s="2442"/>
      <c r="B7" s="323" t="s">
        <v>2242</v>
      </c>
      <c r="C7" s="2470" t="s">
        <v>2243</v>
      </c>
      <c r="D7" s="2471"/>
      <c r="E7" s="2472"/>
      <c r="F7" s="2473" t="s">
        <v>2247</v>
      </c>
      <c r="G7" s="2474" t="s">
        <v>2248</v>
      </c>
      <c r="H7" s="799"/>
      <c r="I7" s="799"/>
      <c r="J7" s="799"/>
      <c r="K7" s="799"/>
      <c r="L7" s="799"/>
      <c r="M7" s="799"/>
      <c r="N7" s="799"/>
      <c r="O7" s="799"/>
      <c r="P7" s="799"/>
      <c r="Q7" s="799"/>
      <c r="R7" s="799"/>
    </row>
    <row r="8" spans="1:29">
      <c r="A8" s="2442"/>
      <c r="B8" s="323" t="s">
        <v>2245</v>
      </c>
      <c r="C8" s="2470" t="s">
        <v>2246</v>
      </c>
      <c r="D8" s="2471"/>
      <c r="E8" s="2471"/>
      <c r="F8" s="2475"/>
      <c r="G8" s="2475"/>
      <c r="H8" s="799"/>
      <c r="I8" s="799"/>
      <c r="J8" s="799"/>
      <c r="K8" s="799"/>
      <c r="L8" s="799"/>
      <c r="M8" s="799"/>
      <c r="N8" s="799"/>
      <c r="O8" s="799"/>
      <c r="P8" s="799"/>
      <c r="Q8" s="799"/>
      <c r="R8" s="799"/>
    </row>
    <row r="9" spans="1:29" ht="24">
      <c r="A9" s="2442"/>
      <c r="B9" s="323" t="s">
        <v>2249</v>
      </c>
      <c r="C9" s="2468" t="s">
        <v>2250</v>
      </c>
      <c r="D9" s="2465"/>
      <c r="E9" s="2471"/>
      <c r="F9" s="2475"/>
      <c r="G9" s="2475"/>
      <c r="H9" s="799"/>
      <c r="I9" s="799"/>
      <c r="J9" s="799"/>
      <c r="K9" s="799"/>
      <c r="L9" s="799"/>
      <c r="M9" s="799"/>
      <c r="N9" s="799"/>
      <c r="O9" s="799"/>
      <c r="P9" s="799"/>
      <c r="Q9" s="799"/>
      <c r="R9" s="799"/>
    </row>
    <row r="10" spans="1:29" s="2481" customFormat="1" ht="15" thickBot="1">
      <c r="A10" s="2443"/>
      <c r="B10" s="2476" t="s">
        <v>2251</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2269</v>
      </c>
      <c r="B13" s="2484"/>
      <c r="C13" s="2484"/>
      <c r="D13" s="2482"/>
      <c r="E13" s="2484"/>
      <c r="F13" s="2484"/>
      <c r="G13" s="2484"/>
    </row>
    <row r="14" spans="1:29" ht="15" thickBot="1">
      <c r="A14" s="2494"/>
      <c r="B14" s="2494"/>
      <c r="C14" s="2495" t="s">
        <v>2252</v>
      </c>
      <c r="D14" s="2465"/>
      <c r="E14" s="2496"/>
      <c r="F14" s="2496"/>
      <c r="G14" s="2460" t="s">
        <v>2253</v>
      </c>
    </row>
    <row r="15" spans="1:29" ht="51">
      <c r="A15" s="2444" t="s">
        <v>2254</v>
      </c>
      <c r="B15" s="2497" t="s">
        <v>2234</v>
      </c>
      <c r="C15" s="2498" t="str">
        <f>C3</f>
        <v>估价对象周边居住用地比例、居住小区规模和社区发展完善程度，综合评价居住社区成熟度一般</v>
      </c>
      <c r="D15" s="2465"/>
      <c r="E15" s="2445" t="s">
        <v>2255</v>
      </c>
      <c r="F15" s="2497" t="s">
        <v>2256</v>
      </c>
      <c r="G15" s="2499" t="str">
        <f>G3</f>
        <v>估价对象位于XX开发区，园区建设成熟度XX，产业集聚程度XX</v>
      </c>
    </row>
    <row r="16" spans="1:29" ht="38.25">
      <c r="A16" s="2446"/>
      <c r="B16" s="2500" t="s">
        <v>2236</v>
      </c>
      <c r="C16" s="2501" t="str">
        <f>C4</f>
        <v>估价对象位于XX商圈，周边商业氛围成熟，人流量大，商业繁华度好</v>
      </c>
      <c r="D16" s="2465"/>
      <c r="E16" s="2447"/>
      <c r="F16" s="2502" t="s">
        <v>2238</v>
      </c>
      <c r="G16" s="2503" t="str">
        <f>G4</f>
        <v>估价对象周边道路状况、公共交通通达情况、停车便捷程度，综合评价交通便捷度较好</v>
      </c>
    </row>
    <row r="17" spans="1:18" ht="38.25">
      <c r="A17" s="2446"/>
      <c r="B17" s="2500" t="s">
        <v>2240</v>
      </c>
      <c r="C17" s="2501" t="str">
        <f>C5</f>
        <v>估价对象位于XX商圈，周边办公楼项目较多，入驻率高，办公集聚程度较好</v>
      </c>
      <c r="D17" s="2471"/>
      <c r="E17" s="2447"/>
      <c r="F17" s="2502" t="s">
        <v>2257</v>
      </c>
      <c r="G17" s="2504"/>
    </row>
    <row r="18" spans="1:18" ht="38.25">
      <c r="A18" s="2446"/>
      <c r="B18" s="2502" t="s">
        <v>2244</v>
      </c>
      <c r="C18" s="2503" t="str">
        <f>C6</f>
        <v>估价对象周边道路状况、公共交通通达情况、停车便捷程度，综合评价交通便捷度较好</v>
      </c>
      <c r="D18" s="2471"/>
      <c r="E18" s="2447"/>
      <c r="F18" s="2502" t="s">
        <v>2247</v>
      </c>
      <c r="G18" s="2503" t="str">
        <f>G7</f>
        <v>该园区内是否有污染型企业，绿化情况，卫生条件，整体环境状况判断</v>
      </c>
    </row>
    <row r="19" spans="1:18" ht="25.5">
      <c r="A19" s="2446"/>
      <c r="B19" s="2502" t="s">
        <v>2258</v>
      </c>
      <c r="C19" s="2504"/>
      <c r="D19" s="2465"/>
      <c r="E19" s="2447"/>
      <c r="F19" s="323" t="s">
        <v>2242</v>
      </c>
      <c r="G19" s="2503" t="str">
        <f>G5</f>
        <v>估价对象所在区域公共配套设施齐备情况</v>
      </c>
    </row>
    <row r="20" spans="1:18" ht="25.5">
      <c r="A20" s="2446"/>
      <c r="B20" s="2502" t="s">
        <v>2259</v>
      </c>
      <c r="C20" s="2501" t="str">
        <f>C9</f>
        <v>区域自然环境：；人文环境；综合评价环境状况一般</v>
      </c>
      <c r="D20" s="2471"/>
      <c r="E20" s="2447"/>
      <c r="F20" s="323" t="s">
        <v>2245</v>
      </c>
      <c r="G20" s="2503" t="str">
        <f>G6</f>
        <v>估价对象所在区域基础设施水平</v>
      </c>
    </row>
    <row r="21" spans="1:18" ht="25.5">
      <c r="A21" s="2446"/>
      <c r="B21" s="323" t="s">
        <v>2242</v>
      </c>
      <c r="C21" s="2503" t="str">
        <f>C7</f>
        <v>估价对象所在区域公共配套设施齐备情况</v>
      </c>
      <c r="D21" s="2465"/>
      <c r="E21" s="2447"/>
      <c r="F21" s="2502" t="s">
        <v>2260</v>
      </c>
      <c r="G21" s="2505"/>
    </row>
    <row r="22" spans="1:18" ht="13.5" customHeight="1">
      <c r="A22" s="2446"/>
      <c r="B22" s="323" t="s">
        <v>2245</v>
      </c>
      <c r="C22" s="2503" t="str">
        <f>C8</f>
        <v>估价对象所在区域基础设施水平</v>
      </c>
      <c r="D22" s="2465"/>
      <c r="E22" s="2447"/>
      <c r="F22" s="2502" t="s">
        <v>2251</v>
      </c>
      <c r="G22" s="2504"/>
    </row>
    <row r="23" spans="1:18" s="799" customFormat="1" ht="15" thickBot="1">
      <c r="A23" s="2446"/>
      <c r="B23" s="2502" t="s">
        <v>2260</v>
      </c>
      <c r="C23" s="2505"/>
      <c r="D23" s="1741"/>
      <c r="E23" s="2448"/>
      <c r="F23" s="2506" t="s">
        <v>2261</v>
      </c>
      <c r="G23" s="2507"/>
      <c r="H23" s="2491"/>
      <c r="I23" s="2492"/>
      <c r="J23" s="2491"/>
      <c r="K23" s="2491"/>
      <c r="L23" s="2492"/>
      <c r="M23" s="2491"/>
      <c r="N23" s="2491"/>
      <c r="O23" s="2492"/>
      <c r="P23" s="2491"/>
      <c r="Q23" s="2491"/>
      <c r="R23" s="2493"/>
    </row>
    <row r="24" spans="1:18" s="799" customFormat="1" ht="15" thickBot="1">
      <c r="A24" s="2449"/>
      <c r="B24" s="2506" t="s">
        <v>2262</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40" sqref="J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219142.06</v>
      </c>
      <c r="C1" s="2666"/>
      <c r="D1" s="2666"/>
      <c r="E1" s="2666"/>
      <c r="F1" s="2666"/>
      <c r="G1" s="2667"/>
      <c r="H1" s="2668"/>
      <c r="I1" s="2668"/>
      <c r="J1" s="2668"/>
      <c r="K1" s="2668"/>
    </row>
    <row r="2" spans="1:11" ht="16.5">
      <c r="A2" s="2512" t="s">
        <v>653</v>
      </c>
      <c r="B2" s="2512">
        <f>SUM(C14:C23)</f>
        <v>0</v>
      </c>
      <c r="C2" s="2666"/>
      <c r="D2" s="2666"/>
      <c r="E2" s="2666"/>
      <c r="F2" s="2666"/>
      <c r="G2" s="2667"/>
      <c r="H2" s="2668"/>
      <c r="I2" s="2668"/>
      <c r="J2" s="2668"/>
      <c r="K2" s="2668"/>
    </row>
    <row r="3" spans="1:11" ht="16.5">
      <c r="A3" s="2512" t="s">
        <v>662</v>
      </c>
      <c r="B3" s="2514">
        <f>项目基本情况!D3</f>
        <v>45421</v>
      </c>
      <c r="C3" s="2666"/>
      <c r="D3" s="2666"/>
      <c r="E3" s="2666"/>
      <c r="F3" s="2666"/>
      <c r="G3" s="2667"/>
      <c r="H3" s="2668"/>
      <c r="I3" s="2668"/>
      <c r="J3" s="2668"/>
      <c r="K3" s="2668"/>
    </row>
    <row r="4" spans="1:11" ht="33">
      <c r="A4" s="2512" t="s">
        <v>661</v>
      </c>
      <c r="B4" s="2512" t="s">
        <v>660</v>
      </c>
      <c r="C4" s="2512" t="s">
        <v>659</v>
      </c>
      <c r="D4" s="2512" t="s">
        <v>658</v>
      </c>
      <c r="E4" s="2666"/>
      <c r="F4" s="2667"/>
      <c r="G4" s="2667"/>
      <c r="H4" s="2668"/>
      <c r="I4" s="2668"/>
      <c r="J4" s="2668"/>
      <c r="K4" s="2668"/>
    </row>
    <row r="5" spans="1:11" ht="16.5">
      <c r="A5" s="2512" t="s">
        <v>657</v>
      </c>
      <c r="B5" s="2512">
        <f ca="1">SUM(D14:D23)</f>
        <v>256947</v>
      </c>
      <c r="C5" s="2512">
        <f ca="1">IF(B5=D14,结果表!H102,ROUND(B5*10000/$B$1,0))</f>
        <v>11725</v>
      </c>
      <c r="D5" s="2512" t="e">
        <f ca="1">ROUND(B5*10000/$B$2,0)</f>
        <v>#DIV/0!</v>
      </c>
      <c r="E5" s="2666"/>
      <c r="F5" s="2667"/>
      <c r="G5" s="2667"/>
      <c r="H5" s="2668"/>
      <c r="I5" s="2668"/>
      <c r="J5" s="2668"/>
      <c r="K5" s="2668"/>
    </row>
    <row r="6" spans="1:11" ht="16.5">
      <c r="A6" s="2512" t="s">
        <v>656</v>
      </c>
      <c r="B6" s="2512">
        <f ca="1">SUM(G14:G23)</f>
        <v>256947</v>
      </c>
      <c r="C6" s="2512">
        <f ca="1">IF(B6=G14,结果表!H108,ROUND(B6*10000/$B$1,0))</f>
        <v>11725</v>
      </c>
      <c r="D6" s="2512" t="e">
        <f ca="1">ROUND(B6*10000/$B$2,0)</f>
        <v>#DIV/0!</v>
      </c>
      <c r="E6" s="2666"/>
      <c r="F6" s="2667"/>
      <c r="G6" s="2667"/>
      <c r="H6" s="2668"/>
      <c r="I6" s="2668"/>
      <c r="J6" s="2668"/>
      <c r="K6" s="2668"/>
    </row>
    <row r="7" spans="1:11" ht="16.5">
      <c r="A7" s="2512" t="s">
        <v>664</v>
      </c>
      <c r="B7" s="2512">
        <f>SUM(H14:H23)</f>
        <v>0</v>
      </c>
      <c r="C7" s="2512" t="str">
        <f>IF(B7=H14,结果表!H110,ROUND(B7*10000/$B$1,0))</f>
        <v>——</v>
      </c>
      <c r="D7" s="2512" t="e">
        <f>ROUND(B7*10000/$B$2,0)</f>
        <v>#DIV/0!</v>
      </c>
      <c r="E7" s="2666"/>
      <c r="F7" s="2667"/>
      <c r="G7" s="2667"/>
      <c r="H7" s="2668"/>
      <c r="I7" s="2668"/>
      <c r="J7" s="2668"/>
      <c r="K7" s="2668"/>
    </row>
    <row r="8" spans="1:11" ht="16.5">
      <c r="A8" s="2512" t="s">
        <v>587</v>
      </c>
      <c r="B8" s="2512">
        <f ca="1">SUM(I14:I23)</f>
        <v>230879</v>
      </c>
      <c r="C8" s="2512">
        <f ca="1">IF(B8=I14,结果表!H112,ROUND(B8*10000/$B$1,0))</f>
        <v>4458</v>
      </c>
      <c r="D8" s="2512" t="e">
        <f ca="1">ROUND(B8*10000/$B$2,0)</f>
        <v>#DIV/0!</v>
      </c>
      <c r="E8" s="2666"/>
      <c r="F8" s="2667"/>
      <c r="G8" s="2667"/>
      <c r="H8" s="2668"/>
      <c r="I8" s="2668"/>
      <c r="J8" s="2668"/>
      <c r="K8" s="2668"/>
    </row>
    <row r="9" spans="1:11" ht="16.5">
      <c r="A9" s="2512" t="s">
        <v>655</v>
      </c>
      <c r="B9" s="2520"/>
      <c r="C9" s="2666"/>
      <c r="D9" s="2666"/>
      <c r="E9" s="2666"/>
      <c r="F9" s="2667"/>
      <c r="G9" s="2667"/>
      <c r="H9" s="2668"/>
      <c r="I9" s="2668"/>
      <c r="J9" s="2668"/>
      <c r="K9" s="2668"/>
    </row>
    <row r="10" spans="1:11" ht="16.5">
      <c r="A10" s="2512" t="s">
        <v>654</v>
      </c>
      <c r="B10" s="2512">
        <f>IF(E10="",0,ROUND(B1*(E10*365/G10)/10000,0))</f>
        <v>0</v>
      </c>
      <c r="C10" s="2512" t="s">
        <v>3342</v>
      </c>
      <c r="D10" s="2512" t="s">
        <v>3343</v>
      </c>
      <c r="E10" s="3420"/>
      <c r="F10" s="3424" t="s">
        <v>3344</v>
      </c>
      <c r="G10" s="3421"/>
      <c r="H10" s="2668"/>
      <c r="I10" s="2668"/>
      <c r="J10" s="2668"/>
      <c r="K10" s="2668"/>
    </row>
    <row r="11" spans="1:11" ht="16.5">
      <c r="A11" s="2512" t="s">
        <v>670</v>
      </c>
      <c r="B11" s="252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515" t="s">
        <v>669</v>
      </c>
      <c r="B13" s="2516" t="s">
        <v>666</v>
      </c>
      <c r="C13" s="2516" t="s">
        <v>668</v>
      </c>
      <c r="D13" s="2516" t="s">
        <v>667</v>
      </c>
      <c r="E13" s="2512" t="s">
        <v>659</v>
      </c>
      <c r="F13" s="2512" t="s">
        <v>658</v>
      </c>
      <c r="G13" s="2516" t="s">
        <v>652</v>
      </c>
      <c r="H13" s="2516" t="s">
        <v>663</v>
      </c>
      <c r="I13" s="2516" t="s">
        <v>651</v>
      </c>
      <c r="J13" s="2667"/>
      <c r="K13" s="2668"/>
    </row>
    <row r="14" spans="1:11" ht="16.5">
      <c r="A14" s="2517" t="s">
        <v>650</v>
      </c>
      <c r="B14" s="2518">
        <f>结果表!B118</f>
        <v>219142.06</v>
      </c>
      <c r="C14" s="2518"/>
      <c r="D14" s="2518">
        <f ca="1">结果表!H118</f>
        <v>256947</v>
      </c>
      <c r="E14" s="2518">
        <f ca="1">ROUND(D14*10000/B14,0)</f>
        <v>11725</v>
      </c>
      <c r="F14" s="2518" t="e">
        <f ca="1">ROUND(D14*10000/C14,0)</f>
        <v>#DIV/0!</v>
      </c>
      <c r="G14" s="2518">
        <f ca="1">结果表!D122</f>
        <v>256947</v>
      </c>
      <c r="H14" s="2518"/>
      <c r="I14" s="2518">
        <f ca="1">结果表!P59</f>
        <v>230879</v>
      </c>
      <c r="J14" s="2667"/>
      <c r="K14" s="2668"/>
    </row>
    <row r="15" spans="1:11" ht="16.5">
      <c r="A15" s="2517" t="s">
        <v>649</v>
      </c>
      <c r="B15" s="2519"/>
      <c r="C15" s="2519"/>
      <c r="D15" s="2519"/>
      <c r="E15" s="2518" t="e">
        <f t="shared" ref="E15:E23" si="0">ROUND(D15*10000/B15,0)</f>
        <v>#DIV/0!</v>
      </c>
      <c r="F15" s="2518" t="e">
        <f t="shared" ref="F15:F23" si="1">ROUND(D15*10000/C15,0)</f>
        <v>#DIV/0!</v>
      </c>
      <c r="G15" s="1331"/>
      <c r="H15" s="1331"/>
      <c r="I15" s="2519"/>
      <c r="J15" s="2667"/>
      <c r="K15" s="2668"/>
    </row>
    <row r="16" spans="1:11" ht="16.5">
      <c r="A16" s="2517" t="s">
        <v>648</v>
      </c>
      <c r="B16" s="2519"/>
      <c r="C16" s="2519"/>
      <c r="D16" s="2519"/>
      <c r="E16" s="2518" t="e">
        <f t="shared" si="0"/>
        <v>#DIV/0!</v>
      </c>
      <c r="F16" s="2518" t="e">
        <f t="shared" si="1"/>
        <v>#DIV/0!</v>
      </c>
      <c r="G16" s="1331"/>
      <c r="H16" s="1331"/>
      <c r="I16" s="2519"/>
      <c r="J16" s="2668"/>
      <c r="K16" s="2668"/>
    </row>
    <row r="17" spans="1:11" ht="16.5">
      <c r="A17" s="2517" t="s">
        <v>647</v>
      </c>
      <c r="B17" s="2519"/>
      <c r="C17" s="2519"/>
      <c r="D17" s="2519"/>
      <c r="E17" s="2518" t="e">
        <f t="shared" si="0"/>
        <v>#DIV/0!</v>
      </c>
      <c r="F17" s="2518" t="e">
        <f t="shared" si="1"/>
        <v>#DIV/0!</v>
      </c>
      <c r="G17" s="1331"/>
      <c r="H17" s="1331"/>
      <c r="I17" s="2519"/>
      <c r="J17" s="2668"/>
      <c r="K17" s="2668"/>
    </row>
    <row r="18" spans="1:11" ht="16.5">
      <c r="A18" s="2517" t="s">
        <v>646</v>
      </c>
      <c r="B18" s="2519"/>
      <c r="C18" s="2519"/>
      <c r="D18" s="2519"/>
      <c r="E18" s="2518" t="e">
        <f t="shared" si="0"/>
        <v>#DIV/0!</v>
      </c>
      <c r="F18" s="2518" t="e">
        <f t="shared" si="1"/>
        <v>#DIV/0!</v>
      </c>
      <c r="G18" s="2519"/>
      <c r="H18" s="2519"/>
      <c r="I18" s="2519"/>
      <c r="J18" s="2668"/>
      <c r="K18" s="2668"/>
    </row>
    <row r="19" spans="1:11" ht="16.5">
      <c r="A19" s="2517" t="s">
        <v>645</v>
      </c>
      <c r="B19" s="2519"/>
      <c r="C19" s="2519"/>
      <c r="D19" s="2519"/>
      <c r="E19" s="2518" t="e">
        <f t="shared" si="0"/>
        <v>#DIV/0!</v>
      </c>
      <c r="F19" s="2518" t="e">
        <f t="shared" si="1"/>
        <v>#DIV/0!</v>
      </c>
      <c r="G19" s="2519"/>
      <c r="H19" s="2519"/>
      <c r="I19" s="2519"/>
      <c r="J19" s="2668"/>
      <c r="K19" s="2668"/>
    </row>
    <row r="20" spans="1:11" ht="16.5">
      <c r="A20" s="2517" t="s">
        <v>644</v>
      </c>
      <c r="B20" s="2519"/>
      <c r="C20" s="2519"/>
      <c r="D20" s="2519"/>
      <c r="E20" s="2518" t="e">
        <f t="shared" si="0"/>
        <v>#DIV/0!</v>
      </c>
      <c r="F20" s="2518" t="e">
        <f t="shared" si="1"/>
        <v>#DIV/0!</v>
      </c>
      <c r="G20" s="2519"/>
      <c r="H20" s="2519"/>
      <c r="I20" s="2519"/>
      <c r="J20" s="2668"/>
      <c r="K20" s="2668"/>
    </row>
    <row r="21" spans="1:11" ht="16.5">
      <c r="A21" s="2517" t="s">
        <v>643</v>
      </c>
      <c r="B21" s="2519"/>
      <c r="C21" s="2519"/>
      <c r="D21" s="2519"/>
      <c r="E21" s="2518" t="e">
        <f t="shared" si="0"/>
        <v>#DIV/0!</v>
      </c>
      <c r="F21" s="2518" t="e">
        <f t="shared" si="1"/>
        <v>#DIV/0!</v>
      </c>
      <c r="G21" s="2519"/>
      <c r="H21" s="2519"/>
      <c r="I21" s="2519"/>
      <c r="J21" s="2668"/>
      <c r="K21" s="2668"/>
    </row>
    <row r="22" spans="1:11" ht="16.5">
      <c r="A22" s="2517" t="s">
        <v>642</v>
      </c>
      <c r="B22" s="2519"/>
      <c r="C22" s="2519"/>
      <c r="D22" s="2519"/>
      <c r="E22" s="2518" t="e">
        <f t="shared" si="0"/>
        <v>#DIV/0!</v>
      </c>
      <c r="F22" s="2518" t="e">
        <f t="shared" si="1"/>
        <v>#DIV/0!</v>
      </c>
      <c r="G22" s="2519"/>
      <c r="H22" s="2519"/>
      <c r="I22" s="2519"/>
      <c r="J22" s="2668"/>
      <c r="K22" s="2668"/>
    </row>
    <row r="23" spans="1:11" ht="16.5">
      <c r="A23" s="2517" t="s">
        <v>641</v>
      </c>
      <c r="B23" s="2519"/>
      <c r="C23" s="2519"/>
      <c r="D23" s="2519"/>
      <c r="E23" s="2520" t="e">
        <f t="shared" si="0"/>
        <v>#DIV/0!</v>
      </c>
      <c r="F23" s="2520" t="e">
        <f t="shared" si="1"/>
        <v>#DIV/0!</v>
      </c>
      <c r="G23" s="2519"/>
      <c r="H23" s="2519"/>
      <c r="I23" s="2519"/>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23" sqref="K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26" t="str">
        <f>项目基本情况!S2</f>
        <v>北京市房地产</v>
      </c>
      <c r="B2" s="3627"/>
      <c r="C2" s="3627"/>
      <c r="D2" s="3627"/>
      <c r="E2" s="3627"/>
      <c r="F2" s="3627"/>
      <c r="G2" s="3627"/>
      <c r="H2" s="3627"/>
      <c r="I2" s="3628"/>
    </row>
    <row r="3" spans="1:12" ht="12.75">
      <c r="A3" s="3630" t="s">
        <v>1263</v>
      </c>
      <c r="B3" s="3631"/>
      <c r="C3" s="3631"/>
      <c r="D3" s="3631"/>
      <c r="E3" s="3631"/>
      <c r="F3" s="3631"/>
      <c r="G3" s="3631"/>
      <c r="H3" s="3631"/>
      <c r="I3" s="3631"/>
    </row>
    <row r="4" spans="1:12" ht="14.25">
      <c r="A4" s="1754" t="s">
        <v>1264</v>
      </c>
      <c r="B4" s="1755" t="s">
        <v>1265</v>
      </c>
      <c r="C4" s="1756" t="s">
        <v>3389</v>
      </c>
      <c r="D4" s="1756" t="s">
        <v>4952</v>
      </c>
      <c r="E4" s="3635" t="s">
        <v>1266</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1267</v>
      </c>
      <c r="B5" s="3629">
        <v>25</v>
      </c>
      <c r="C5" s="3632"/>
      <c r="D5" s="3620"/>
      <c r="E5" s="131" t="s">
        <v>1268</v>
      </c>
      <c r="F5" s="1757"/>
      <c r="G5" s="1757"/>
      <c r="H5" s="1757"/>
      <c r="I5" s="1373"/>
    </row>
    <row r="6" spans="1:12" ht="12.75">
      <c r="A6" s="3574"/>
      <c r="B6" s="3629"/>
      <c r="C6" s="3634"/>
      <c r="D6" s="3620"/>
      <c r="E6" s="131" t="s">
        <v>1269</v>
      </c>
      <c r="F6" s="1757"/>
      <c r="G6" s="1757"/>
      <c r="H6" s="1757"/>
      <c r="I6" s="1373"/>
    </row>
    <row r="7" spans="1:12" ht="12.75">
      <c r="A7" s="3574"/>
      <c r="B7" s="3629"/>
      <c r="C7" s="3633"/>
      <c r="D7" s="3620"/>
      <c r="E7" s="131" t="s">
        <v>1270</v>
      </c>
      <c r="F7" s="1757"/>
      <c r="G7" s="1757"/>
      <c r="H7" s="1757"/>
      <c r="I7" s="1373"/>
    </row>
    <row r="8" spans="1:12" ht="12.75">
      <c r="A8" s="3574" t="s">
        <v>1271</v>
      </c>
      <c r="B8" s="3629">
        <v>15</v>
      </c>
      <c r="C8" s="3632"/>
      <c r="D8" s="3620"/>
      <c r="E8" s="131" t="s">
        <v>1272</v>
      </c>
      <c r="F8" s="1757"/>
      <c r="G8" s="1757"/>
      <c r="H8" s="1757"/>
      <c r="I8" s="1373"/>
    </row>
    <row r="9" spans="1:12" ht="12.75">
      <c r="A9" s="3574"/>
      <c r="B9" s="3629"/>
      <c r="C9" s="3633"/>
      <c r="D9" s="3620"/>
      <c r="E9" s="131" t="s">
        <v>1273</v>
      </c>
      <c r="F9" s="1757"/>
      <c r="G9" s="1757"/>
      <c r="H9" s="1757"/>
      <c r="I9" s="1373"/>
    </row>
    <row r="10" spans="1:12" ht="12.75">
      <c r="A10" s="3574" t="s">
        <v>1274</v>
      </c>
      <c r="B10" s="3629">
        <v>15</v>
      </c>
      <c r="C10" s="3632"/>
      <c r="D10" s="3620"/>
      <c r="E10" s="131" t="s">
        <v>1275</v>
      </c>
      <c r="F10" s="1757"/>
      <c r="G10" s="1757"/>
      <c r="H10" s="1757"/>
      <c r="I10" s="1373"/>
    </row>
    <row r="11" spans="1:12" ht="12.75">
      <c r="A11" s="3574"/>
      <c r="B11" s="3629"/>
      <c r="C11" s="3633"/>
      <c r="D11" s="3620"/>
      <c r="E11" s="131" t="s">
        <v>1276</v>
      </c>
      <c r="F11" s="1757"/>
      <c r="G11" s="1757"/>
      <c r="H11" s="1757"/>
      <c r="I11" s="1373"/>
    </row>
    <row r="12" spans="1:12" ht="12.75">
      <c r="A12" s="3574" t="s">
        <v>1277</v>
      </c>
      <c r="B12" s="3629">
        <v>15</v>
      </c>
      <c r="C12" s="3632"/>
      <c r="D12" s="3620"/>
      <c r="E12" s="131" t="s">
        <v>1278</v>
      </c>
      <c r="F12" s="1757"/>
      <c r="G12" s="1757"/>
      <c r="H12" s="1757"/>
      <c r="I12" s="1373"/>
    </row>
    <row r="13" spans="1:12" ht="12.75">
      <c r="A13" s="3574"/>
      <c r="B13" s="3629"/>
      <c r="C13" s="3633"/>
      <c r="D13" s="3620"/>
      <c r="E13" s="131" t="s">
        <v>1279</v>
      </c>
      <c r="F13" s="1757"/>
      <c r="G13" s="1757"/>
      <c r="H13" s="1757"/>
      <c r="I13" s="1373"/>
    </row>
    <row r="14" spans="1:12" ht="12.75">
      <c r="A14" s="3574" t="s">
        <v>1280</v>
      </c>
      <c r="B14" s="3629">
        <v>30</v>
      </c>
      <c r="C14" s="3632">
        <v>3</v>
      </c>
      <c r="D14" s="3620">
        <v>7</v>
      </c>
      <c r="E14" s="131" t="s">
        <v>1281</v>
      </c>
      <c r="F14" s="1757"/>
      <c r="G14" s="1757"/>
      <c r="H14" s="1757"/>
      <c r="I14" s="1373"/>
    </row>
    <row r="15" spans="1:12" ht="12.75">
      <c r="A15" s="3574"/>
      <c r="B15" s="3629"/>
      <c r="C15" s="3634"/>
      <c r="D15" s="3620"/>
      <c r="E15" s="131" t="s">
        <v>1282</v>
      </c>
      <c r="F15" s="1757"/>
      <c r="G15" s="1757"/>
      <c r="H15" s="1757"/>
      <c r="I15" s="1373"/>
    </row>
    <row r="16" spans="1:12" ht="12.75">
      <c r="A16" s="3574"/>
      <c r="B16" s="3629"/>
      <c r="C16" s="3633"/>
      <c r="D16" s="3620"/>
      <c r="E16" s="131" t="s">
        <v>1283</v>
      </c>
      <c r="F16" s="1757"/>
      <c r="G16" s="1757"/>
      <c r="H16" s="1757"/>
      <c r="I16" s="1373"/>
    </row>
    <row r="17" spans="1:36" ht="15">
      <c r="A17" s="1758" t="s">
        <v>1284</v>
      </c>
      <c r="B17" s="56"/>
      <c r="C17" s="132">
        <f>SUM(C5:C16)</f>
        <v>3</v>
      </c>
      <c r="D17" s="132">
        <f>SUM(D5:D16)</f>
        <v>7</v>
      </c>
      <c r="E17" s="129"/>
      <c r="F17" s="129"/>
      <c r="G17" s="129"/>
      <c r="H17" s="129"/>
      <c r="I17" s="129"/>
      <c r="K17" s="302"/>
      <c r="L17" s="302" t="s">
        <v>1285</v>
      </c>
      <c r="M17" s="302" t="s">
        <v>1286</v>
      </c>
    </row>
    <row r="18" spans="1:36" ht="31.9" customHeight="1" thickBot="1">
      <c r="A18" s="1759" t="s">
        <v>1287</v>
      </c>
      <c r="B18" s="1760"/>
      <c r="C18" s="133">
        <f>ROUND(C17/SUM(C17:D17),2)</f>
        <v>0.3</v>
      </c>
      <c r="D18" s="133">
        <f>1-C18</f>
        <v>0.7</v>
      </c>
      <c r="E18" s="3651" t="s">
        <v>2113</v>
      </c>
      <c r="F18" s="3652"/>
      <c r="G18" s="3652"/>
      <c r="H18" s="3652"/>
      <c r="I18" s="3652"/>
      <c r="J18" s="725" t="s">
        <v>4953</v>
      </c>
      <c r="K18" s="302" t="s">
        <v>1288</v>
      </c>
      <c r="L18" s="302">
        <f>IF(C1="",'数据-汇总表'!E3,SUMIF(项目类型,C1,'数据-汇总表'!E17:E26)+SUMIF(项目类型,C1,'数据-汇总表'!I17:I26))</f>
        <v>219142.06</v>
      </c>
      <c r="M18" s="302">
        <f>IF(C1="",'数据-汇总表'!E3,SUMIF(项目类型,C1,'数据-汇总表'!E17:E26))</f>
        <v>219142.06</v>
      </c>
    </row>
    <row r="19" spans="1:36" ht="15">
      <c r="A19" s="1761" t="s">
        <v>1289</v>
      </c>
      <c r="B19" s="1762" t="s">
        <v>1290</v>
      </c>
      <c r="C19" s="134">
        <f ca="1">SUMIF(INDIRECT("'"&amp;C4&amp;"'"&amp;"!A:A"),结果表!B19,INDIRECT("'"&amp;C4&amp;"'"&amp;"!B:B"))</f>
        <v>173672</v>
      </c>
      <c r="D19" s="135">
        <f ca="1">SUMIF(INDIRECT("'"&amp;D4&amp;"'"&amp;"!A:A"),结果表!B19,INDIRECT("'"&amp;D4&amp;"'"&amp;"!B:B"))</f>
        <v>292636</v>
      </c>
      <c r="E19" s="1761" t="s">
        <v>1291</v>
      </c>
      <c r="F19" s="1762" t="s">
        <v>1290</v>
      </c>
      <c r="G19" s="136">
        <f ca="1">ROUND(C19*$C$18+D19*$D$18,0)</f>
        <v>256947</v>
      </c>
      <c r="H19" s="1763" t="s">
        <v>1292</v>
      </c>
      <c r="I19" s="129"/>
      <c r="J19" s="725">
        <v>275269</v>
      </c>
      <c r="K19" s="302" t="s">
        <v>1293</v>
      </c>
      <c r="L19" s="302">
        <f>IF(C1="",'数据-汇总表'!D3,SUMIF(项目类型,C1,'数据-汇总表'!D17:D26)+SUMIF(项目类型,C1,'数据-汇总表'!H17:H27))</f>
        <v>108355.49</v>
      </c>
      <c r="M19" s="302">
        <f>IF(C1="",'数据-汇总表'!D3,SUMIF(项目类型,C1,'数据-汇总表'!D17:D26))</f>
        <v>108355.49</v>
      </c>
    </row>
    <row r="20" spans="1:36" ht="15">
      <c r="A20" s="1764"/>
      <c r="B20" s="1026" t="s">
        <v>1294</v>
      </c>
      <c r="C20" s="137">
        <f ca="1">SUMIF(INDIRECT("'"&amp;C4&amp;"'"&amp;"!A:A"),结果表!B20,INDIRECT("'"&amp;C4&amp;"'"&amp;"!B:B"))</f>
        <v>7925</v>
      </c>
      <c r="D20" s="138">
        <f ca="1">SUMIF(INDIRECT("'"&amp;D4&amp;"'"&amp;"!A:A"),结果表!B20,INDIRECT("'"&amp;D4&amp;"'"&amp;"!B:B"))</f>
        <v>13354</v>
      </c>
      <c r="E20" s="1764"/>
      <c r="F20" s="1026" t="s">
        <v>1294</v>
      </c>
      <c r="G20" s="139">
        <f ca="1">ROUND(C20*$C$18+D20*$D$18,0)</f>
        <v>11725</v>
      </c>
      <c r="H20" s="808" t="s">
        <v>1295</v>
      </c>
      <c r="I20" s="129"/>
    </row>
    <row r="21" spans="1:36" ht="15" customHeight="1" thickBot="1">
      <c r="A21" s="828"/>
      <c r="B21" s="1765" t="s">
        <v>1296</v>
      </c>
      <c r="C21" s="719">
        <f ca="1">ROUND(C19*10000/L19,0)</f>
        <v>16028</v>
      </c>
      <c r="D21" s="720">
        <f ca="1">ROUND(D19*10000/L19,0)</f>
        <v>27007</v>
      </c>
      <c r="E21" s="828"/>
      <c r="F21" s="1765" t="s">
        <v>1296</v>
      </c>
      <c r="G21" s="140">
        <f ca="1">ROUND(G19*10000/L19,0)</f>
        <v>23713</v>
      </c>
      <c r="H21" s="1766" t="s">
        <v>1295</v>
      </c>
      <c r="I21" s="129"/>
    </row>
    <row r="22" spans="1:36" ht="15" thickBot="1">
      <c r="A22" s="1688" t="s">
        <v>1297</v>
      </c>
      <c r="B22" s="1767"/>
      <c r="C22" s="1768"/>
      <c r="D22" s="721">
        <f ca="1">IF(C19&lt;D19,D19/C19-1,C19/D19-1)</f>
        <v>0.68499239946565949</v>
      </c>
      <c r="E22" s="129"/>
      <c r="F22" s="129"/>
      <c r="G22" s="129"/>
      <c r="H22" s="129"/>
      <c r="I22" s="129"/>
      <c r="J22" s="725">
        <f>J19/'数据-汇总表'!E3</f>
        <v>1.2561212575988379</v>
      </c>
    </row>
    <row r="23" spans="1:36" ht="13.5" thickBot="1">
      <c r="A23" s="1747"/>
      <c r="B23" s="1747"/>
      <c r="C23" s="1747"/>
      <c r="D23" s="1747"/>
      <c r="E23" s="129"/>
      <c r="F23" s="129"/>
      <c r="G23" s="129"/>
      <c r="H23" s="129"/>
      <c r="I23" s="129"/>
    </row>
    <row r="24" spans="1:36" ht="14.25">
      <c r="A24" s="3644" t="s">
        <v>1298</v>
      </c>
      <c r="B24" s="1762" t="s">
        <v>1290</v>
      </c>
      <c r="C24" s="136">
        <f>IF(B30=0,0,D30)</f>
        <v>0</v>
      </c>
      <c r="D24" s="1769"/>
      <c r="E24" s="129"/>
      <c r="F24" s="129"/>
      <c r="G24" s="129"/>
      <c r="H24" s="129"/>
      <c r="I24" s="129"/>
    </row>
    <row r="25" spans="1:36" ht="14.25">
      <c r="A25" s="364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256947</v>
      </c>
      <c r="D32" s="1775" t="s">
        <v>3390</v>
      </c>
      <c r="E32" s="129"/>
      <c r="F32" s="129"/>
      <c r="G32" s="129"/>
      <c r="H32" s="129"/>
      <c r="I32" s="129"/>
    </row>
    <row r="33" spans="1:15" ht="15">
      <c r="A33" s="786" t="s">
        <v>1305</v>
      </c>
      <c r="B33" s="1776"/>
      <c r="C33" s="1777" t="s">
        <v>3391</v>
      </c>
      <c r="D33" s="1778"/>
      <c r="E33" s="1779" t="s">
        <v>1306</v>
      </c>
      <c r="F33" s="1780" t="str">
        <f>IF(D32="楼面单价","取值（单价）","取值（总价）")</f>
        <v>取值（总价）</v>
      </c>
      <c r="G33" s="129"/>
      <c r="H33" s="129"/>
      <c r="I33" s="129"/>
    </row>
    <row r="34" spans="1:15" ht="15">
      <c r="A34" s="1781"/>
      <c r="B34" s="1782" t="s">
        <v>1307</v>
      </c>
      <c r="C34" s="148">
        <f>IF(C33="自定义",F34,C32-C35)</f>
        <v>0</v>
      </c>
      <c r="D34" s="861">
        <f ca="1">IF(C33="自定义",ROUND(C34/C32,3),IF(C33="收益比率",SUMIF(INDIRECT("'"&amp;D33&amp;"'"&amp;"!b:b"),"土地收益比率",INDIRECT("'"&amp;D33&amp;"'"&amp;"!c:c")),SUMIF(INDIRECT("'"&amp;D33&amp;"'"&amp;"!b:b"),"土地成本比率",INDIRECT("'"&amp;D33&amp;"'"&amp;"!c:c"))))</f>
        <v>0</v>
      </c>
      <c r="E34" s="1783" t="s">
        <v>1308</v>
      </c>
      <c r="F34" s="1330"/>
      <c r="G34" s="129"/>
      <c r="H34" s="129"/>
      <c r="I34" s="129"/>
    </row>
    <row r="35" spans="1:15" ht="15.75" thickBot="1">
      <c r="A35" s="1784"/>
      <c r="B35" s="1785" t="s">
        <v>1309</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1310</v>
      </c>
      <c r="F35" s="154"/>
      <c r="G35" s="129"/>
      <c r="H35" s="129"/>
      <c r="I35" s="129"/>
    </row>
    <row r="36" spans="1:15" ht="15.75" thickBot="1">
      <c r="A36" s="3621" t="s">
        <v>1311</v>
      </c>
      <c r="B36" s="1787" t="s">
        <v>1312</v>
      </c>
      <c r="C36" s="145"/>
      <c r="D36" s="1788"/>
      <c r="E36" s="1789"/>
      <c r="F36" s="1790"/>
      <c r="G36" s="129"/>
      <c r="H36" s="129"/>
      <c r="I36" s="129"/>
    </row>
    <row r="37" spans="1:15" ht="15.75" thickBot="1">
      <c r="A37" s="3622"/>
      <c r="B37" s="1674" t="s">
        <v>1313</v>
      </c>
      <c r="C37" s="147"/>
      <c r="D37" s="1139"/>
      <c r="E37" s="1139"/>
      <c r="F37" s="1790"/>
      <c r="G37" s="129"/>
      <c r="H37" s="129"/>
      <c r="I37" s="129"/>
    </row>
    <row r="38" spans="1:15" ht="15.75" thickBot="1">
      <c r="A38" s="362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1" t="s">
        <v>1325</v>
      </c>
      <c r="B45" s="3642"/>
      <c r="C45" s="3643"/>
      <c r="D45" s="155">
        <f ca="1">ROUND(H101*F45,0)</f>
        <v>256947</v>
      </c>
      <c r="E45" s="156" t="s">
        <v>1326</v>
      </c>
      <c r="F45" s="157">
        <v>1</v>
      </c>
      <c r="G45" s="158" t="s">
        <v>1327</v>
      </c>
      <c r="H45" s="129"/>
      <c r="I45" s="129"/>
      <c r="J45" s="3561" t="s">
        <v>1328</v>
      </c>
      <c r="K45" s="3561"/>
      <c r="L45" s="3561"/>
      <c r="M45" s="3561"/>
      <c r="N45" s="3561"/>
      <c r="O45" s="3561"/>
    </row>
    <row r="46" spans="1:15" ht="14.25" customHeight="1">
      <c r="A46" s="3638" t="s">
        <v>1329</v>
      </c>
      <c r="B46" s="3639"/>
      <c r="C46" s="3639"/>
      <c r="D46" s="3639"/>
      <c r="E46" s="3639"/>
      <c r="F46" s="3639"/>
      <c r="G46" s="3640"/>
      <c r="H46" s="1806"/>
      <c r="I46" s="159"/>
      <c r="J46" s="170">
        <v>1</v>
      </c>
      <c r="K46" s="3562" t="s">
        <v>3392</v>
      </c>
      <c r="L46" s="3562"/>
      <c r="M46" s="3563"/>
      <c r="N46" s="3563"/>
      <c r="O46" s="3563"/>
    </row>
    <row r="47" spans="1:15" ht="12" customHeight="1">
      <c r="A47" s="160" t="s">
        <v>1330</v>
      </c>
      <c r="B47" s="161"/>
      <c r="C47" s="162"/>
      <c r="D47" s="1087" t="s">
        <v>1331</v>
      </c>
      <c r="E47" s="302" t="s">
        <v>1332</v>
      </c>
      <c r="F47" s="163" t="s">
        <v>1333</v>
      </c>
      <c r="G47" s="2526" t="s">
        <v>1334</v>
      </c>
      <c r="H47" s="2527"/>
      <c r="I47" s="159"/>
      <c r="J47" s="170">
        <v>2</v>
      </c>
      <c r="K47" s="3562" t="s">
        <v>3393</v>
      </c>
      <c r="L47" s="3562"/>
      <c r="M47" s="3564">
        <f>'数据-取费表'!B2</f>
        <v>45421</v>
      </c>
      <c r="N47" s="3564"/>
      <c r="O47" s="3564"/>
    </row>
    <row r="48" spans="1:15" ht="25.5">
      <c r="A48" s="3624" t="s">
        <v>1335</v>
      </c>
      <c r="B48" s="3625"/>
      <c r="C48" s="3625"/>
      <c r="D48" s="2324">
        <f ca="1">IF(H48="情况1",0,IF(H48="情况2",D52,IF(H48="情况3",D53,IF(H48="情况4",D54))))</f>
        <v>13704</v>
      </c>
      <c r="E48" s="2334" t="str">
        <f>IF(H48="情况4","(销售额-原购置价)×税（费）率","销售额×税（费）率")</f>
        <v>销售额×税（费）率</v>
      </c>
      <c r="F48" s="2528">
        <f>IF(H48="情况1","免征",'数据-取费表'!B41)</f>
        <v>5.6000000000000001E-2</v>
      </c>
      <c r="G48" s="2529" t="s">
        <v>1336</v>
      </c>
      <c r="H48" s="2530" t="s">
        <v>3409</v>
      </c>
      <c r="I48" s="1806"/>
      <c r="J48" s="170">
        <v>3</v>
      </c>
      <c r="K48" s="3562" t="s">
        <v>3394</v>
      </c>
      <c r="L48" s="3562"/>
      <c r="M48" s="3565">
        <f ca="1">H101</f>
        <v>256947</v>
      </c>
      <c r="N48" s="3565"/>
      <c r="O48" s="3565"/>
    </row>
    <row r="49" spans="1:35" ht="25.5" customHeight="1">
      <c r="A49" s="2333" t="s">
        <v>1337</v>
      </c>
      <c r="B49" s="3610" t="s">
        <v>1338</v>
      </c>
      <c r="C49" s="3610"/>
      <c r="D49" s="1590">
        <v>0</v>
      </c>
      <c r="E49" s="324" t="s">
        <v>1339</v>
      </c>
      <c r="F49" s="2424" t="s">
        <v>28</v>
      </c>
      <c r="G49" s="3593"/>
      <c r="H49" s="2310" t="s">
        <v>2116</v>
      </c>
      <c r="I49" s="2311"/>
      <c r="J49" s="170">
        <v>4</v>
      </c>
      <c r="K49" s="3562" t="str">
        <f>IF(项目基本情况!E8="房地产抵押价值","房地产抵押价值","抵押担保权已注销时的房地产抵押价值")</f>
        <v>房地产抵押价值</v>
      </c>
      <c r="L49" s="3562"/>
      <c r="M49" s="3565">
        <f ca="1">IF(项目基本情况!E8="房地产抵押价值",H107,H109)</f>
        <v>256947</v>
      </c>
      <c r="N49" s="3565"/>
      <c r="O49" s="3565"/>
    </row>
    <row r="50" spans="1:35" ht="25.5" customHeight="1">
      <c r="A50" s="2531"/>
      <c r="B50" s="3610" t="s">
        <v>1340</v>
      </c>
      <c r="C50" s="3610"/>
      <c r="D50" s="2532"/>
      <c r="E50" s="332"/>
      <c r="F50" s="2424"/>
      <c r="G50" s="3594"/>
      <c r="H50" s="2312" t="s">
        <v>2117</v>
      </c>
      <c r="I50" s="2311"/>
      <c r="J50" s="3565" t="s">
        <v>3395</v>
      </c>
      <c r="K50" s="3565"/>
      <c r="L50" s="3565"/>
      <c r="M50" s="3565"/>
      <c r="N50" s="3565"/>
      <c r="O50" s="3565"/>
    </row>
    <row r="51" spans="1:35" ht="20.45" customHeight="1">
      <c r="A51" s="2533"/>
      <c r="B51" s="3610" t="s">
        <v>1341</v>
      </c>
      <c r="C51" s="3610"/>
      <c r="D51" s="1087"/>
      <c r="E51" s="327"/>
      <c r="F51" s="2424"/>
      <c r="G51" s="3595"/>
      <c r="H51" s="2312" t="s">
        <v>2118</v>
      </c>
      <c r="I51" s="2311"/>
      <c r="J51" s="174" t="s">
        <v>3396</v>
      </c>
      <c r="K51" s="3562" t="s">
        <v>3397</v>
      </c>
      <c r="L51" s="3562"/>
      <c r="M51" s="174" t="s">
        <v>3398</v>
      </c>
      <c r="N51" s="174" t="s">
        <v>3399</v>
      </c>
      <c r="O51" s="174" t="s">
        <v>3400</v>
      </c>
    </row>
    <row r="52" spans="1:35" ht="24" customHeight="1">
      <c r="A52" s="2335" t="s">
        <v>1342</v>
      </c>
      <c r="B52" s="3610" t="s">
        <v>1343</v>
      </c>
      <c r="C52" s="3610"/>
      <c r="D52" s="1087">
        <f ca="1">ROUND(D45*'数据-取费表'!B41/(1+'数据-取费表'!C42),0)</f>
        <v>13704</v>
      </c>
      <c r="E52" s="2334" t="s">
        <v>1344</v>
      </c>
      <c r="F52" s="2534">
        <f>'数据-取费表'!B41</f>
        <v>5.6000000000000001E-2</v>
      </c>
      <c r="G52" s="2535"/>
      <c r="H52" s="2524"/>
      <c r="I52" s="1807"/>
      <c r="J52" s="170">
        <v>1</v>
      </c>
      <c r="K52" s="3587" t="s">
        <v>3401</v>
      </c>
      <c r="L52" s="3587"/>
      <c r="M52" s="170">
        <f ca="1">D48</f>
        <v>13704</v>
      </c>
      <c r="N52" s="170" t="str">
        <f>E48</f>
        <v>销售额×税（费）率</v>
      </c>
      <c r="O52" s="3439">
        <f>F48</f>
        <v>5.6000000000000001E-2</v>
      </c>
      <c r="P52" s="725">
        <f ca="1">M52</f>
        <v>13704</v>
      </c>
    </row>
    <row r="53" spans="1:35" ht="12" customHeight="1">
      <c r="A53" s="2335" t="s">
        <v>1345</v>
      </c>
      <c r="B53" s="3611" t="s">
        <v>2273</v>
      </c>
      <c r="C53" s="3612"/>
      <c r="D53" s="1087">
        <f ca="1">ROUND(D45*'数据-取费表'!B41/(1+'数据-取费表'!C42),0)</f>
        <v>13704</v>
      </c>
      <c r="E53" s="2334" t="s">
        <v>1344</v>
      </c>
      <c r="F53" s="2534">
        <f>'数据-取费表'!B41</f>
        <v>5.6000000000000001E-2</v>
      </c>
      <c r="G53" s="2535"/>
      <c r="H53" s="2524"/>
      <c r="I53" s="1807"/>
      <c r="J53" s="170">
        <v>2</v>
      </c>
      <c r="K53" s="3587" t="s">
        <v>3402</v>
      </c>
      <c r="L53" s="3587"/>
      <c r="M53" s="170">
        <f t="shared" ref="M53:O54" ca="1" si="0">D55</f>
        <v>128</v>
      </c>
      <c r="N53" s="170" t="str">
        <f t="shared" si="0"/>
        <v>销售额×税（费）率</v>
      </c>
      <c r="O53" s="3439">
        <f t="shared" si="0"/>
        <v>5.0000000000000001E-4</v>
      </c>
      <c r="P53" s="725">
        <f ca="1">M53</f>
        <v>128</v>
      </c>
    </row>
    <row r="54" spans="1:35" ht="12" customHeight="1">
      <c r="A54" s="2335" t="s">
        <v>1346</v>
      </c>
      <c r="B54" s="3611" t="s">
        <v>2274</v>
      </c>
      <c r="C54" s="3612"/>
      <c r="D54" s="1087">
        <f ca="1">C68</f>
        <v>13704</v>
      </c>
      <c r="E54" s="327" t="s">
        <v>1347</v>
      </c>
      <c r="F54" s="2534">
        <f>'数据-取费表'!B41</f>
        <v>5.6000000000000001E-2</v>
      </c>
      <c r="G54" s="2535"/>
      <c r="H54" s="2536"/>
      <c r="I54" s="1807"/>
      <c r="J54" s="170">
        <v>3</v>
      </c>
      <c r="K54" s="3587" t="s">
        <v>3403</v>
      </c>
      <c r="L54" s="3587"/>
      <c r="M54" s="170">
        <f t="shared" ca="1" si="0"/>
        <v>145432</v>
      </c>
      <c r="N54" s="170" t="str">
        <f t="shared" si="0"/>
        <v>增值额×税（费）率</v>
      </c>
      <c r="O54" s="3440" t="str">
        <f t="shared" si="0"/>
        <v>——</v>
      </c>
      <c r="P54" s="725">
        <f ca="1">ROUND(D45/1.05*5%,0)</f>
        <v>12236</v>
      </c>
    </row>
    <row r="55" spans="1:35" ht="24" customHeight="1">
      <c r="A55" s="3647" t="s">
        <v>1348</v>
      </c>
      <c r="B55" s="3625"/>
      <c r="C55" s="3625"/>
      <c r="D55" s="2324">
        <f ca="1">IF(H55="个人住宅",0,ROUND(D45*I55,0))</f>
        <v>128</v>
      </c>
      <c r="E55" s="2334" t="s">
        <v>1349</v>
      </c>
      <c r="F55" s="2534">
        <f>IF(H55="正常",I55,"免征")</f>
        <v>5.0000000000000001E-4</v>
      </c>
      <c r="G55" s="2535"/>
      <c r="H55" s="2530" t="s">
        <v>3410</v>
      </c>
      <c r="I55" s="165">
        <f>'数据-取费表'!B49</f>
        <v>5.0000000000000001E-4</v>
      </c>
      <c r="J55" s="170" t="str">
        <f>IF(H59="非个人房产","",4)</f>
        <v/>
      </c>
      <c r="K55" s="3587" t="str">
        <f>IF(H59="非个人房产","——","个人所得税")</f>
        <v>——</v>
      </c>
      <c r="L55" s="3587"/>
      <c r="M55" s="2030" t="str">
        <f>D59</f>
        <v>——</v>
      </c>
      <c r="N55" s="2030" t="str">
        <f>E59</f>
        <v>——</v>
      </c>
      <c r="O55" s="3441" t="str">
        <f>F59</f>
        <v>——</v>
      </c>
    </row>
    <row r="56" spans="1:35" ht="24.75">
      <c r="A56" s="3647" t="s">
        <v>1350</v>
      </c>
      <c r="B56" s="3625"/>
      <c r="C56" s="3625"/>
      <c r="D56" s="2324">
        <f ca="1">IF(H56="个人住宅",D57,D58)</f>
        <v>145432</v>
      </c>
      <c r="E56" s="2334" t="s">
        <v>1351</v>
      </c>
      <c r="F56" s="2534" t="str">
        <f>IF(H56="正常",F58,"免征")</f>
        <v>——</v>
      </c>
      <c r="G56" s="2537" t="s">
        <v>1352</v>
      </c>
      <c r="H56" s="2538" t="s">
        <v>3410</v>
      </c>
      <c r="I56" s="1808"/>
      <c r="J56" s="170" t="str">
        <f>IF(项目基本情况!K6="上海银行",IF(J55="",4,J55+1),"")</f>
        <v/>
      </c>
      <c r="K56" s="3568" t="str">
        <f>IF(项目基本情况!K6="上海银行","其他处置费用","")</f>
        <v/>
      </c>
      <c r="L56" s="3569"/>
      <c r="M56" s="170" t="str">
        <f>IF(项目基本情况!K6="上海银行",M69,"")</f>
        <v/>
      </c>
      <c r="N56" s="3568" t="str">
        <f>IF(项目基本情况!K6="上海银行","包含处置中涉及的律师、诉讼、拍卖、评估等费用","")</f>
        <v/>
      </c>
      <c r="O56" s="3571"/>
    </row>
    <row r="57" spans="1:35" ht="12.75">
      <c r="A57" s="2335" t="s">
        <v>1337</v>
      </c>
      <c r="B57" s="3611" t="s">
        <v>1353</v>
      </c>
      <c r="C57" s="3612"/>
      <c r="D57" s="1590">
        <v>0</v>
      </c>
      <c r="E57" s="324" t="s">
        <v>1339</v>
      </c>
      <c r="F57" s="302"/>
      <c r="G57" s="2535"/>
      <c r="H57" s="2539"/>
      <c r="I57" s="1808"/>
      <c r="J57" s="3587">
        <f>IF(AND(J55="",J56=""),4,IF(项目基本情况!K6="上海银行",结果表!J56+1,结果表!J55+1))</f>
        <v>4</v>
      </c>
      <c r="K57" s="3587" t="s">
        <v>3404</v>
      </c>
      <c r="L57" s="2561" t="s">
        <v>3405</v>
      </c>
      <c r="M57" s="3442"/>
      <c r="N57" s="3443">
        <f ca="1">SUMIF(M52:M56,"&lt;9e307")</f>
        <v>159264</v>
      </c>
      <c r="O57" s="3444"/>
      <c r="P57" s="3452">
        <f ca="1">P54+P53+P52</f>
        <v>26068</v>
      </c>
    </row>
    <row r="58" spans="1:35" ht="24.75">
      <c r="A58" s="2335" t="s">
        <v>1342</v>
      </c>
      <c r="B58" s="3611" t="s">
        <v>1354</v>
      </c>
      <c r="C58" s="3610"/>
      <c r="D58" s="2324">
        <f ca="1">IF(H58="转让取得",C81,C97)</f>
        <v>145432</v>
      </c>
      <c r="E58" s="2334" t="s">
        <v>1351</v>
      </c>
      <c r="F58" s="302" t="s">
        <v>28</v>
      </c>
      <c r="G58" s="2535"/>
      <c r="H58" s="2538" t="s">
        <v>3411</v>
      </c>
      <c r="I58" s="1808"/>
      <c r="J58" s="3587"/>
      <c r="K58" s="3587"/>
      <c r="L58" s="2561" t="s">
        <v>3406</v>
      </c>
      <c r="M58" s="2561"/>
      <c r="N58" s="3445" t="str">
        <f ca="1">NUMBERSTRING(INT(N57*10000),2)&amp;"元整"</f>
        <v>壹拾伍亿玖仟贰佰陆拾肆万元整</v>
      </c>
      <c r="O58" s="2097"/>
    </row>
    <row r="59" spans="1:35" ht="24.75" thickBot="1">
      <c r="A59" s="3591" t="s">
        <v>1355</v>
      </c>
      <c r="B59" s="3592"/>
      <c r="C59" s="3592"/>
      <c r="D59" s="2540" t="str">
        <f>IF(H59="非个人房产","——",IF(H59="个人住宅（满五唯一有凭证）",0,IF(H59="个人其他（无凭证）",ROUND(D45*F59,0),ROUND(C67*F59,0))))</f>
        <v>——</v>
      </c>
      <c r="E59" s="2541" t="str">
        <f>IF(H59="非个人房产","——",IF(H59="个人其他（无凭证）","销售额×税（费）率",IF(H59="个人住宅（满五唯一有凭证）","免征","差额计税")))</f>
        <v>——</v>
      </c>
      <c r="F59" s="2542" t="str">
        <f>IF(OR(H59="非个人房产",H59="个人住宅（满五唯一有凭证）"),"——",IF(H59="个人其他（有凭证）",20%,1%))</f>
        <v>——</v>
      </c>
      <c r="G59" s="2543" t="s">
        <v>1352</v>
      </c>
      <c r="H59" s="2314" t="s">
        <v>3412</v>
      </c>
      <c r="I59" s="2313" t="s">
        <v>2119</v>
      </c>
      <c r="J59" s="3589">
        <f>J57+1</f>
        <v>5</v>
      </c>
      <c r="K59" s="3587" t="s">
        <v>3407</v>
      </c>
      <c r="L59" s="170" t="s">
        <v>3405</v>
      </c>
      <c r="M59" s="3446"/>
      <c r="N59" s="3447">
        <f ca="1">M49-N57</f>
        <v>97683</v>
      </c>
      <c r="O59" s="3448"/>
      <c r="P59" s="725">
        <f ca="1">G19-P57</f>
        <v>230879</v>
      </c>
    </row>
    <row r="60" spans="1:35" ht="12" customHeight="1">
      <c r="A60" s="1809"/>
      <c r="B60" s="1747"/>
      <c r="C60" s="1747"/>
      <c r="D60" s="1747"/>
      <c r="E60" s="1578"/>
      <c r="F60" s="1808"/>
      <c r="G60" s="1808"/>
      <c r="H60" s="1810"/>
      <c r="I60" s="129"/>
      <c r="J60" s="3590"/>
      <c r="K60" s="3587"/>
      <c r="L60" s="2561" t="s">
        <v>3406</v>
      </c>
      <c r="M60" s="2561"/>
      <c r="N60" s="3445" t="str">
        <f ca="1">NUMBERSTRING(INT(N59*10000),2)&amp;"元整"</f>
        <v>玖亿柒仟陆佰捌拾叁万元整</v>
      </c>
      <c r="O60" s="2097"/>
    </row>
    <row r="61" spans="1:35" ht="13.5" thickBot="1">
      <c r="A61" s="3646" t="s">
        <v>1356</v>
      </c>
      <c r="B61" s="3646"/>
      <c r="C61" s="3646"/>
      <c r="D61" s="3646"/>
      <c r="E61" s="3646"/>
      <c r="F61" s="1808"/>
      <c r="G61" s="1808"/>
      <c r="H61" s="1810"/>
      <c r="I61" s="129"/>
      <c r="J61" s="170">
        <f>J59+1</f>
        <v>6</v>
      </c>
      <c r="K61" s="3587" t="s">
        <v>3408</v>
      </c>
      <c r="L61" s="3587"/>
      <c r="M61" s="3449"/>
      <c r="N61" s="3450">
        <f ca="1">ROUND(N59*10000/'数据-汇总表'!E3,0)</f>
        <v>4458</v>
      </c>
      <c r="O61" s="3451"/>
    </row>
    <row r="62" spans="1:35" ht="12.75">
      <c r="A62" s="3606" t="s">
        <v>1357</v>
      </c>
      <c r="B62" s="3607"/>
      <c r="C62" s="2021"/>
      <c r="D62" s="2021" t="s">
        <v>1358</v>
      </c>
      <c r="E62" s="166" t="s">
        <v>1359</v>
      </c>
      <c r="F62" s="1808"/>
      <c r="G62" s="1808"/>
      <c r="H62" s="1810"/>
      <c r="I62" s="129"/>
    </row>
    <row r="63" spans="1:35" ht="12.75">
      <c r="A63" s="173" t="s">
        <v>330</v>
      </c>
      <c r="B63" s="167" t="s">
        <v>1360</v>
      </c>
      <c r="C63" s="2544">
        <f ca="1">ROUND((C64+C65)/(1+'数据-取费表'!C42),0)</f>
        <v>244711</v>
      </c>
      <c r="D63" s="167"/>
      <c r="E63" s="168"/>
      <c r="F63" s="1808"/>
      <c r="G63" s="1808"/>
      <c r="H63" s="1810"/>
      <c r="I63" s="129"/>
      <c r="J63" s="3570" t="s">
        <v>1361</v>
      </c>
      <c r="K63" s="1332" t="s">
        <v>1362</v>
      </c>
      <c r="L63" s="1332">
        <f ca="1">IF(M49&gt;10000,M49*0.5%,IF(AND(M49&gt;1000,M49&lt;=10000),M49*1%,IF(AND(M49&gt;100,M49&lt;=1000),M49*3%,IF(AND(M49&gt;10,M49&lt;=100),M49*5%,M49*8%))))</f>
        <v>1284.7350000000001</v>
      </c>
      <c r="M63" s="302">
        <f ca="1">ROUND(L63,1)</f>
        <v>1284.7</v>
      </c>
      <c r="N63" s="2523"/>
      <c r="Z63" s="1752"/>
      <c r="AI63" s="1753"/>
    </row>
    <row r="64" spans="1:35" ht="14.25" customHeight="1">
      <c r="A64" s="169" t="s">
        <v>325</v>
      </c>
      <c r="B64" s="170" t="s">
        <v>1363</v>
      </c>
      <c r="C64" s="2545">
        <f ca="1">D45</f>
        <v>256947</v>
      </c>
      <c r="D64" s="170" t="s">
        <v>26</v>
      </c>
      <c r="E64" s="172"/>
      <c r="F64" s="1808"/>
      <c r="G64" s="1808"/>
      <c r="H64" s="1810"/>
      <c r="I64" s="129"/>
      <c r="J64" s="3570"/>
      <c r="K64" s="1332" t="s">
        <v>1364</v>
      </c>
      <c r="L64" s="1332">
        <f ca="1">IF(M49&gt;2000,M49*0.5%,IF(AND(M49&gt;1000,M49&lt;=2000),M49*0.6%,IF(AND(M49&gt;500,M49&lt;=1000),M49*0.7%,IF(AND(M49&gt;200,M49&lt;=500),M49*0.8%,IF(AND(M49&gt;100,M49&lt;=200),M49*0.9%,IF(AND(M49&gt;50,M49&lt;=100),M49*1%,IF(AND(M49&gt;20,M49&lt;=50),M49*1.5%,IF(AND(M49&gt;10,M49&lt;=20),M49*2%,IF(AND(M49&gt;1,M49&lt;=10),M49*2.5%)))))))))</f>
        <v>1284.7350000000001</v>
      </c>
      <c r="M64" s="302">
        <f t="shared" ref="M64:M65" ca="1" si="1">ROUND(L64,1)</f>
        <v>1284.7</v>
      </c>
      <c r="N64" s="2524" t="s">
        <v>1365</v>
      </c>
      <c r="Z64" s="1752"/>
      <c r="AI64" s="1753"/>
    </row>
    <row r="65" spans="1:35" ht="14.25" customHeight="1">
      <c r="A65" s="169" t="s">
        <v>326</v>
      </c>
      <c r="B65" s="170" t="s">
        <v>1366</v>
      </c>
      <c r="C65" s="2546"/>
      <c r="D65" s="170"/>
      <c r="E65" s="172"/>
      <c r="F65" s="1808"/>
      <c r="G65" s="1808"/>
      <c r="H65" s="1810"/>
      <c r="I65" s="129"/>
      <c r="J65" s="3570"/>
      <c r="K65" s="1332" t="s">
        <v>1367</v>
      </c>
      <c r="L65" s="1332">
        <f ca="1">IF(M49&gt;1000,M49*0.1%,IF(AND(M49&gt;500,M49&lt;=1000),M49*0.5%,IF(AND(M49&gt;50,M49&lt;=500),M49*1%,IF(AND(M49&gt;1,M49&lt;=50),M49*1.5%))))</f>
        <v>256.947</v>
      </c>
      <c r="M65" s="302">
        <f t="shared" ca="1" si="1"/>
        <v>256.89999999999998</v>
      </c>
      <c r="N65" s="2524" t="s">
        <v>1365</v>
      </c>
      <c r="Z65" s="1752"/>
      <c r="AI65" s="1753"/>
    </row>
    <row r="66" spans="1:35" ht="14.25" customHeight="1">
      <c r="A66" s="173" t="s">
        <v>327</v>
      </c>
      <c r="B66" s="174" t="s">
        <v>1368</v>
      </c>
      <c r="C66" s="2547"/>
      <c r="D66" s="174" t="s">
        <v>26</v>
      </c>
      <c r="E66" s="1338" t="s">
        <v>671</v>
      </c>
      <c r="F66" s="1808"/>
      <c r="G66" s="1808"/>
      <c r="H66" s="1810"/>
      <c r="I66" s="129"/>
      <c r="J66" s="3570"/>
      <c r="K66" s="1332" t="s">
        <v>1369</v>
      </c>
      <c r="L66" s="1332">
        <f ca="1">M49*0.5%</f>
        <v>1284.7350000000001</v>
      </c>
      <c r="M66" s="302">
        <f ca="1">IF(L66&gt;0.5,0.5,ROUND(L66,0))</f>
        <v>0.5</v>
      </c>
      <c r="N66" s="2524" t="s">
        <v>1370</v>
      </c>
      <c r="Z66" s="1752"/>
      <c r="AI66" s="1753"/>
    </row>
    <row r="67" spans="1:35" ht="14.25" customHeight="1">
      <c r="A67" s="173" t="s">
        <v>328</v>
      </c>
      <c r="B67" s="174" t="s">
        <v>1371</v>
      </c>
      <c r="C67" s="2548">
        <f ca="1">C63-C66</f>
        <v>244711</v>
      </c>
      <c r="D67" s="170" t="s">
        <v>26</v>
      </c>
      <c r="E67" s="172"/>
      <c r="F67" s="1808"/>
      <c r="G67" s="1808"/>
      <c r="H67" s="1810"/>
      <c r="I67" s="129"/>
      <c r="J67" s="3570"/>
      <c r="K67" s="1332" t="s">
        <v>1372</v>
      </c>
      <c r="L67" s="1332">
        <f ca="1">IF(M49&gt;=10000,(8.25+(M49-10000)*0.01%),IF(AND(M49&gt;=8000,M49&lt;10000),(7.85+(M49-8000)*0.02%),IF(AND(M49&gt;=5000,M49&lt;8000),(6.65+(M49-5000)*0.04%),IF(AND(M49&gt;=2000,M49&lt;5000),(4.25+(PM49-2000)*0.08%),IF(AND(M49&gt;=1000,M49&lt;2000),(2.75+(M49-1000)*0.15%),IF(AND(M49&gt;=100,M49&lt;1000),(0.5+(M49-100)*0.25%),IF(AND(M49&gt;0,M49&lt;100),M49*0.5%)))))))</f>
        <v>32.944699999999997</v>
      </c>
      <c r="M67" s="302">
        <f ca="1">ROUND(L67*0.9,1)</f>
        <v>29.7</v>
      </c>
      <c r="N67" s="2523"/>
      <c r="Z67" s="1752"/>
      <c r="AI67" s="1753"/>
    </row>
    <row r="68" spans="1:35" ht="14.25" customHeight="1" thickBot="1">
      <c r="A68" s="176" t="s">
        <v>329</v>
      </c>
      <c r="B68" s="177" t="s">
        <v>1373</v>
      </c>
      <c r="C68" s="2549">
        <f ca="1">IF(C67&lt;=0,0,ROUND(C67*D68,0))</f>
        <v>13704</v>
      </c>
      <c r="D68" s="2550">
        <f>'数据-取费表'!B41</f>
        <v>5.6000000000000001E-2</v>
      </c>
      <c r="E68" s="178"/>
      <c r="F68" s="1808"/>
      <c r="G68" s="1808"/>
      <c r="H68" s="1810"/>
      <c r="I68" s="129"/>
      <c r="J68" s="3570"/>
      <c r="K68" s="1332" t="s">
        <v>1374</v>
      </c>
      <c r="L68" s="1332">
        <f ca="1">IF(M49&gt;10000,M49*0.5%,IF(AND(M49&gt;5000,M49&lt;=10000),M49*1%,IF(AND(M49&gt;1000,M49&lt;=5000),M49*2%,IF(AND(M49&gt;200,M49&lt;=1000),M49*3%,M49*5%))))</f>
        <v>1284.7350000000001</v>
      </c>
      <c r="M68" s="302">
        <f ca="1">ROUND(L68,1)</f>
        <v>1284.7</v>
      </c>
      <c r="N68" s="2523"/>
      <c r="Z68" s="1752"/>
      <c r="AI68" s="1753"/>
    </row>
    <row r="69" spans="1:35" s="1772" customFormat="1" ht="16.5" customHeight="1">
      <c r="A69" s="1811"/>
      <c r="B69" s="1812"/>
      <c r="C69" s="1813"/>
      <c r="D69" s="1814"/>
      <c r="E69" s="1815"/>
      <c r="F69" s="1578"/>
      <c r="G69" s="1578"/>
      <c r="H69" s="1577"/>
      <c r="I69" s="1747"/>
      <c r="J69" s="3570"/>
      <c r="K69" s="1332" t="s">
        <v>1375</v>
      </c>
      <c r="L69" s="1332"/>
      <c r="M69" s="302">
        <f ca="1">ROUND(SUM(M63:M68),0)</f>
        <v>4141</v>
      </c>
      <c r="N69" s="2525">
        <f ca="1">M69/M49</f>
        <v>1.6116164033827988E-2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1376</v>
      </c>
      <c r="B70" s="3615"/>
      <c r="C70" s="3615"/>
      <c r="D70" s="3615"/>
      <c r="E70" s="3615"/>
      <c r="F70" s="3615"/>
      <c r="G70" s="3615"/>
      <c r="H70" s="3615"/>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1357</v>
      </c>
      <c r="B71" s="3607"/>
      <c r="C71" s="2021"/>
      <c r="D71" s="2021" t="s">
        <v>1358</v>
      </c>
      <c r="E71" s="179" t="s">
        <v>1359</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1377</v>
      </c>
      <c r="C72" s="2548">
        <f ca="1">ROUND(D45/(1+'数据-取费表'!C42),0)</f>
        <v>244711</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1378</v>
      </c>
      <c r="C73" s="2548">
        <f ca="1">C74+C78</f>
        <v>1468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1379</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1380</v>
      </c>
      <c r="C75" s="2551"/>
      <c r="D75" s="170" t="s">
        <v>26</v>
      </c>
      <c r="E75" s="184" t="s">
        <v>1381</v>
      </c>
      <c r="F75" s="2552"/>
      <c r="G75" s="184" t="s">
        <v>1382</v>
      </c>
      <c r="H75" s="255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1383</v>
      </c>
      <c r="C76" s="170">
        <f>IF(F75="购房发票",ROUND(C75*H75*D76,0),0)</f>
        <v>0</v>
      </c>
      <c r="D76" s="2554">
        <v>0.05</v>
      </c>
      <c r="E76" s="3611" t="s">
        <v>1384</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1385</v>
      </c>
      <c r="C77" s="170">
        <f>ROUND(IF(G77="个人住宅",0,IF(G77="2016年5月1日前购买",C75*D77,C75*D77/(1+'数据-取费表'!C42))),0)</f>
        <v>0</v>
      </c>
      <c r="D77" s="2555">
        <f>'数据-取费表'!B48+'数据-取费表'!B49</f>
        <v>3.0499999999999999E-2</v>
      </c>
      <c r="E77" s="2324" t="s">
        <v>1386</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1387</v>
      </c>
      <c r="C78" s="2556">
        <f ca="1">ROUND(D45*D78/(1+'数据-取费表'!C42),0)</f>
        <v>1468</v>
      </c>
      <c r="D78" s="2557">
        <f>'数据-取费表'!B43</f>
        <v>6.000000000000001E-3</v>
      </c>
      <c r="E78" s="3603" t="s">
        <v>1388</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1389</v>
      </c>
      <c r="C79" s="2548">
        <f ca="1">C72-C73</f>
        <v>243243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1390</v>
      </c>
      <c r="C80" s="2558">
        <f ca="1">IF(C79&lt;=0,0,C79/C73)</f>
        <v>165.69686648501363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1391</v>
      </c>
      <c r="C81" s="2559">
        <f ca="1">ROUND(IF(C79&lt;=0,0,IF(C80&gt;=200%,C79*60%-C73*35%,IF(C80&gt;=100%,C79*50%-C73*15%,IF(C80&gt;=50%,C79*40%-C73*5%,IF(C80&lt;50%,C79*30%,0))))),0)</f>
        <v>145432</v>
      </c>
      <c r="D81" s="256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1392</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1357</v>
      </c>
      <c r="B84" s="3607"/>
      <c r="C84" s="2021"/>
      <c r="D84" s="2021" t="s">
        <v>1358</v>
      </c>
      <c r="E84" s="179" t="s">
        <v>1359</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1377</v>
      </c>
      <c r="C85" s="2548">
        <f ca="1">ROUND(D45/(1+'数据-取费表'!C42),0)</f>
        <v>244711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1378</v>
      </c>
      <c r="C86" s="2548">
        <f ca="1">IF(H88="仅含出让金",C87+C90+C91+C92+C93+C94,C87+C91+C92+C93+C94)</f>
        <v>1468</v>
      </c>
      <c r="D86" s="256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1393</v>
      </c>
      <c r="C87" s="2556">
        <f>C88+C89</f>
        <v>0</v>
      </c>
      <c r="D87" s="255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1394</v>
      </c>
      <c r="C88" s="2562"/>
      <c r="D88" s="2557"/>
      <c r="E88" s="193" t="s">
        <v>1395</v>
      </c>
      <c r="F88" s="2327"/>
      <c r="G88" s="194" t="s">
        <v>1396</v>
      </c>
      <c r="H88" s="1824"/>
      <c r="I88" s="1821"/>
      <c r="J88" s="2521" t="s">
        <v>2270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1385</v>
      </c>
      <c r="C89" s="2556">
        <f>ROUND(C88*D89,0)</f>
        <v>0</v>
      </c>
      <c r="D89" s="2557">
        <f>'数据-取费表'!B48+'数据-取费表'!B49</f>
        <v>3.0499999999999999E-2</v>
      </c>
      <c r="E89" s="193" t="s">
        <v>1397</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1398</v>
      </c>
      <c r="C90" s="2562"/>
      <c r="D90" s="2557"/>
      <c r="E90" s="193" t="str">
        <f>IF(H88="-","土地取得成本中已包含该笔费用"," ")</f>
        <v xml:space="preserve"> </v>
      </c>
      <c r="F90" s="2327"/>
      <c r="G90" s="3572" t="s">
        <v>2111</v>
      </c>
      <c r="H90" s="3573"/>
      <c r="I90" s="1821"/>
      <c r="J90" s="2521" t="s">
        <v>2271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1399</v>
      </c>
      <c r="B91" s="170" t="s">
        <v>1400</v>
      </c>
      <c r="C91" s="2556">
        <f>IF(H91="——",成本法!C33,I91)</f>
        <v>0</v>
      </c>
      <c r="D91" s="2557"/>
      <c r="E91" s="3603" t="s">
        <v>1401</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1402</v>
      </c>
      <c r="B92" s="170" t="s">
        <v>1403</v>
      </c>
      <c r="C92" s="2556">
        <f>ROUND((C87+C90+C91)*D92,0)</f>
        <v>0</v>
      </c>
      <c r="D92" s="2563"/>
      <c r="E92" s="3603" t="s">
        <v>1404</v>
      </c>
      <c r="F92" s="3604"/>
      <c r="G92" s="3604"/>
      <c r="H92" s="3605"/>
      <c r="I92" s="1821"/>
      <c r="J92" s="2522" t="s">
        <v>2272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1405</v>
      </c>
      <c r="B93" s="170" t="s">
        <v>1387</v>
      </c>
      <c r="C93" s="2556">
        <f ca="1">ROUND(D45*D93/(1+'数据-取费表'!C42),0)</f>
        <v>1468</v>
      </c>
      <c r="D93" s="2557">
        <f>'数据-取费表'!B43</f>
        <v>6.000000000000001E-3</v>
      </c>
      <c r="E93" s="3603" t="s">
        <v>1388</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1406</v>
      </c>
      <c r="B94" s="170" t="s">
        <v>1407</v>
      </c>
      <c r="C94" s="2562">
        <f>ROUND((C87+C90+C91)*D94,0)</f>
        <v>0</v>
      </c>
      <c r="D94" s="2557">
        <v>0.2</v>
      </c>
      <c r="E94" s="3648" t="s">
        <v>1408</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1389</v>
      </c>
      <c r="C95" s="2548">
        <f ca="1">ROUND(C85-C86,0)</f>
        <v>243243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1390</v>
      </c>
      <c r="C96" s="2558">
        <f ca="1">IF(C95&lt;=0,0,C95/C86)</f>
        <v>165.69686648501363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1391</v>
      </c>
      <c r="C97" s="2559">
        <f ca="1">ROUND(IF(C95&lt;=0,0,IF(C96&gt;=200%,C95*60%-C86*35%,IF(C96&gt;=100%,C95*50%-C86*15%,IF(C96&gt;=50%,C95*40%-C86*5%,IF(C96&lt;50%,C95*30%,0))))),0)</f>
        <v>145432</v>
      </c>
      <c r="D97" s="256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1409</v>
      </c>
      <c r="B99" s="1747"/>
      <c r="C99" s="1747"/>
      <c r="D99" s="1747"/>
      <c r="E99" s="1578"/>
      <c r="F99" s="1578"/>
      <c r="G99" s="1578"/>
      <c r="H99" s="1577"/>
      <c r="I99" s="129"/>
    </row>
    <row r="100" spans="1:35" ht="18.75" customHeight="1">
      <c r="A100" s="3553" t="s">
        <v>1410</v>
      </c>
      <c r="B100" s="3554"/>
      <c r="C100" s="3554"/>
      <c r="D100" s="3588"/>
      <c r="E100" s="3554" t="s">
        <v>1411</v>
      </c>
      <c r="F100" s="3554"/>
      <c r="G100" s="3554"/>
      <c r="H100" s="3588"/>
      <c r="I100" s="129"/>
    </row>
    <row r="101" spans="1:35" ht="18.75" customHeight="1">
      <c r="A101" s="3596" t="s">
        <v>1412</v>
      </c>
      <c r="B101" s="3597"/>
      <c r="C101" s="2565" t="str">
        <f>C4</f>
        <v>成本法</v>
      </c>
      <c r="D101" s="2566" t="str">
        <f>D4</f>
        <v>收益法（汇总）</v>
      </c>
      <c r="E101" s="3566" t="s">
        <v>1413</v>
      </c>
      <c r="F101" s="3567"/>
      <c r="G101" s="1827" t="s">
        <v>1414</v>
      </c>
      <c r="H101" s="2575">
        <f ca="1">H118</f>
        <v>256947</v>
      </c>
      <c r="I101" s="129"/>
    </row>
    <row r="102" spans="1:35" ht="18.75" customHeight="1">
      <c r="A102" s="3598" t="s">
        <v>1415</v>
      </c>
      <c r="B102" s="2564" t="s">
        <v>1414</v>
      </c>
      <c r="C102" s="2565">
        <f ca="1">IF(D32="楼面单价",ROUND(C19,0),C19)</f>
        <v>173672</v>
      </c>
      <c r="D102" s="2566">
        <f ca="1">IF(D32="楼面单价",ROUND(D19,0),D19)</f>
        <v>292636</v>
      </c>
      <c r="E102" s="3566"/>
      <c r="F102" s="3567"/>
      <c r="G102" s="1827" t="s">
        <v>1416</v>
      </c>
      <c r="H102" s="2535">
        <f ca="1">I118</f>
        <v>11725</v>
      </c>
      <c r="I102" s="129"/>
    </row>
    <row r="103" spans="1:35" ht="42.75" customHeight="1">
      <c r="A103" s="3598"/>
      <c r="B103" s="2564" t="s">
        <v>1416</v>
      </c>
      <c r="C103" s="2567">
        <f ca="1">C20</f>
        <v>7925</v>
      </c>
      <c r="D103" s="2568">
        <f ca="1">D20</f>
        <v>13354</v>
      </c>
      <c r="E103" s="3559" t="s">
        <v>1417</v>
      </c>
      <c r="F103" s="3560"/>
      <c r="G103" s="1828" t="s">
        <v>1418</v>
      </c>
      <c r="H103" s="2575">
        <f>IF(D36="正常操作",H104+H105+H106,H105+H106)</f>
        <v>0</v>
      </c>
      <c r="I103" s="129"/>
    </row>
    <row r="104" spans="1:35" ht="18.75" customHeight="1">
      <c r="A104" s="3598" t="s">
        <v>1419</v>
      </c>
      <c r="B104" s="2569" t="s">
        <v>1414</v>
      </c>
      <c r="C104" s="2570">
        <f ca="1">H118</f>
        <v>256947</v>
      </c>
      <c r="D104" s="2571"/>
      <c r="E104" s="1674" t="s">
        <v>1420</v>
      </c>
      <c r="F104" s="1666"/>
      <c r="G104" s="1828" t="s">
        <v>1418</v>
      </c>
      <c r="H104" s="2576">
        <f>IF(D36="同一抵押权人同一抵押物续贷",C36&amp;"（续贷，未扣减，详见特别提示）",C36)</f>
        <v>0</v>
      </c>
      <c r="I104" s="129"/>
    </row>
    <row r="105" spans="1:35" ht="18.75" customHeight="1" thickBot="1">
      <c r="A105" s="3608"/>
      <c r="B105" s="2572" t="s">
        <v>1416</v>
      </c>
      <c r="C105" s="2573">
        <f ca="1">I118</f>
        <v>11725</v>
      </c>
      <c r="D105" s="2574"/>
      <c r="E105" s="1674" t="s">
        <v>1421</v>
      </c>
      <c r="F105" s="1666"/>
      <c r="G105" s="1828" t="s">
        <v>1418</v>
      </c>
      <c r="H105" s="2577">
        <f>C37</f>
        <v>0</v>
      </c>
      <c r="I105" s="129"/>
    </row>
    <row r="106" spans="1:35" ht="18.75" customHeight="1">
      <c r="A106" s="1747" t="s">
        <v>1422</v>
      </c>
      <c r="B106" s="1747"/>
      <c r="C106" s="1747"/>
      <c r="D106" s="1747"/>
      <c r="E106" s="1829" t="s">
        <v>1423</v>
      </c>
      <c r="F106" s="1666"/>
      <c r="G106" s="1828" t="s">
        <v>1418</v>
      </c>
      <c r="H106" s="2577">
        <f>C38</f>
        <v>0</v>
      </c>
      <c r="I106" s="129"/>
    </row>
    <row r="107" spans="1:35" ht="18.75" customHeight="1">
      <c r="A107" s="129"/>
      <c r="B107" s="129"/>
      <c r="C107" s="129"/>
      <c r="D107" s="129"/>
      <c r="E107" s="3599" t="str">
        <f>IF(项目基本情况!E8="已注销","——","3.房地产抵押价值")</f>
        <v>3.房地产抵押价值</v>
      </c>
      <c r="F107" s="3567"/>
      <c r="G107" s="1827" t="s">
        <v>1414</v>
      </c>
      <c r="H107" s="2575">
        <f ca="1">IF(E107="——","——",H101-H103)</f>
        <v>256947</v>
      </c>
      <c r="I107" s="129"/>
    </row>
    <row r="108" spans="1:35" ht="18.75" customHeight="1">
      <c r="A108" s="129"/>
      <c r="B108" s="129"/>
      <c r="C108" s="129"/>
      <c r="D108" s="129"/>
      <c r="E108" s="3599"/>
      <c r="F108" s="3567"/>
      <c r="G108" s="1827" t="s">
        <v>1416</v>
      </c>
      <c r="H108" s="2535">
        <f ca="1">IF(H107=H101,H102,ROUND(H107*10000/'数据-汇总表'!E3,0))</f>
        <v>11725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1414</v>
      </c>
      <c r="H109" s="2578" t="str">
        <f>IF(E109="——","——",H101-H105-H106)</f>
        <v>——</v>
      </c>
      <c r="I109" s="129"/>
    </row>
    <row r="110" spans="1:35" ht="18.75" customHeight="1">
      <c r="A110" s="129"/>
      <c r="B110" s="129"/>
      <c r="C110" s="129"/>
      <c r="D110" s="129"/>
      <c r="E110" s="3599"/>
      <c r="F110" s="3567"/>
      <c r="G110" s="1827" t="s">
        <v>1416</v>
      </c>
      <c r="H110" s="2535"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4.抵押净值</v>
      </c>
      <c r="F111" s="3586"/>
      <c r="G111" s="1827" t="s">
        <v>1414</v>
      </c>
      <c r="H111" s="2575">
        <f ca="1">IF(E111="——","——",N59)</f>
        <v>97683</v>
      </c>
      <c r="I111" s="129"/>
    </row>
    <row r="112" spans="1:35" ht="18.75" customHeight="1" thickBot="1">
      <c r="A112" s="129"/>
      <c r="B112" s="129"/>
      <c r="C112" s="129"/>
      <c r="D112" s="129"/>
      <c r="E112" s="3601"/>
      <c r="F112" s="3602"/>
      <c r="G112" s="1830" t="s">
        <v>1416</v>
      </c>
      <c r="H112" s="2579">
        <f ca="1">IF(E111="——","——",N61)</f>
        <v>4458</v>
      </c>
      <c r="I112" s="129"/>
    </row>
    <row r="113" spans="1:27" ht="18.75" customHeight="1">
      <c r="A113" s="129"/>
      <c r="B113" s="129"/>
      <c r="C113" s="129"/>
      <c r="D113" s="129"/>
      <c r="E113" s="3609" t="s">
        <v>1422</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1424</v>
      </c>
      <c r="B115" s="3618"/>
      <c r="C115" s="3618"/>
      <c r="D115" s="3618"/>
      <c r="E115" s="3618"/>
      <c r="F115" s="3618"/>
      <c r="G115" s="3618"/>
      <c r="H115" s="3618"/>
      <c r="I115" s="3619"/>
    </row>
    <row r="116" spans="1:27" ht="27" customHeight="1">
      <c r="A116" s="3574" t="s">
        <v>1425</v>
      </c>
      <c r="B116" s="3578" t="s">
        <v>1426</v>
      </c>
      <c r="C116" s="3578" t="s">
        <v>1427</v>
      </c>
      <c r="D116" s="3584" t="s">
        <v>1428</v>
      </c>
      <c r="E116" s="3585"/>
      <c r="F116" s="3616" t="s">
        <v>1429</v>
      </c>
      <c r="G116" s="3616"/>
      <c r="H116" s="3574" t="s">
        <v>1430</v>
      </c>
      <c r="I116" s="3574"/>
    </row>
    <row r="117" spans="1:27" ht="18.75" customHeight="1">
      <c r="A117" s="3574"/>
      <c r="B117" s="3579"/>
      <c r="C117" s="3579"/>
      <c r="D117" s="2329" t="s">
        <v>1431</v>
      </c>
      <c r="E117" s="2329" t="s">
        <v>1432</v>
      </c>
      <c r="F117" s="2329" t="s">
        <v>1431</v>
      </c>
      <c r="G117" s="2329" t="s">
        <v>1433</v>
      </c>
      <c r="H117" s="2329" t="s">
        <v>1431</v>
      </c>
      <c r="I117" s="2329" t="s">
        <v>1433</v>
      </c>
    </row>
    <row r="118" spans="1:27" ht="24.75" customHeight="1">
      <c r="A118" s="2580" t="str">
        <f>项目基本情况!S2</f>
        <v>北京市房地产</v>
      </c>
      <c r="B118" s="2329">
        <f>M18</f>
        <v>219142.06</v>
      </c>
      <c r="C118" s="2329">
        <f>M19</f>
        <v>108355.49</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256947</v>
      </c>
      <c r="I118" s="2329">
        <f ca="1">ROUND(IF(D32="楼面单价",C32,H118*10000/B118),0)</f>
        <v>11725</v>
      </c>
    </row>
    <row r="119" spans="1:27" ht="18.75" customHeight="1">
      <c r="A119" s="3574" t="s">
        <v>1434</v>
      </c>
      <c r="B119" s="3574"/>
      <c r="C119" s="3574"/>
      <c r="D119" s="3580" t="str">
        <f>NUMBERSTRING(INT(D118*10000),2)&amp;"元整"</f>
        <v>零元整</v>
      </c>
      <c r="E119" s="3581"/>
      <c r="F119" s="3580" t="str">
        <f>NUMBERSTRING(INT(F118*10000),2)&amp;"元整"</f>
        <v>零元整</v>
      </c>
      <c r="G119" s="3581"/>
      <c r="H119" s="3580" t="str">
        <f ca="1">NUMBERSTRING(INT(H118*10000),2)&amp;"元整"</f>
        <v>贰拾伍亿陆仟玖佰肆拾柒万元整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1434</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f ca="1">H107</f>
        <v>256947</v>
      </c>
      <c r="E122" s="3576"/>
      <c r="F122" s="3576"/>
      <c r="G122" s="3576"/>
      <c r="H122" s="3576"/>
      <c r="I122" s="3577"/>
      <c r="AA122" s="725"/>
    </row>
    <row r="123" spans="1:27" ht="18.75" customHeight="1">
      <c r="A123" s="3574" t="s">
        <v>1434</v>
      </c>
      <c r="B123" s="3574"/>
      <c r="C123" s="3574"/>
      <c r="D123" s="3580" t="str">
        <f ca="1">NUMBERSTRING(INT(D122*10000),2)&amp;"元整"</f>
        <v>贰拾伍亿陆仟玖佰肆拾柒万元整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1434</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抵押净值</v>
      </c>
      <c r="B126" s="3586"/>
      <c r="C126" s="3586"/>
      <c r="D126" s="3575">
        <f ca="1">H111</f>
        <v>97683</v>
      </c>
      <c r="E126" s="3576"/>
      <c r="F126" s="3576"/>
      <c r="G126" s="3576"/>
      <c r="H126" s="3576"/>
      <c r="I126" s="3577"/>
      <c r="AA126" s="725"/>
    </row>
    <row r="127" spans="1:27" ht="18.75" customHeight="1">
      <c r="A127" s="3574" t="s">
        <v>1434</v>
      </c>
      <c r="B127" s="3574"/>
      <c r="C127" s="3574"/>
      <c r="D127" s="3580" t="str">
        <f ca="1">NUMBERSTRING(INT(D126*10000),2)&amp;"元整"</f>
        <v>玖亿柒仟陆佰捌拾叁万元整</v>
      </c>
      <c r="E127" s="3582"/>
      <c r="F127" s="3582"/>
      <c r="G127" s="3582"/>
      <c r="H127" s="3582"/>
      <c r="I127" s="3581"/>
      <c r="AA127" s="725"/>
    </row>
    <row r="128" spans="1:27" ht="21.75" customHeight="1">
      <c r="A128" s="3583" t="s">
        <v>1435</v>
      </c>
      <c r="B128" s="3583"/>
      <c r="C128" s="3583"/>
      <c r="D128" s="3583"/>
      <c r="E128" s="3583"/>
      <c r="F128" s="3583"/>
      <c r="G128" s="3583"/>
      <c r="H128" s="3583"/>
      <c r="I128" s="3583"/>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8</v>
      </c>
    </row>
    <row r="2" spans="1:9" s="200" customFormat="1" ht="18" customHeight="1">
      <c r="A2" s="201" t="s">
        <v>1444</v>
      </c>
      <c r="B2" s="202">
        <f ca="1">IF(D2="——",C52,C52-E2)</f>
        <v>173672</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7925</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34629</v>
      </c>
      <c r="D5" s="211" t="s">
        <v>1451</v>
      </c>
      <c r="E5" s="212" t="s">
        <v>1452</v>
      </c>
      <c r="F5" s="212" t="s">
        <v>1453</v>
      </c>
      <c r="G5" s="213"/>
    </row>
    <row r="6" spans="1:9" s="214" customFormat="1" ht="13.5" customHeight="1">
      <c r="A6" s="778" t="s">
        <v>1454</v>
      </c>
      <c r="B6" s="215" t="s">
        <v>1455</v>
      </c>
      <c r="C6" s="216">
        <f>基准地价修正!B2</f>
        <v>29563</v>
      </c>
      <c r="D6" s="217"/>
      <c r="E6" s="218"/>
      <c r="F6" s="218"/>
      <c r="G6" s="219"/>
    </row>
    <row r="7" spans="1:9" s="214" customFormat="1" ht="13.5" customHeight="1">
      <c r="A7" s="778" t="s">
        <v>1456</v>
      </c>
      <c r="B7" s="215" t="s">
        <v>1457</v>
      </c>
      <c r="C7" s="220">
        <f>ROUND(C6*F7,0)</f>
        <v>902</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4164</v>
      </c>
      <c r="D8" s="222"/>
      <c r="E8" s="220"/>
      <c r="F8" s="221"/>
      <c r="G8" s="1856" t="s">
        <v>3386</v>
      </c>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150</v>
      </c>
      <c r="F9" s="221"/>
      <c r="G9" s="1857" t="s">
        <v>3387</v>
      </c>
      <c r="H9" s="1137"/>
      <c r="I9" s="1858" t="s">
        <v>1461</v>
      </c>
    </row>
    <row r="10" spans="1:9" s="214" customFormat="1" ht="13.5" customHeight="1">
      <c r="A10" s="779" t="s">
        <v>356</v>
      </c>
      <c r="B10" s="224" t="s">
        <v>1462</v>
      </c>
      <c r="C10" s="225">
        <f ca="1">ROUND(D10*E10/10000,0)</f>
        <v>4164</v>
      </c>
      <c r="D10" s="845">
        <f ca="1">IF(B1="",'数据-汇总表'!E6,IF(INDIRECT("'数据-取费表'!c"&amp;$G$1)="住宅",INDIRECT("'数据-取费表'!s"&amp;$G$1),INDIRECT("'数据-取费表'!k"&amp;$G$1)+INDIRECT("'数据-取费表'!s"&amp;$G$1)))</f>
        <v>219142.06</v>
      </c>
      <c r="E10" s="225">
        <f>'数据-取费表'!B28</f>
        <v>190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t="str">
        <f>IF(G19="已包含在土地取得成本中","0",ROUND(D19*E19/10000,0))</f>
        <v>0</v>
      </c>
      <c r="D19" s="849">
        <f ca="1">D9+D10</f>
        <v>219142.06</v>
      </c>
      <c r="E19" s="211">
        <f>'数据-取费表'!B31</f>
        <v>200</v>
      </c>
      <c r="F19" s="231"/>
      <c r="G19" s="1856" t="s">
        <v>3388</v>
      </c>
    </row>
    <row r="20" spans="1:7" s="214" customFormat="1" ht="13.5" customHeight="1">
      <c r="A20" s="255" t="s">
        <v>1475</v>
      </c>
      <c r="B20" s="210" t="s">
        <v>1476</v>
      </c>
      <c r="C20" s="232">
        <f ca="1">ROUND((C5+C19)*F20,0)</f>
        <v>693</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4">
        <f ca="1">ROUND(SUM(C23:C25),0)</f>
        <v>3745</v>
      </c>
      <c r="D22" s="235">
        <f ca="1">C26</f>
        <v>1E-3</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3709</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0</v>
      </c>
      <c r="D24" s="238"/>
      <c r="E24" s="238"/>
      <c r="F24" s="239"/>
      <c r="G24" s="240" t="s">
        <v>1489</v>
      </c>
    </row>
    <row r="25" spans="1:7" s="214" customFormat="1" ht="24">
      <c r="A25" s="780" t="s">
        <v>1490</v>
      </c>
      <c r="B25" s="215" t="s">
        <v>1491</v>
      </c>
      <c r="C25" s="1105">
        <f ca="1">ROUND(IF('数据-取费表'!B22&lt;=1,C20*F22*'数据-取费表'!B23/2,C20*(POWER((1+F22),'数据-取费表'!B23/2)-1)),0)</f>
        <v>36</v>
      </c>
      <c r="D25" s="238"/>
      <c r="E25" s="241"/>
      <c r="F25" s="239"/>
      <c r="G25" s="242" t="s">
        <v>1492</v>
      </c>
    </row>
    <row r="26" spans="1:7" s="214" customFormat="1">
      <c r="A26" s="780" t="s">
        <v>350</v>
      </c>
      <c r="B26" s="215" t="s">
        <v>1493</v>
      </c>
      <c r="C26" s="238">
        <f ca="1">ROUND(IF('数据-取费表'!B22&lt;=1,F21*F22*'数据-取费表'!B23/2,F21*(POWER((1+F22),'数据-取费表'!B23/2)-1)),4)</f>
        <v>1E-3</v>
      </c>
      <c r="D26" s="238"/>
      <c r="E26" s="241"/>
      <c r="F26" s="239"/>
      <c r="G26" s="243"/>
    </row>
    <row r="27" spans="1:7" s="214" customFormat="1" ht="24.75">
      <c r="A27" s="255" t="s">
        <v>1494</v>
      </c>
      <c r="B27" s="244" t="s">
        <v>1495</v>
      </c>
      <c r="C27" s="245">
        <f ca="1">C28</f>
        <v>4945</v>
      </c>
      <c r="D27" s="235">
        <f ca="1">C29</f>
        <v>2.8E-3</v>
      </c>
      <c r="E27" s="236" t="s">
        <v>1496</v>
      </c>
      <c r="F27" s="246">
        <f ca="1">IF(B1="",'数据-取费表'!Q16,INDIRECT("'数据-取费表'!q"&amp;$G$1))</f>
        <v>0.14000000000000001</v>
      </c>
      <c r="G27" s="247" t="s">
        <v>1497</v>
      </c>
    </row>
    <row r="28" spans="1:7" s="214" customFormat="1" ht="13.5" customHeight="1">
      <c r="A28" s="780" t="s">
        <v>346</v>
      </c>
      <c r="B28" s="248" t="s">
        <v>1498</v>
      </c>
      <c r="C28" s="249">
        <f ca="1">ROUND((C5+C19+C20)*F27*'数据-取费表'!B21/'数据-取费表'!B20,0)</f>
        <v>4945</v>
      </c>
      <c r="D28" s="235"/>
      <c r="E28" s="236"/>
      <c r="F28" s="246"/>
      <c r="G28" s="247"/>
    </row>
    <row r="29" spans="1:7" s="214" customFormat="1" ht="13.5" customHeight="1">
      <c r="A29" s="780" t="s">
        <v>347</v>
      </c>
      <c r="B29" s="248" t="s">
        <v>1499</v>
      </c>
      <c r="C29" s="238">
        <f ca="1">ROUND(C21*F27*'数据-取费表'!B21/'数据-取费表'!B20,4)</f>
        <v>2.8E-3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47689</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109900</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98614</v>
      </c>
      <c r="D34" s="217"/>
      <c r="E34" s="220"/>
      <c r="F34" s="257">
        <f ca="1">IF('数据-取费表'!B24=0,1,IF(B1="",'数据-取费表'!N16,INDIRECT("'数据-取费表'!n"&amp;$G$1)))</f>
        <v>1</v>
      </c>
      <c r="G34" s="219" t="s">
        <v>1508</v>
      </c>
    </row>
    <row r="35" spans="1:7" ht="13.5" customHeight="1">
      <c r="A35" s="780" t="s">
        <v>351</v>
      </c>
      <c r="B35" s="215" t="s">
        <v>1509</v>
      </c>
      <c r="C35" s="220">
        <f ca="1">ROUND(C34*F35,0)</f>
        <v>4931</v>
      </c>
      <c r="D35" s="220"/>
      <c r="E35" s="220"/>
      <c r="F35" s="259">
        <f>'数据-取费表'!B33</f>
        <v>0.05</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4383</v>
      </c>
      <c r="D37" s="217">
        <f ca="1">D19</f>
        <v>219142.06</v>
      </c>
      <c r="E37" s="249">
        <f>'数据-取费表'!B35</f>
        <v>200</v>
      </c>
      <c r="F37" s="259"/>
      <c r="G37" s="261" t="s">
        <v>1514</v>
      </c>
    </row>
    <row r="38" spans="1:7" ht="13.5" customHeight="1">
      <c r="A38" s="780" t="s">
        <v>354</v>
      </c>
      <c r="B38" s="215" t="s">
        <v>1515</v>
      </c>
      <c r="C38" s="220">
        <f ca="1">ROUND(C34*F38,0)</f>
        <v>1972</v>
      </c>
      <c r="D38" s="220"/>
      <c r="E38" s="220"/>
      <c r="F38" s="259">
        <f>'数据-取费表'!B36</f>
        <v>0.02</v>
      </c>
      <c r="G38" s="219" t="s">
        <v>1510</v>
      </c>
    </row>
    <row r="39" spans="1:7" s="214" customFormat="1" ht="13.5" customHeight="1">
      <c r="A39" s="255" t="s">
        <v>1516</v>
      </c>
      <c r="B39" s="210" t="s">
        <v>1517</v>
      </c>
      <c r="C39" s="232">
        <f ca="1">ROUND(C33*F20,0)</f>
        <v>2198</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5851</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5736</v>
      </c>
      <c r="D42" s="238"/>
      <c r="E42" s="238"/>
      <c r="F42" s="239"/>
      <c r="G42" s="3653" t="s">
        <v>1526</v>
      </c>
    </row>
    <row r="43" spans="1:7" ht="13.5" customHeight="1">
      <c r="A43" s="780" t="s">
        <v>347</v>
      </c>
      <c r="B43" s="215" t="s">
        <v>1527</v>
      </c>
      <c r="C43" s="238">
        <f ca="1">ROUND(IF('数据-取费表'!B22&lt;=1,C39*F22*'数据-取费表'!B21/2,C39*(POWER((1+F22),'数据-取费表'!B21/2)-1)),0)</f>
        <v>115</v>
      </c>
      <c r="D43" s="238"/>
      <c r="E43" s="238"/>
      <c r="F43" s="239"/>
      <c r="G43" s="3654"/>
    </row>
    <row r="44" spans="1:7" ht="13.5" customHeight="1">
      <c r="A44" s="780" t="s">
        <v>348</v>
      </c>
      <c r="B44" s="215" t="s">
        <v>1528</v>
      </c>
      <c r="C44" s="238">
        <f ca="1">ROUND(IF('数据-取费表'!B22&lt;=1,C40*F22*'数据-取费表'!B21/2,C40*(POWER((1+F22),'数据-取费表'!B21/2)-1)),4)</f>
        <v>1E-3</v>
      </c>
      <c r="D44" s="238"/>
      <c r="E44" s="238"/>
      <c r="F44" s="239"/>
      <c r="G44" s="3655"/>
    </row>
    <row r="45" spans="1:7" s="214" customFormat="1" ht="13.5" customHeight="1">
      <c r="A45" s="255" t="s">
        <v>1529</v>
      </c>
      <c r="B45" s="244" t="s">
        <v>1495</v>
      </c>
      <c r="C45" s="245">
        <f ca="1">C46</f>
        <v>15694</v>
      </c>
      <c r="D45" s="235">
        <f ca="1">C47</f>
        <v>2.8E-3</v>
      </c>
      <c r="E45" s="236" t="s">
        <v>1521</v>
      </c>
      <c r="F45" s="246">
        <f ca="1">F27</f>
        <v>0.14000000000000001</v>
      </c>
      <c r="G45" s="247" t="s">
        <v>1530</v>
      </c>
    </row>
    <row r="46" spans="1:7" s="214" customFormat="1" ht="13.5" customHeight="1">
      <c r="A46" s="780" t="s">
        <v>346</v>
      </c>
      <c r="B46" s="248" t="s">
        <v>1531</v>
      </c>
      <c r="C46" s="249">
        <f ca="1">ROUND((C33+C39)*F27,0)</f>
        <v>15694</v>
      </c>
      <c r="D46" s="263"/>
      <c r="E46" s="236"/>
      <c r="F46" s="246"/>
      <c r="G46" s="247"/>
    </row>
    <row r="47" spans="1:7" s="214" customFormat="1" ht="13.5" customHeight="1">
      <c r="A47" s="780" t="s">
        <v>347</v>
      </c>
      <c r="B47" s="248" t="s">
        <v>1532</v>
      </c>
      <c r="C47" s="238">
        <f ca="1">ROUND(C40*F27,4)</f>
        <v>2.8E-3</v>
      </c>
      <c r="D47" s="263"/>
      <c r="E47" s="236"/>
      <c r="F47" s="246"/>
      <c r="G47" s="247"/>
    </row>
    <row r="48" spans="1:7" s="214" customFormat="1" ht="13.5" customHeight="1">
      <c r="A48" s="255" t="s">
        <v>1494</v>
      </c>
      <c r="B48" s="210" t="s">
        <v>1533</v>
      </c>
      <c r="C48" s="1327">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144808</v>
      </c>
      <c r="D49" s="232"/>
      <c r="E49" s="232"/>
      <c r="F49" s="264"/>
      <c r="G49" s="234" t="s">
        <v>1536</v>
      </c>
    </row>
    <row r="50" spans="1:7" s="258" customFormat="1" ht="24">
      <c r="A50" s="255" t="s">
        <v>1537</v>
      </c>
      <c r="B50" s="210" t="s">
        <v>1538</v>
      </c>
      <c r="C50" s="232"/>
      <c r="D50" s="232"/>
      <c r="E50" s="232"/>
      <c r="F50" s="264">
        <f>IF('数据-取费表'!B24=0,'数据-取费表'!N16,1)</f>
        <v>0.87</v>
      </c>
      <c r="G50" s="247" t="s">
        <v>1539</v>
      </c>
    </row>
    <row r="51" spans="1:7" ht="16.5" customHeight="1">
      <c r="A51" s="255" t="s">
        <v>1540</v>
      </c>
      <c r="B51" s="210" t="s">
        <v>1541</v>
      </c>
      <c r="C51" s="232">
        <f ca="1">ROUND(C49*F50,0)</f>
        <v>125983</v>
      </c>
      <c r="D51" s="232"/>
      <c r="E51" s="232"/>
      <c r="F51" s="264"/>
      <c r="G51" s="234" t="s">
        <v>1542</v>
      </c>
    </row>
    <row r="52" spans="1:7" s="208" customFormat="1" ht="16.5" thickBot="1">
      <c r="A52" s="265" t="s">
        <v>1543</v>
      </c>
      <c r="B52" s="266"/>
      <c r="C52" s="267">
        <f ca="1">C31+C51</f>
        <v>173672</v>
      </c>
      <c r="D52" s="266"/>
      <c r="E52" s="266"/>
      <c r="F52" s="266"/>
      <c r="G52" s="268"/>
    </row>
    <row r="55" spans="1:7" ht="15">
      <c r="B55" s="270" t="s">
        <v>1544</v>
      </c>
      <c r="C55" s="271"/>
    </row>
    <row r="56" spans="1:7">
      <c r="B56" s="273" t="s">
        <v>802</v>
      </c>
      <c r="C56" s="275">
        <f ca="1">1-C57</f>
        <v>0.27500000000000002</v>
      </c>
    </row>
    <row r="57" spans="1:7">
      <c r="B57" s="273" t="s">
        <v>803</v>
      </c>
      <c r="C57" s="274">
        <f ca="1">ROUND(C51/C52,3)</f>
        <v>0.72499999999999998</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c r="C1" s="1859" t="s">
        <v>1545</v>
      </c>
      <c r="D1" s="198"/>
      <c r="E1" s="198"/>
      <c r="F1" s="198"/>
      <c r="G1" s="1126">
        <f>MATCH(B1,'数据-取费表'!A6:A16,0)+5</f>
        <v>8</v>
      </c>
      <c r="H1" s="1061" t="str">
        <f>IF(ISERROR(FIND("住宅",B1)),"非住宅","住宅")</f>
        <v>非住宅</v>
      </c>
    </row>
    <row r="2" spans="1:8" s="200" customFormat="1" ht="18" customHeight="1">
      <c r="A2" s="201" t="s">
        <v>1444</v>
      </c>
      <c r="B2" s="3403">
        <f ca="1">ROUND(IF(D2="——",C52/10000,C52/10000-E2),4)</f>
        <v>137751.6672</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6286</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41636991</v>
      </c>
      <c r="D5" s="211" t="s">
        <v>1451</v>
      </c>
      <c r="E5" s="212" t="s">
        <v>1452</v>
      </c>
      <c r="F5" s="212" t="s">
        <v>1453</v>
      </c>
      <c r="G5" s="213"/>
    </row>
    <row r="6" spans="1:8" s="214" customFormat="1" ht="13.5" customHeight="1">
      <c r="A6" s="778" t="s">
        <v>1454</v>
      </c>
      <c r="B6" s="215" t="s">
        <v>1455</v>
      </c>
      <c r="C6" s="216"/>
      <c r="D6" s="217"/>
      <c r="E6" s="218"/>
      <c r="F6" s="218"/>
      <c r="G6" s="219"/>
    </row>
    <row r="7" spans="1:8" s="214" customFormat="1" ht="13.5" customHeight="1">
      <c r="A7" s="778" t="s">
        <v>1456</v>
      </c>
      <c r="B7" s="215" t="s">
        <v>1457</v>
      </c>
      <c r="C7" s="220">
        <f>ROUND(C6*F7,0)</f>
        <v>0</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41636991</v>
      </c>
      <c r="D8" s="222"/>
      <c r="E8" s="220"/>
      <c r="F8" s="221"/>
      <c r="G8" s="1856"/>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1462</v>
      </c>
      <c r="C10" s="225">
        <f ca="1">ROUND(D10*E10,0)</f>
        <v>41636991</v>
      </c>
      <c r="D10" s="845">
        <f ca="1">IF(B1="",'数据-汇总表'!E6,IF(INDIRECT("'数据-取费表'!c"&amp;$G$1)="住宅",INDIRECT("'数据-取费表'!s"&amp;$G$1),INDIRECT("'数据-取费表'!k"&amp;$G$1)+INDIRECT("'数据-取费表'!s"&amp;$G$1)))</f>
        <v>219142.06</v>
      </c>
      <c r="E10" s="225">
        <f>'数据-取费表'!B28</f>
        <v>190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f ca="1">IF(G19="已包含在土地取得成本中","0",ROUND(D19*E19,0))</f>
        <v>43828412</v>
      </c>
      <c r="D19" s="849">
        <f ca="1">D9+D10</f>
        <v>219142.06</v>
      </c>
      <c r="E19" s="211">
        <f>'数据-取费表'!B31</f>
        <v>200</v>
      </c>
      <c r="F19" s="231"/>
      <c r="G19" s="1856"/>
    </row>
    <row r="20" spans="1:7" s="214" customFormat="1" ht="13.5" customHeight="1">
      <c r="A20" s="255" t="s">
        <v>1556</v>
      </c>
      <c r="B20" s="210" t="s">
        <v>1557</v>
      </c>
      <c r="C20" s="232">
        <f ca="1">ROUND((C5+C19)*F20,0)</f>
        <v>1709308</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7">
        <f ca="1">ROUND(SUM(C23:C25),0)</f>
        <v>9243570</v>
      </c>
      <c r="D22" s="235">
        <f ca="1">C26</f>
        <v>1E-3</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4459814</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4694541</v>
      </c>
      <c r="D24" s="238"/>
      <c r="E24" s="238"/>
      <c r="F24" s="239"/>
      <c r="G24" s="240" t="s">
        <v>1568</v>
      </c>
    </row>
    <row r="25" spans="1:7" s="214" customFormat="1" ht="24">
      <c r="A25" s="780" t="s">
        <v>1458</v>
      </c>
      <c r="B25" s="215" t="s">
        <v>1569</v>
      </c>
      <c r="C25" s="1128">
        <f ca="1">ROUND(IF('数据-取费表'!B22&lt;=1,C20*F22*'数据-取费表'!B22/2,C20*(POWER((1+F22),'数据-取费表'!B22/2)-1)),0)</f>
        <v>89215</v>
      </c>
      <c r="D25" s="238"/>
      <c r="E25" s="241"/>
      <c r="F25" s="239"/>
      <c r="G25" s="242" t="s">
        <v>1570</v>
      </c>
    </row>
    <row r="26" spans="1:7" s="214" customFormat="1">
      <c r="A26" s="780" t="s">
        <v>350</v>
      </c>
      <c r="B26" s="215" t="s">
        <v>1493</v>
      </c>
      <c r="C26" s="238">
        <f ca="1">ROUND(IF('数据-取费表'!B22&lt;=1,F21*F22*'数据-取费表'!B22/2,F21*(POWER((1+F22),'数据-取费表'!B22/2)-1)),4)</f>
        <v>1E-3</v>
      </c>
      <c r="D26" s="238"/>
      <c r="E26" s="241"/>
      <c r="F26" s="239"/>
      <c r="G26" s="243"/>
    </row>
    <row r="27" spans="1:7" s="214" customFormat="1" ht="24.75">
      <c r="A27" s="255" t="s">
        <v>1494</v>
      </c>
      <c r="B27" s="244" t="s">
        <v>1495</v>
      </c>
      <c r="C27" s="245">
        <f ca="1">C28</f>
        <v>12204460</v>
      </c>
      <c r="D27" s="235">
        <f ca="1">C29</f>
        <v>2.8E-3</v>
      </c>
      <c r="E27" s="236" t="s">
        <v>1496</v>
      </c>
      <c r="F27" s="246">
        <f ca="1">IF(B1="",'数据-取费表'!Q16,INDIRECT("'数据-取费表'!q"&amp;$G$1))</f>
        <v>0.14000000000000001</v>
      </c>
      <c r="G27" s="247" t="s">
        <v>1497</v>
      </c>
    </row>
    <row r="28" spans="1:7" s="214" customFormat="1" ht="13.5" customHeight="1">
      <c r="A28" s="780" t="s">
        <v>346</v>
      </c>
      <c r="B28" s="248" t="s">
        <v>1498</v>
      </c>
      <c r="C28" s="249">
        <f ca="1">ROUND((C5+C19+C20)*F27,0)</f>
        <v>12204460</v>
      </c>
      <c r="D28" s="235"/>
      <c r="E28" s="236"/>
      <c r="F28" s="246"/>
      <c r="G28" s="247"/>
    </row>
    <row r="29" spans="1:7" s="214" customFormat="1" ht="13.5" customHeight="1">
      <c r="A29" s="780" t="s">
        <v>347</v>
      </c>
      <c r="B29" s="248" t="s">
        <v>1499</v>
      </c>
      <c r="C29" s="238">
        <f ca="1">ROUND(C21*F27,4)</f>
        <v>2.8E-3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117697195</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1098997431</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986139270</v>
      </c>
      <c r="D34" s="217"/>
      <c r="E34" s="220"/>
      <c r="F34" s="257"/>
      <c r="G34" s="219"/>
    </row>
    <row r="35" spans="1:7" ht="13.5" customHeight="1">
      <c r="A35" s="780" t="s">
        <v>351</v>
      </c>
      <c r="B35" s="215" t="s">
        <v>1509</v>
      </c>
      <c r="C35" s="220">
        <f ca="1">ROUND(C34*F35,0)</f>
        <v>49306964</v>
      </c>
      <c r="D35" s="220"/>
      <c r="E35" s="220"/>
      <c r="F35" s="259">
        <f>'数据-取费表'!B33</f>
        <v>0.05</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43828412</v>
      </c>
      <c r="D37" s="217">
        <f ca="1">D19</f>
        <v>219142.06</v>
      </c>
      <c r="E37" s="249">
        <f>'数据-取费表'!B35</f>
        <v>200</v>
      </c>
      <c r="F37" s="259"/>
      <c r="G37" s="261"/>
    </row>
    <row r="38" spans="1:7" ht="13.5" customHeight="1">
      <c r="A38" s="780" t="s">
        <v>354</v>
      </c>
      <c r="B38" s="215" t="s">
        <v>1515</v>
      </c>
      <c r="C38" s="220">
        <f ca="1">ROUND(C34*F38,0)</f>
        <v>19722785</v>
      </c>
      <c r="D38" s="220"/>
      <c r="E38" s="220"/>
      <c r="F38" s="259">
        <f>'数据-取费表'!B36</f>
        <v>0.02</v>
      </c>
      <c r="G38" s="219" t="s">
        <v>1510</v>
      </c>
    </row>
    <row r="39" spans="1:7" s="214" customFormat="1" ht="13.5" customHeight="1">
      <c r="A39" s="255" t="s">
        <v>1516</v>
      </c>
      <c r="B39" s="210" t="s">
        <v>1517</v>
      </c>
      <c r="C39" s="232">
        <f ca="1">ROUND(C33*F20,0)</f>
        <v>21979949</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58508080</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57360863</v>
      </c>
      <c r="D42" s="238"/>
      <c r="E42" s="238"/>
      <c r="F42" s="239"/>
      <c r="G42" s="3653" t="s">
        <v>1573</v>
      </c>
    </row>
    <row r="43" spans="1:7" ht="13.5" customHeight="1">
      <c r="A43" s="780" t="s">
        <v>347</v>
      </c>
      <c r="B43" s="215" t="s">
        <v>1527</v>
      </c>
      <c r="C43" s="238">
        <f ca="1">ROUND(IF('数据-取费表'!B22&lt;=1,C39*F22*'数据-取费表'!B20/2,C39*(POWER((1+F22),'数据-取费表'!B20/2)-1)),0)</f>
        <v>1147217</v>
      </c>
      <c r="D43" s="238"/>
      <c r="E43" s="238"/>
      <c r="F43" s="239"/>
      <c r="G43" s="3654"/>
    </row>
    <row r="44" spans="1:7" ht="13.5" customHeight="1">
      <c r="A44" s="780" t="s">
        <v>348</v>
      </c>
      <c r="B44" s="215" t="s">
        <v>1528</v>
      </c>
      <c r="C44" s="238">
        <f ca="1">ROUND(IF('数据-取费表'!B22&lt;=1,C40*F22*'数据-取费表'!B20/2,C40*(POWER((1+F22),'数据-取费表'!B20/2)-1)),4)</f>
        <v>1E-3</v>
      </c>
      <c r="D44" s="238"/>
      <c r="E44" s="238"/>
      <c r="F44" s="239"/>
      <c r="G44" s="3655"/>
    </row>
    <row r="45" spans="1:7" s="214" customFormat="1" ht="13.5" customHeight="1">
      <c r="A45" s="255" t="s">
        <v>1529</v>
      </c>
      <c r="B45" s="244" t="s">
        <v>1495</v>
      </c>
      <c r="C45" s="245">
        <f ca="1">C46</f>
        <v>156936833</v>
      </c>
      <c r="D45" s="235">
        <f ca="1">C47</f>
        <v>2.8E-3</v>
      </c>
      <c r="E45" s="236" t="s">
        <v>1521</v>
      </c>
      <c r="F45" s="246">
        <f ca="1">F27</f>
        <v>0.14000000000000001</v>
      </c>
      <c r="G45" s="247" t="s">
        <v>1530</v>
      </c>
    </row>
    <row r="46" spans="1:7" s="214" customFormat="1" ht="13.5" customHeight="1">
      <c r="A46" s="780" t="s">
        <v>346</v>
      </c>
      <c r="B46" s="248" t="s">
        <v>1531</v>
      </c>
      <c r="C46" s="249">
        <f ca="1">ROUND((C33+C39)*F27,0)</f>
        <v>156936833</v>
      </c>
      <c r="D46" s="263"/>
      <c r="E46" s="236"/>
      <c r="F46" s="246"/>
      <c r="G46" s="247"/>
    </row>
    <row r="47" spans="1:7" s="214" customFormat="1" ht="13.5" customHeight="1">
      <c r="A47" s="780" t="s">
        <v>347</v>
      </c>
      <c r="B47" s="248" t="s">
        <v>1532</v>
      </c>
      <c r="C47" s="238">
        <f ca="1">ROUND(C40*F27,4)</f>
        <v>2.8E-3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1448068364</v>
      </c>
      <c r="D49" s="232"/>
      <c r="E49" s="232"/>
      <c r="F49" s="264"/>
      <c r="G49" s="234" t="s">
        <v>1536</v>
      </c>
    </row>
    <row r="50" spans="1:7" s="258" customFormat="1">
      <c r="A50" s="255" t="s">
        <v>1537</v>
      </c>
      <c r="B50" s="210" t="s">
        <v>1538</v>
      </c>
      <c r="C50" s="232"/>
      <c r="D50" s="232"/>
      <c r="E50" s="232"/>
      <c r="F50" s="264">
        <f>IF('数据-取费表'!B24=0,'数据-取费表'!N16,1)</f>
        <v>0.87</v>
      </c>
      <c r="G50" s="247"/>
    </row>
    <row r="51" spans="1:7" ht="16.5" customHeight="1">
      <c r="A51" s="255" t="s">
        <v>1540</v>
      </c>
      <c r="B51" s="210" t="s">
        <v>1575</v>
      </c>
      <c r="C51" s="232">
        <f ca="1">ROUND(C49*F50,0)</f>
        <v>1259819477</v>
      </c>
      <c r="D51" s="232"/>
      <c r="E51" s="232"/>
      <c r="F51" s="264"/>
      <c r="G51" s="234" t="s">
        <v>1542</v>
      </c>
    </row>
    <row r="52" spans="1:7" s="208" customFormat="1" ht="16.5" thickBot="1">
      <c r="A52" s="265" t="s">
        <v>1543</v>
      </c>
      <c r="B52" s="266"/>
      <c r="C52" s="267">
        <f ca="1">C31+C51</f>
        <v>1377516672</v>
      </c>
      <c r="D52" s="266"/>
      <c r="E52" s="266"/>
      <c r="F52" s="266"/>
      <c r="G52" s="268"/>
    </row>
    <row r="55" spans="1:7" ht="15">
      <c r="B55" s="270" t="s">
        <v>1544</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5"/>
      <c r="F1" s="2785"/>
      <c r="G1" s="2651"/>
      <c r="H1" s="2785"/>
      <c r="I1" s="2785"/>
      <c r="J1" s="2785"/>
      <c r="K1" s="2786">
        <f>MATCH(C1,'数据-取费表'!A6:A16,0)+5</f>
        <v>8</v>
      </c>
    </row>
    <row r="2" spans="1:33" ht="18" customHeight="1">
      <c r="A2" s="201" t="s">
        <v>1444</v>
      </c>
      <c r="B2" s="204">
        <f ca="1">C32</f>
        <v>0</v>
      </c>
      <c r="C2" s="276" t="s">
        <v>1577</v>
      </c>
      <c r="D2" s="276"/>
      <c r="E2" s="2785"/>
      <c r="F2" s="2785"/>
      <c r="G2" s="2785"/>
      <c r="H2" s="2785"/>
      <c r="I2" s="2785"/>
      <c r="J2" s="2785"/>
      <c r="K2" s="2785"/>
    </row>
    <row r="3" spans="1:33" ht="18" customHeight="1" thickBot="1">
      <c r="A3" s="203" t="s">
        <v>1446</v>
      </c>
      <c r="B3" s="204">
        <f ca="1">ROUND(B2*10000/IF(C1="",'数据-汇总表'!E3,INDIRECT("'数据-取费表'!K"&amp;$K$1)),0)</f>
        <v>0</v>
      </c>
      <c r="C3" s="276" t="s">
        <v>1578</v>
      </c>
      <c r="D3" s="276"/>
      <c r="E3" s="2785"/>
      <c r="F3" s="2785"/>
      <c r="G3" s="2785"/>
      <c r="H3" s="2785"/>
      <c r="I3" s="2785"/>
      <c r="J3" s="2785"/>
      <c r="K3" s="2785"/>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0.05</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219142.06</v>
      </c>
      <c r="E14" s="21">
        <f>'数据-取费表'!B35</f>
        <v>200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219142.06</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1609</v>
      </c>
      <c r="C20" s="21">
        <f ca="1">ROUND(D20*E20/10000,0)</f>
        <v>4164</v>
      </c>
      <c r="D20" s="846">
        <f ca="1">IF(C1="",'数据-汇总表'!E6,IF(INDIRECT("'数据-取费表'!c"&amp;$K$1)="住宅",INDIRECT("'数据-取费表'!s"&amp;$K$1),INDIRECT("'数据-取费表'!k"&amp;$K$1)+INDIRECT("'数据-取费表'!s"&amp;$K$1)))</f>
        <v>219142.06</v>
      </c>
      <c r="E20" s="21">
        <f>'数据-取费表'!B28</f>
        <v>190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0.02</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0.02</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5.6000000000000001E-2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f ca="1">J53</f>
        <v>34.06</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18310</v>
      </c>
      <c r="C2" s="1387" t="s">
        <v>805</v>
      </c>
      <c r="D2" s="1387"/>
      <c r="E2" s="1388"/>
      <c r="F2" s="1389"/>
      <c r="G2" s="2685"/>
      <c r="H2" s="2674"/>
      <c r="I2" s="2674"/>
      <c r="J2" s="2674"/>
      <c r="K2" s="2675"/>
      <c r="L2" s="2674"/>
      <c r="M2" s="2674"/>
    </row>
    <row r="3" spans="1:37" ht="18" customHeight="1" thickBot="1">
      <c r="A3" s="1390" t="s">
        <v>806</v>
      </c>
      <c r="B3" s="1391">
        <f ca="1">IF(ISERROR(B2*10000/F43),0,ROUND(B2*10000/F43,0))</f>
        <v>8167</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1207</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1205</v>
      </c>
      <c r="D6" s="155" t="s">
        <v>2091</v>
      </c>
      <c r="E6" s="302" t="s">
        <v>696</v>
      </c>
      <c r="F6" s="303">
        <f ca="1">INDIRECT("'数据-取费表'!u"&amp;$G$1)</f>
        <v>1.55</v>
      </c>
      <c r="G6" s="1384"/>
      <c r="H6" s="1069" t="s">
        <v>398</v>
      </c>
      <c r="I6" s="3656" t="s">
        <v>694</v>
      </c>
      <c r="J6" s="301">
        <f ca="1">ROUND(M6*M8*M7*(1-M9)/10000,0)</f>
        <v>0</v>
      </c>
      <c r="K6" s="155" t="s">
        <v>2090</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22420.739999999998</v>
      </c>
      <c r="G7" s="1384"/>
      <c r="H7" s="304"/>
      <c r="I7" s="3657"/>
      <c r="J7" s="306"/>
      <c r="K7" s="307"/>
      <c r="L7" s="302" t="s">
        <v>697</v>
      </c>
      <c r="M7" s="303">
        <f ca="1">F7</f>
        <v>22420.739999999998</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0.05</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2098</v>
      </c>
      <c r="E10" s="313" t="s">
        <v>701</v>
      </c>
      <c r="F10" s="1116" t="s">
        <v>3373</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12547</v>
      </c>
      <c r="D13" s="3428" t="s">
        <v>705</v>
      </c>
      <c r="E13" s="3428"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10171</v>
      </c>
      <c r="D14" s="3432" t="s">
        <v>708</v>
      </c>
      <c r="E14" s="3430"/>
      <c r="F14" s="319"/>
      <c r="G14" s="1384"/>
      <c r="H14" s="982" t="s">
        <v>398</v>
      </c>
      <c r="I14" s="302" t="s">
        <v>709</v>
      </c>
      <c r="J14" s="21">
        <f ca="1">C29</f>
        <v>14422</v>
      </c>
      <c r="K14" s="2324"/>
      <c r="L14" s="807"/>
      <c r="M14" s="808"/>
    </row>
    <row r="15" spans="1:37" s="1397" customFormat="1" ht="18" customHeight="1" thickBot="1">
      <c r="A15" s="982" t="s">
        <v>399</v>
      </c>
      <c r="B15" s="302" t="s">
        <v>710</v>
      </c>
      <c r="C15" s="21">
        <f ca="1">ROUND(C14*F15,0)</f>
        <v>509</v>
      </c>
      <c r="D15" s="3429" t="s">
        <v>711</v>
      </c>
      <c r="E15" s="3429"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v>
      </c>
      <c r="K16" s="1087" t="s">
        <v>715</v>
      </c>
      <c r="L16" s="3433"/>
      <c r="M16" s="1072"/>
    </row>
    <row r="17" spans="1:37" s="1397" customFormat="1" ht="18" customHeight="1">
      <c r="A17" s="982" t="s">
        <v>681</v>
      </c>
      <c r="B17" s="302" t="s">
        <v>716</v>
      </c>
      <c r="C17" s="21">
        <f ca="1">ROUND(F17*(F43+INDIRECT("'数据-取费表'!S"&amp;$G$1))/10000,0)</f>
        <v>452</v>
      </c>
      <c r="D17" s="302" t="s">
        <v>717</v>
      </c>
      <c r="E17" s="302" t="s">
        <v>718</v>
      </c>
      <c r="F17" s="23">
        <f>'数据-取费表'!B35</f>
        <v>200</v>
      </c>
      <c r="G17" s="1396"/>
      <c r="H17" s="982" t="s">
        <v>398</v>
      </c>
      <c r="I17" s="302" t="s">
        <v>719</v>
      </c>
      <c r="J17" s="2316">
        <f ca="1">ROUND(IF(AND(项目基本情况!B11="自然人",项目基本情况!B10="北京市"),J6*M17/(1+'数据-取费表'!C42),J18+J19+J20),2)</f>
        <v>1.68</v>
      </c>
      <c r="K17" s="3432" t="s">
        <v>720</v>
      </c>
      <c r="L17" s="343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203</v>
      </c>
      <c r="D18" s="302" t="s">
        <v>711</v>
      </c>
      <c r="E18" s="302" t="s">
        <v>712</v>
      </c>
      <c r="F18" s="322">
        <f>'数据-取费表'!B36</f>
        <v>0.02</v>
      </c>
      <c r="G18" s="1396"/>
      <c r="H18" s="982" t="s">
        <v>397</v>
      </c>
      <c r="I18" s="302" t="s">
        <v>723</v>
      </c>
      <c r="J18" s="21">
        <f ca="1">ROUND(J6*M18/(1+'数据-取费表'!C42),2)</f>
        <v>0</v>
      </c>
      <c r="K18" s="3431"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11335</v>
      </c>
      <c r="D19" s="131" t="s">
        <v>726</v>
      </c>
      <c r="E19" s="3436"/>
      <c r="F19" s="23"/>
      <c r="G19" s="1384"/>
      <c r="H19" s="982" t="s">
        <v>399</v>
      </c>
      <c r="I19" s="302" t="s">
        <v>727</v>
      </c>
      <c r="J19" s="21">
        <f ca="1">IF(K19="按租金收入计税",ROUND(J6*M19/(1+'数据-取费表'!C42),2),ROUND(C29*M19*0.7,2))</f>
        <v>0</v>
      </c>
      <c r="K19" s="1370" t="s">
        <v>3322</v>
      </c>
      <c r="L19" s="302" t="s">
        <v>712</v>
      </c>
      <c r="M19" s="322">
        <f>IF(K19="按租金收入计税",'数据-取费表'!B51,'数据-取费表'!B50)</f>
        <v>0.12</v>
      </c>
    </row>
    <row r="20" spans="1:37" s="1397" customFormat="1" ht="18" customHeight="1">
      <c r="A20" s="982" t="s">
        <v>402</v>
      </c>
      <c r="B20" s="302" t="s">
        <v>728</v>
      </c>
      <c r="C20" s="21">
        <f ca="1">ROUND(C19*F20,0)</f>
        <v>227</v>
      </c>
      <c r="D20" s="2428" t="s">
        <v>729</v>
      </c>
      <c r="E20" s="302" t="s">
        <v>712</v>
      </c>
      <c r="F20" s="322">
        <f>'数据-取费表'!B37</f>
        <v>0.02</v>
      </c>
      <c r="G20" s="1396"/>
      <c r="H20" s="982" t="s">
        <v>680</v>
      </c>
      <c r="I20" s="155" t="s">
        <v>730</v>
      </c>
      <c r="J20" s="22">
        <f ca="1">ROUND(M20*M21/10000,2)</f>
        <v>1.68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11176.08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6"/>
      <c r="F22" s="23"/>
      <c r="G22" s="1384"/>
      <c r="H22" s="982" t="s">
        <v>402</v>
      </c>
      <c r="I22" s="302" t="s">
        <v>738</v>
      </c>
      <c r="J22" s="21">
        <f ca="1">ROUND(J14*M22,2)</f>
        <v>72.11</v>
      </c>
      <c r="K22" s="3431"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604</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31"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6"/>
      <c r="F25" s="23"/>
      <c r="G25" s="1384"/>
      <c r="H25" s="1079" t="s">
        <v>394</v>
      </c>
      <c r="I25" s="1094" t="s">
        <v>752</v>
      </c>
      <c r="J25" s="310">
        <f ca="1">J5-J16</f>
        <v>-74</v>
      </c>
      <c r="K25" s="1095" t="s">
        <v>753</v>
      </c>
      <c r="L25" s="1096"/>
      <c r="M25" s="1097"/>
    </row>
    <row r="26" spans="1:37">
      <c r="A26" s="982" t="s">
        <v>397</v>
      </c>
      <c r="B26" s="302" t="s">
        <v>754</v>
      </c>
      <c r="C26" s="21">
        <f ca="1">ROUND((C19+C20)*F26,0)</f>
        <v>1156</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8" t="s">
        <v>761</v>
      </c>
      <c r="E27" s="342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14422</v>
      </c>
      <c r="D29" s="1092"/>
      <c r="E29" s="1090"/>
      <c r="F29" s="1093"/>
      <c r="G29" s="1396"/>
      <c r="H29" s="334" t="s">
        <v>396</v>
      </c>
      <c r="I29" s="335" t="s">
        <v>768</v>
      </c>
      <c r="J29" s="336">
        <f ca="1">ROUND(J26/(1+F40)^F41,0)</f>
        <v>0</v>
      </c>
      <c r="K29" s="337" t="s">
        <v>769</v>
      </c>
      <c r="L29" s="338"/>
      <c r="M29" s="339">
        <f ca="1">INDIRECT("'数据-取费表'!k"&amp;$G$1)</f>
        <v>22420.739999999998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294</v>
      </c>
      <c r="D30" s="1087" t="s">
        <v>715</v>
      </c>
      <c r="E30" s="3433"/>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ROUND(IF(AND(项目基本情况!B11="自然人",项目基本情况!B10="北京市"),C6*F31/(1+'数据-取费表'!C42),C32+C33+C34),2)</f>
        <v>203.66</v>
      </c>
      <c r="D31" s="3432" t="s">
        <v>720</v>
      </c>
      <c r="E31" s="3431" t="s">
        <v>770</v>
      </c>
      <c r="F31" s="2315" t="str">
        <f>IF(项目基本情况!B11="企业","——",IF(M47="住宅",IF(F6*F7*F8/12/(1+'数据-取费表'!F30)&gt;100000,4%,2.5%),IF(F6*F7*F8/12/(1+'数据-取费表'!F30)&gt;100000,12%,7%)))</f>
        <v>——</v>
      </c>
      <c r="G31" s="1384"/>
      <c r="H31" s="2787" t="s">
        <v>2292</v>
      </c>
      <c r="I31" s="1398"/>
      <c r="J31" s="1399"/>
      <c r="K31" s="2475"/>
      <c r="L31" s="2677"/>
      <c r="M31" s="2678"/>
    </row>
    <row r="32" spans="1:37" ht="18" customHeight="1">
      <c r="A32" s="982" t="s">
        <v>397</v>
      </c>
      <c r="B32" s="302" t="s">
        <v>723</v>
      </c>
      <c r="C32" s="21">
        <f ca="1">IF(项目基本情况!B11="自然人","——",ROUND(C6*F32/(1+'数据-取费表'!C42),2))</f>
        <v>64.27</v>
      </c>
      <c r="D32" s="3431"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137.71</v>
      </c>
      <c r="D33" s="1370" t="s">
        <v>3322</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IF(项目基本情况!B11="自然人","——",ROUND(F34*F35/10000,2))</f>
        <v>1.68</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11176.08</v>
      </c>
      <c r="G35" s="1384"/>
      <c r="H35" s="2676"/>
      <c r="I35" s="1398"/>
      <c r="J35" s="1399"/>
      <c r="K35" s="2680"/>
      <c r="L35" s="2679"/>
      <c r="M35" s="2679"/>
    </row>
    <row r="36" spans="1:18" ht="18" customHeight="1">
      <c r="A36" s="1102" t="s">
        <v>402</v>
      </c>
      <c r="B36" s="302" t="s">
        <v>738</v>
      </c>
      <c r="C36" s="21">
        <f ca="1">ROUND(C29*F36,2)</f>
        <v>72.11</v>
      </c>
      <c r="D36" s="3431" t="s">
        <v>771</v>
      </c>
      <c r="E36" s="302" t="s">
        <v>712</v>
      </c>
      <c r="F36" s="328">
        <f ca="1">INDIRECT("'数据-取费表'!Ak"&amp;$G$1)</f>
        <v>5.0000000000000001E-3</v>
      </c>
      <c r="G36" s="1384"/>
      <c r="H36" s="2679"/>
      <c r="I36" s="1398"/>
      <c r="J36" s="1399"/>
      <c r="K36" s="2524"/>
      <c r="L36" s="2679"/>
      <c r="M36" s="2679"/>
    </row>
    <row r="37" spans="1:18" ht="18" customHeight="1">
      <c r="A37" s="982" t="s">
        <v>437</v>
      </c>
      <c r="B37" s="302" t="s">
        <v>742</v>
      </c>
      <c r="C37" s="21">
        <f ca="1">ROUND(C13*F37,2)</f>
        <v>12.55</v>
      </c>
      <c r="D37" s="3431" t="s">
        <v>743</v>
      </c>
      <c r="E37" s="302" t="s">
        <v>712</v>
      </c>
      <c r="F37" s="330">
        <f ca="1">INDIRECT("'数据-取费表'!Al"&amp;$G$1)</f>
        <v>1E-3</v>
      </c>
      <c r="G37" s="1384"/>
      <c r="H37" s="2679"/>
      <c r="I37" s="1398"/>
      <c r="J37" s="1399"/>
      <c r="K37" s="2524"/>
      <c r="L37" s="2679"/>
      <c r="M37" s="2679"/>
    </row>
    <row r="38" spans="1:18" ht="18" customHeight="1" thickBot="1">
      <c r="A38" s="1089" t="s">
        <v>683</v>
      </c>
      <c r="B38" s="1090" t="s">
        <v>728</v>
      </c>
      <c r="C38" s="1091">
        <f ca="1">ROUND(C5*F38,2)</f>
        <v>6.04</v>
      </c>
      <c r="D38" s="1092" t="s">
        <v>748</v>
      </c>
      <c r="E38" s="1090" t="s">
        <v>712</v>
      </c>
      <c r="F38" s="1086">
        <f ca="1">INDIRECT("'数据-取费表'!Am"&amp;$G$1)</f>
        <v>5.0000000000000001E-3</v>
      </c>
      <c r="G38" s="1384"/>
      <c r="H38" s="2679"/>
      <c r="I38" s="1398"/>
      <c r="J38" s="1399"/>
      <c r="K38" s="2683"/>
      <c r="L38" s="2679"/>
      <c r="M38" s="2679"/>
    </row>
    <row r="39" spans="1:18" ht="24.6" customHeight="1" thickTop="1">
      <c r="A39" s="1079" t="s">
        <v>394</v>
      </c>
      <c r="B39" s="1094" t="s">
        <v>752</v>
      </c>
      <c r="C39" s="310">
        <f ca="1">C5-C30</f>
        <v>913</v>
      </c>
      <c r="D39" s="1095" t="s">
        <v>753</v>
      </c>
      <c r="E39" s="1096"/>
      <c r="F39" s="1097"/>
      <c r="G39" s="1384"/>
      <c r="H39" s="2679"/>
      <c r="I39" s="1398"/>
      <c r="J39" s="1399"/>
      <c r="K39" s="2683"/>
      <c r="L39" s="2679"/>
      <c r="M39" s="2679"/>
    </row>
    <row r="40" spans="1:18" ht="18" customHeight="1">
      <c r="A40" s="299" t="s">
        <v>395</v>
      </c>
      <c r="B40" s="300" t="s">
        <v>774</v>
      </c>
      <c r="C40" s="301">
        <f ca="1">ROUND(C39*(1-((1+F42)/(1+F40))^F41)/(F40-F42),0)</f>
        <v>17819</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34.06</v>
      </c>
      <c r="G41" s="1384"/>
      <c r="H41" s="1191"/>
      <c r="I41" s="1398"/>
      <c r="J41" s="1399"/>
      <c r="K41" s="2524"/>
      <c r="L41" s="1191"/>
      <c r="M41" s="1191"/>
    </row>
    <row r="42" spans="1:18" ht="18" customHeight="1">
      <c r="A42" s="308"/>
      <c r="B42" s="309"/>
      <c r="C42" s="310"/>
      <c r="D42" s="327"/>
      <c r="E42" s="302" t="s">
        <v>766</v>
      </c>
      <c r="F42" s="312">
        <f ca="1">INDIRECT("'数据-取费表'!v"&amp;$G$1)</f>
        <v>0.02</v>
      </c>
      <c r="G42" s="1384"/>
      <c r="H42" s="1191"/>
      <c r="I42" s="1398"/>
      <c r="J42" s="1399"/>
      <c r="K42" s="2524"/>
      <c r="L42" s="1191"/>
      <c r="M42" s="1191"/>
    </row>
    <row r="43" spans="1:18" ht="18" customHeight="1" thickBot="1">
      <c r="A43" s="334" t="s">
        <v>396</v>
      </c>
      <c r="B43" s="335" t="s">
        <v>776</v>
      </c>
      <c r="C43" s="336">
        <f ca="1">ROUND(C40*10000/F43,0)</f>
        <v>7948</v>
      </c>
      <c r="D43" s="337" t="s">
        <v>777</v>
      </c>
      <c r="E43" s="338" t="s">
        <v>778</v>
      </c>
      <c r="F43" s="339">
        <f ca="1">INDIRECT("'数据-取费表'!k"&amp;$G$1)</f>
        <v>22420.739999999998</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-19145</v>
      </c>
      <c r="D46" s="1406" t="str">
        <f>C2</f>
        <v>万元</v>
      </c>
      <c r="E46" s="1400"/>
      <c r="F46" s="1400"/>
      <c r="I46" s="1407" t="s">
        <v>810</v>
      </c>
      <c r="J46" s="1408"/>
      <c r="K46" s="1409"/>
      <c r="L46" s="1410">
        <f ca="1">IF(M47="住宅",0,IF(L48&gt;J51,L60,J60))</f>
        <v>491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3374</v>
      </c>
      <c r="K47" s="1416" t="s">
        <v>816</v>
      </c>
      <c r="L47" s="1417">
        <f ca="1">INDIRECT("'数据-取费表'!d"&amp;$G$1)</f>
        <v>50</v>
      </c>
      <c r="M47" s="1380" t="str">
        <f>IF(ISNUMBER(FIND("住宅",C1)),"住宅","非住宅")</f>
        <v>非住宅</v>
      </c>
      <c r="O47" s="1418" t="s">
        <v>403</v>
      </c>
      <c r="P47" s="1419" t="s">
        <v>817</v>
      </c>
      <c r="Q47" s="1420">
        <f ca="1">C40+J29</f>
        <v>17819</v>
      </c>
      <c r="R47" s="1420" t="s">
        <v>818</v>
      </c>
    </row>
    <row r="48" spans="1:18" s="1384" customFormat="1" ht="28.5" thickBot="1">
      <c r="A48" s="1110" t="s">
        <v>438</v>
      </c>
      <c r="B48" s="300" t="s">
        <v>692</v>
      </c>
      <c r="C48" s="3435">
        <f ca="1">C49+C53+C55</f>
        <v>0</v>
      </c>
      <c r="D48" s="1112"/>
      <c r="E48" s="1113"/>
      <c r="F48" s="962"/>
      <c r="G48" s="722"/>
      <c r="H48" s="723"/>
      <c r="I48" s="1421" t="s">
        <v>819</v>
      </c>
      <c r="J48" s="1422" t="s">
        <v>3375</v>
      </c>
      <c r="K48" s="1423" t="s">
        <v>820</v>
      </c>
      <c r="L48" s="1424">
        <f ca="1">INDIRECT("'数据-取费表'!f"&amp;$G$1)</f>
        <v>34.06</v>
      </c>
      <c r="O48" s="1418" t="s">
        <v>404</v>
      </c>
      <c r="P48" s="1419" t="s">
        <v>821</v>
      </c>
      <c r="Q48" s="1420">
        <f ca="1">J60</f>
        <v>491</v>
      </c>
      <c r="R48" s="1420" t="s">
        <v>822</v>
      </c>
    </row>
    <row r="49" spans="1:18" s="1384" customFormat="1" ht="13.5" thickBot="1">
      <c r="A49" s="975" t="s">
        <v>439</v>
      </c>
      <c r="B49" s="1371" t="s">
        <v>779</v>
      </c>
      <c r="C49" s="1114">
        <f ca="1">ROUND(F49*F51*F50*(1-F52)/10000,0)</f>
        <v>0</v>
      </c>
      <c r="D49" s="1055" t="s">
        <v>2090</v>
      </c>
      <c r="E49" s="1372" t="s">
        <v>780</v>
      </c>
      <c r="F49" s="1060"/>
      <c r="G49" s="1425"/>
      <c r="H49" s="723"/>
      <c r="I49" s="1421" t="s">
        <v>823</v>
      </c>
      <c r="J49" s="1426">
        <v>2016</v>
      </c>
      <c r="K49" s="1423" t="s">
        <v>824</v>
      </c>
      <c r="L49" s="1427"/>
      <c r="O49" s="1428" t="s">
        <v>405</v>
      </c>
      <c r="P49" s="1419" t="s">
        <v>825</v>
      </c>
      <c r="Q49" s="1420">
        <f ca="1">C29</f>
        <v>14422</v>
      </c>
      <c r="R49" s="1420" t="s">
        <v>818</v>
      </c>
    </row>
    <row r="50" spans="1:18" s="1384" customFormat="1" ht="13.5" thickBot="1">
      <c r="A50" s="976"/>
      <c r="B50" s="979"/>
      <c r="C50" s="1118"/>
      <c r="D50" s="953"/>
      <c r="E50" s="1056" t="s">
        <v>697</v>
      </c>
      <c r="F50" s="1057">
        <f ca="1">F7</f>
        <v>22420.739999999998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693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34.06</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34.06</v>
      </c>
      <c r="K53" s="3659" t="s">
        <v>837</v>
      </c>
      <c r="L53" s="3660"/>
      <c r="O53" s="1418" t="s">
        <v>409</v>
      </c>
      <c r="P53" s="1419" t="s">
        <v>838</v>
      </c>
      <c r="Q53" s="1420">
        <f ca="1">Q47+Q48</f>
        <v>18310</v>
      </c>
      <c r="R53" s="1420" t="s">
        <v>410</v>
      </c>
    </row>
    <row r="54" spans="1:18" s="1384" customFormat="1" ht="13.5" thickBot="1">
      <c r="A54" s="1153"/>
      <c r="B54" s="1367" t="s">
        <v>679</v>
      </c>
      <c r="C54" s="959"/>
      <c r="D54" s="1366"/>
      <c r="E54" s="343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34"/>
      <c r="F55" s="1440"/>
      <c r="I55" s="1443" t="s">
        <v>840</v>
      </c>
      <c r="J55" s="1444">
        <f ca="1">ROUND(IF(J47="钢混",J57/J50,1-(1-2%)*(J50-J57)/J50),3)</f>
        <v>0.29899999999999999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12547</v>
      </c>
      <c r="D56" s="1447"/>
      <c r="E56" s="1448"/>
      <c r="F56" s="1440"/>
      <c r="I56" s="1449" t="s">
        <v>842</v>
      </c>
      <c r="J56" s="1450"/>
      <c r="K56" s="1421" t="s">
        <v>843</v>
      </c>
      <c r="L56" s="1424" t="str">
        <f ca="1">IF(L48&lt;J51,"——",L48-J53)</f>
        <v>——</v>
      </c>
      <c r="O56" s="1418" t="s">
        <v>403</v>
      </c>
      <c r="P56" s="1419" t="s">
        <v>817</v>
      </c>
      <c r="Q56" s="1420">
        <f ca="1">C40+J29</f>
        <v>17819</v>
      </c>
      <c r="R56" s="1420" t="s">
        <v>818</v>
      </c>
    </row>
    <row r="57" spans="1:18" s="1384" customFormat="1" ht="24.75" thickBot="1">
      <c r="A57" s="1451"/>
      <c r="B57" s="950" t="s">
        <v>767</v>
      </c>
      <c r="C57" s="238">
        <f ca="1">C29</f>
        <v>14422</v>
      </c>
      <c r="D57" s="1452"/>
      <c r="E57" s="1453"/>
      <c r="F57" s="1454"/>
      <c r="I57" s="1455" t="s">
        <v>844</v>
      </c>
      <c r="J57" s="1456">
        <f ca="1">IF(OR(M47="住宅",J51&lt;L48,J56="是"),"——",J51-L48)</f>
        <v>17.939999999999998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5769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3322</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1.68</v>
      </c>
      <c r="D62" s="965" t="s">
        <v>731</v>
      </c>
      <c r="E62" s="950" t="s">
        <v>732</v>
      </c>
      <c r="F62" s="325">
        <f t="shared" si="0"/>
        <v>1.5</v>
      </c>
      <c r="I62" s="1462" t="s">
        <v>858</v>
      </c>
      <c r="J62" s="1463" t="s">
        <v>859</v>
      </c>
      <c r="K62" s="1463" t="s">
        <v>860</v>
      </c>
      <c r="L62" s="1463" t="s">
        <v>861</v>
      </c>
      <c r="M62" s="1464" t="s">
        <v>862</v>
      </c>
      <c r="O62" s="1418" t="s">
        <v>409</v>
      </c>
      <c r="P62" s="1419" t="s">
        <v>838</v>
      </c>
      <c r="Q62" s="1420">
        <f ca="1">Q56+Q57</f>
        <v>17819</v>
      </c>
      <c r="R62" s="1420" t="s">
        <v>410</v>
      </c>
    </row>
    <row r="63" spans="1:18" s="1384" customFormat="1" ht="13.5" thickBot="1">
      <c r="A63" s="326"/>
      <c r="B63" s="956"/>
      <c r="C63" s="26"/>
      <c r="D63" s="966"/>
      <c r="E63" s="950" t="s">
        <v>736</v>
      </c>
      <c r="F63" s="303">
        <f t="shared" ca="1" si="0"/>
        <v>11176.08</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72.11</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12.55</v>
      </c>
      <c r="D65" s="964" t="s">
        <v>743</v>
      </c>
      <c r="E65" s="950" t="s">
        <v>712</v>
      </c>
      <c r="F65" s="330">
        <f t="shared" ca="1" si="0"/>
        <v>1E-3</v>
      </c>
      <c r="I65" s="1462" t="s">
        <v>867</v>
      </c>
      <c r="J65" s="1463">
        <v>40</v>
      </c>
      <c r="K65" s="1463">
        <v>30</v>
      </c>
      <c r="L65" s="1463">
        <v>50</v>
      </c>
      <c r="M65" s="1465">
        <v>0.02</v>
      </c>
      <c r="O65" s="1418" t="s">
        <v>403</v>
      </c>
      <c r="P65" s="1419" t="s">
        <v>817</v>
      </c>
      <c r="Q65" s="1420">
        <f ca="1">C40+J29</f>
        <v>17819</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-87</v>
      </c>
      <c r="D67" s="963" t="s">
        <v>753</v>
      </c>
      <c r="E67" s="968"/>
      <c r="F67" s="969"/>
      <c r="O67" s="1428" t="s">
        <v>405</v>
      </c>
      <c r="P67" s="1419" t="s">
        <v>850</v>
      </c>
      <c r="Q67" s="1466">
        <f ca="1">L51</f>
        <v>693</v>
      </c>
      <c r="R67" s="1420" t="s">
        <v>870</v>
      </c>
    </row>
    <row r="68" spans="1:18" s="1384" customFormat="1" ht="16.5" thickBot="1">
      <c r="A68" s="947" t="s">
        <v>395</v>
      </c>
      <c r="B68" s="948" t="s">
        <v>774</v>
      </c>
      <c r="C68" s="301">
        <f ca="1">ROUND(C67*(1-((1+F70)/(1+F68))^F69)/(F68-F70),0)</f>
        <v>-1326</v>
      </c>
      <c r="D68" s="965" t="s">
        <v>758</v>
      </c>
      <c r="E68" s="950" t="s">
        <v>759</v>
      </c>
      <c r="F68" s="312">
        <f ca="1">F40</f>
        <v>5.5E-2</v>
      </c>
      <c r="O68" s="1428" t="s">
        <v>406</v>
      </c>
      <c r="P68" s="1467" t="s">
        <v>871</v>
      </c>
      <c r="Q68" s="1420">
        <f ca="1">ROUND(Q69-Q70*Q71,0)</f>
        <v>35</v>
      </c>
      <c r="R68" s="1420" t="s">
        <v>414</v>
      </c>
    </row>
    <row r="69" spans="1:18" s="1384" customFormat="1" ht="13.5" thickBot="1">
      <c r="A69" s="951"/>
      <c r="B69" s="952"/>
      <c r="C69" s="306"/>
      <c r="D69" s="970" t="s">
        <v>762</v>
      </c>
      <c r="E69" s="950" t="s">
        <v>763</v>
      </c>
      <c r="F69" s="333">
        <f ca="1">F41</f>
        <v>34.06</v>
      </c>
      <c r="O69" s="1428" t="s">
        <v>411</v>
      </c>
      <c r="P69" s="1467" t="s">
        <v>872</v>
      </c>
      <c r="Q69" s="1420">
        <f ca="1">C39</f>
        <v>913</v>
      </c>
      <c r="R69" s="1420" t="s">
        <v>818</v>
      </c>
    </row>
    <row r="70" spans="1:18" s="1384" customFormat="1" ht="13.5" thickBot="1">
      <c r="A70" s="954"/>
      <c r="B70" s="955"/>
      <c r="C70" s="310"/>
      <c r="D70" s="966"/>
      <c r="E70" s="950" t="s">
        <v>766</v>
      </c>
      <c r="F70" s="1054"/>
      <c r="O70" s="1428" t="s">
        <v>412</v>
      </c>
      <c r="P70" s="1467" t="s">
        <v>873</v>
      </c>
      <c r="Q70" s="1420">
        <f ca="1">C13</f>
        <v>12547</v>
      </c>
      <c r="R70" s="1420" t="s">
        <v>818</v>
      </c>
    </row>
    <row r="71" spans="1:18" s="1384" customFormat="1" ht="13.5" thickBot="1">
      <c r="A71" s="971" t="s">
        <v>396</v>
      </c>
      <c r="B71" s="972" t="s">
        <v>776</v>
      </c>
      <c r="C71" s="336">
        <f ca="1">ROUND(C68*10000/F71,0)</f>
        <v>-591</v>
      </c>
      <c r="D71" s="973" t="s">
        <v>777</v>
      </c>
      <c r="E71" s="974" t="s">
        <v>778</v>
      </c>
      <c r="F71" s="339">
        <f ca="1">F43</f>
        <v>22420.739999999998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878</v>
      </c>
      <c r="D75" s="1384"/>
      <c r="E75" s="1384"/>
      <c r="F75" s="1384"/>
      <c r="K75" s="1402"/>
      <c r="L75" s="1384"/>
      <c r="O75" s="1418" t="s">
        <v>409</v>
      </c>
      <c r="P75" s="1419" t="s">
        <v>838</v>
      </c>
      <c r="Q75" s="1420">
        <f ca="1">Q65+Q66</f>
        <v>17819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3.8000000000000034E-2</v>
      </c>
    </row>
    <row r="80" spans="1:18">
      <c r="B80" s="340" t="s">
        <v>800</v>
      </c>
      <c r="C80" s="274">
        <f ca="1">ROUND(C75/C39,3)</f>
        <v>0.96199999999999997</v>
      </c>
    </row>
    <row r="81" spans="2:3">
      <c r="B81" s="270" t="s">
        <v>801</v>
      </c>
      <c r="C81" s="238"/>
    </row>
    <row r="82" spans="2:3">
      <c r="B82" s="273" t="s">
        <v>802</v>
      </c>
      <c r="C82" s="275">
        <f ca="1">1-C83</f>
        <v>0.29600000000000004</v>
      </c>
    </row>
    <row r="83" spans="2:3">
      <c r="B83" s="273" t="s">
        <v>803</v>
      </c>
      <c r="C83" s="274">
        <f ca="1">ROUND(C13/C40,3)</f>
        <v>0.70399999999999996</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3444</v>
      </c>
      <c r="D1" s="1362" t="s">
        <v>43</v>
      </c>
      <c r="E1" s="1363" t="s">
        <v>678</v>
      </c>
      <c r="F1" s="1062">
        <f ca="1">J53</f>
        <v>34.06</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274326</v>
      </c>
      <c r="C2" s="1387" t="s">
        <v>805</v>
      </c>
      <c r="D2" s="1387"/>
      <c r="E2" s="1388"/>
      <c r="F2" s="1389"/>
      <c r="G2" s="2685"/>
      <c r="H2" s="2674"/>
      <c r="I2" s="2674"/>
      <c r="J2" s="2674"/>
      <c r="K2" s="2675"/>
      <c r="L2" s="2674"/>
      <c r="M2" s="2674"/>
    </row>
    <row r="3" spans="1:37" ht="18" customHeight="1" thickBot="1">
      <c r="A3" s="1390" t="s">
        <v>806</v>
      </c>
      <c r="B3" s="1391">
        <f ca="1">IF(ISERROR(B2*10000/F43),0,ROUND(B2*10000/F43,0))</f>
        <v>14071</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16583</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16562</v>
      </c>
      <c r="D6" s="155" t="s">
        <v>2091</v>
      </c>
      <c r="E6" s="302" t="s">
        <v>696</v>
      </c>
      <c r="F6" s="303">
        <f ca="1">INDIRECT("'数据-取费表'!u"&amp;$G$1)</f>
        <v>2.4500000000000002</v>
      </c>
      <c r="G6" s="1384"/>
      <c r="H6" s="1069" t="s">
        <v>398</v>
      </c>
      <c r="I6" s="3656" t="s">
        <v>694</v>
      </c>
      <c r="J6" s="301">
        <f ca="1">ROUND(M6*M8*M7*(1-M9)/10000,0)</f>
        <v>0</v>
      </c>
      <c r="K6" s="155" t="s">
        <v>2090</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194955.26</v>
      </c>
      <c r="G7" s="1384"/>
      <c r="H7" s="304"/>
      <c r="I7" s="3657"/>
      <c r="J7" s="306"/>
      <c r="K7" s="307"/>
      <c r="L7" s="302" t="s">
        <v>697</v>
      </c>
      <c r="M7" s="303">
        <f ca="1">F7</f>
        <v>194955.26</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0.05</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21</v>
      </c>
      <c r="D10" s="1366" t="s">
        <v>2099</v>
      </c>
      <c r="E10" s="313" t="s">
        <v>701</v>
      </c>
      <c r="F10" s="1116" t="s">
        <v>3373</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113960</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88443</v>
      </c>
      <c r="D14" s="1345" t="s">
        <v>708</v>
      </c>
      <c r="E14" s="1342"/>
      <c r="F14" s="319"/>
      <c r="G14" s="1384"/>
      <c r="H14" s="982" t="s">
        <v>398</v>
      </c>
      <c r="I14" s="302" t="s">
        <v>709</v>
      </c>
      <c r="J14" s="21">
        <f ca="1">C29</f>
        <v>130988</v>
      </c>
      <c r="K14" s="12"/>
      <c r="L14" s="807"/>
      <c r="M14" s="808"/>
    </row>
    <row r="15" spans="1:37" s="1397" customFormat="1" ht="18" customHeight="1" thickBot="1">
      <c r="A15" s="982" t="s">
        <v>399</v>
      </c>
      <c r="B15" s="302" t="s">
        <v>710</v>
      </c>
      <c r="C15" s="21">
        <f ca="1">ROUND(C14*F15,0)</f>
        <v>4422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670</v>
      </c>
      <c r="K16" s="1087" t="s">
        <v>715</v>
      </c>
      <c r="L16" s="1088"/>
      <c r="M16" s="1072"/>
    </row>
    <row r="17" spans="1:37" s="1397" customFormat="1" ht="18" customHeight="1">
      <c r="A17" s="982" t="s">
        <v>681</v>
      </c>
      <c r="B17" s="302" t="s">
        <v>716</v>
      </c>
      <c r="C17" s="21">
        <f ca="1">ROUND(F17*(F43+INDIRECT("'数据-取费表'!S"&amp;$G$1))/10000,0)</f>
        <v>3931</v>
      </c>
      <c r="D17" s="302" t="s">
        <v>717</v>
      </c>
      <c r="E17" s="302" t="s">
        <v>718</v>
      </c>
      <c r="F17" s="23">
        <f>'数据-取费表'!B35</f>
        <v>200</v>
      </c>
      <c r="G17" s="1396"/>
      <c r="H17" s="982" t="s">
        <v>398</v>
      </c>
      <c r="I17" s="302" t="s">
        <v>719</v>
      </c>
      <c r="J17" s="2316">
        <f ca="1">ROUND(IF(AND(项目基本情况!B11="自然人",项目基本情况!B10="北京市"),J6*M17/(1+'数据-取费表'!C42),J18+J19+J20),2)</f>
        <v>14.58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1769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98565</v>
      </c>
      <c r="D19" s="131" t="s">
        <v>726</v>
      </c>
      <c r="E19" s="1360"/>
      <c r="F19" s="23"/>
      <c r="G19" s="1384"/>
      <c r="H19" s="982" t="s">
        <v>399</v>
      </c>
      <c r="I19" s="302" t="s">
        <v>727</v>
      </c>
      <c r="J19" s="21">
        <f ca="1">IF(K19="按租金收入计税",ROUND(J6*M19/(1+'数据-取费表'!C42),2),ROUND(C29*M19*0.7,2))</f>
        <v>0</v>
      </c>
      <c r="K19" s="1370" t="s">
        <v>3322</v>
      </c>
      <c r="L19" s="302" t="s">
        <v>712</v>
      </c>
      <c r="M19" s="322">
        <f>IF(K19="按租金收入计税",'数据-取费表'!B51,'数据-取费表'!B50)</f>
        <v>0.12</v>
      </c>
    </row>
    <row r="20" spans="1:37" s="1397" customFormat="1" ht="18" customHeight="1">
      <c r="A20" s="982" t="s">
        <v>402</v>
      </c>
      <c r="B20" s="302" t="s">
        <v>728</v>
      </c>
      <c r="C20" s="21">
        <f ca="1">ROUND(C19*F20,0)</f>
        <v>1971</v>
      </c>
      <c r="D20" s="323" t="s">
        <v>729</v>
      </c>
      <c r="E20" s="302" t="s">
        <v>712</v>
      </c>
      <c r="F20" s="322">
        <f>'数据-取费表'!B37</f>
        <v>0.02</v>
      </c>
      <c r="G20" s="1396"/>
      <c r="H20" s="982" t="s">
        <v>680</v>
      </c>
      <c r="I20" s="155" t="s">
        <v>730</v>
      </c>
      <c r="J20" s="22">
        <f ca="1">ROUND(M20*M21/10000,2)</f>
        <v>14.58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97179.41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654.94000000000005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5247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-670</v>
      </c>
      <c r="K25" s="1095" t="s">
        <v>753</v>
      </c>
      <c r="L25" s="1096"/>
      <c r="M25" s="1097"/>
    </row>
    <row r="26" spans="1:37">
      <c r="A26" s="982" t="s">
        <v>397</v>
      </c>
      <c r="B26" s="302" t="s">
        <v>754</v>
      </c>
      <c r="C26" s="21">
        <f ca="1">ROUND((C19+C20)*F26,0)</f>
        <v>15080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130988</v>
      </c>
      <c r="D29" s="1092"/>
      <c r="E29" s="1090"/>
      <c r="F29" s="1093"/>
      <c r="G29" s="1396"/>
      <c r="H29" s="334" t="s">
        <v>396</v>
      </c>
      <c r="I29" s="335" t="s">
        <v>768</v>
      </c>
      <c r="J29" s="336">
        <f ca="1">ROUND(J26/(1+F40)^F41,0)</f>
        <v>0</v>
      </c>
      <c r="K29" s="337" t="s">
        <v>769</v>
      </c>
      <c r="L29" s="338"/>
      <c r="M29" s="339">
        <f ca="1">INDIRECT("'数据-取费表'!k"&amp;$G$1)</f>
        <v>194955.26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3643</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ROUND(IF(AND(项目基本情况!B11="自然人",项目基本情况!B10="北京市"),C6*F31/(1+'数据-取费表'!C42),C32+C33+C34),2)</f>
        <v>2790.69</v>
      </c>
      <c r="D31" s="1345" t="s">
        <v>720</v>
      </c>
      <c r="E31" s="1344" t="s">
        <v>770</v>
      </c>
      <c r="F31" s="2315" t="str">
        <f>IF(项目基本情况!B11="企业","——",IF(M47="住宅",IF(F6*F7*F8/12/(1+'数据-取费表'!F30)&gt;100000,4%,2.5%),IF(F6*F7*F8/12/(1+'数据-取费表'!F30)&gt;100000,12%,7%)))</f>
        <v>——</v>
      </c>
      <c r="G31" s="1384"/>
      <c r="H31" s="2787" t="s">
        <v>2292</v>
      </c>
      <c r="I31" s="1398"/>
      <c r="J31" s="1399"/>
      <c r="K31" s="2475"/>
      <c r="L31" s="2677"/>
      <c r="M31" s="2678"/>
    </row>
    <row r="32" spans="1:37" ht="18" customHeight="1">
      <c r="A32" s="982" t="s">
        <v>397</v>
      </c>
      <c r="B32" s="302" t="s">
        <v>723</v>
      </c>
      <c r="C32" s="21">
        <f ca="1">IF(项目基本情况!B11="自然人","——",ROUND(C6*F32/(1+'数据-取费表'!C42),2))</f>
        <v>883.31</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1892.8</v>
      </c>
      <c r="D33" s="1370" t="s">
        <v>3322</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IF(项目基本情况!B11="自然人","——",ROUND(F34*F35/10000,2))</f>
        <v>14.58</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97179.41</v>
      </c>
      <c r="G35" s="1384"/>
      <c r="H35" s="2676"/>
      <c r="I35" s="1398"/>
      <c r="J35" s="1399"/>
      <c r="K35" s="2680"/>
      <c r="L35" s="2679"/>
      <c r="M35" s="2679"/>
    </row>
    <row r="36" spans="1:18" ht="18" customHeight="1">
      <c r="A36" s="1102" t="s">
        <v>402</v>
      </c>
      <c r="B36" s="302" t="s">
        <v>738</v>
      </c>
      <c r="C36" s="21">
        <f ca="1">ROUND(C29*F36,2)</f>
        <v>654.94000000000005</v>
      </c>
      <c r="D36" s="1344" t="s">
        <v>771</v>
      </c>
      <c r="E36" s="302" t="s">
        <v>712</v>
      </c>
      <c r="F36" s="328">
        <f ca="1">INDIRECT("'数据-取费表'!Ak"&amp;$G$1)</f>
        <v>5.0000000000000001E-3</v>
      </c>
      <c r="G36" s="1384"/>
      <c r="H36" s="2679"/>
      <c r="I36" s="1398"/>
      <c r="J36" s="1399"/>
      <c r="K36" s="2524"/>
      <c r="L36" s="2679"/>
      <c r="M36" s="2679"/>
    </row>
    <row r="37" spans="1:18" ht="18" customHeight="1">
      <c r="A37" s="982" t="s">
        <v>437</v>
      </c>
      <c r="B37" s="302" t="s">
        <v>742</v>
      </c>
      <c r="C37" s="21">
        <f ca="1">ROUND(C13*F37,2)</f>
        <v>113.96</v>
      </c>
      <c r="D37" s="1344" t="s">
        <v>743</v>
      </c>
      <c r="E37" s="302" t="s">
        <v>744</v>
      </c>
      <c r="F37" s="330">
        <f ca="1">INDIRECT("'数据-取费表'!Al"&amp;$G$1)</f>
        <v>1E-3</v>
      </c>
      <c r="G37" s="1384"/>
      <c r="H37" s="2679"/>
      <c r="I37" s="1398"/>
      <c r="J37" s="1399"/>
      <c r="K37" s="2524"/>
      <c r="L37" s="2679"/>
      <c r="M37" s="2679"/>
    </row>
    <row r="38" spans="1:18" ht="18" customHeight="1" thickBot="1">
      <c r="A38" s="1089" t="s">
        <v>684</v>
      </c>
      <c r="B38" s="1090" t="s">
        <v>728</v>
      </c>
      <c r="C38" s="1091">
        <f ca="1">ROUND(C5*F38,2)</f>
        <v>82.92</v>
      </c>
      <c r="D38" s="1092" t="s">
        <v>748</v>
      </c>
      <c r="E38" s="1090" t="s">
        <v>744</v>
      </c>
      <c r="F38" s="1086">
        <f ca="1">INDIRECT("'数据-取费表'!Am"&amp;$G$1)</f>
        <v>5.0000000000000001E-3</v>
      </c>
      <c r="G38" s="1384"/>
      <c r="H38" s="2679"/>
      <c r="I38" s="1398"/>
      <c r="J38" s="1399"/>
      <c r="K38" s="2683"/>
      <c r="L38" s="2679"/>
      <c r="M38" s="2679"/>
    </row>
    <row r="39" spans="1:18" ht="24.6" customHeight="1" thickTop="1">
      <c r="A39" s="1079" t="s">
        <v>394</v>
      </c>
      <c r="B39" s="1094" t="s">
        <v>772</v>
      </c>
      <c r="C39" s="310">
        <f ca="1">C5-C30</f>
        <v>12940</v>
      </c>
      <c r="D39" s="1095" t="s">
        <v>773</v>
      </c>
      <c r="E39" s="1096"/>
      <c r="F39" s="1097"/>
      <c r="G39" s="1384"/>
      <c r="H39" s="2679"/>
      <c r="I39" s="1398"/>
      <c r="J39" s="1399"/>
      <c r="K39" s="2683"/>
      <c r="L39" s="2679"/>
      <c r="M39" s="2679"/>
    </row>
    <row r="40" spans="1:18" ht="18" customHeight="1">
      <c r="A40" s="299" t="s">
        <v>395</v>
      </c>
      <c r="B40" s="300" t="s">
        <v>774</v>
      </c>
      <c r="C40" s="301">
        <f ca="1">ROUND(C39*(1-((1+F42)/(1+F40))^F41)/(F40-F42),0)</f>
        <v>269864</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34.06</v>
      </c>
      <c r="G41" s="1384"/>
      <c r="H41" s="1191"/>
      <c r="I41" s="1398"/>
      <c r="J41" s="1399"/>
      <c r="K41" s="2524"/>
      <c r="L41" s="1191"/>
      <c r="M41" s="1191"/>
    </row>
    <row r="42" spans="1:18" ht="18" customHeight="1">
      <c r="A42" s="308"/>
      <c r="B42" s="309"/>
      <c r="C42" s="310"/>
      <c r="D42" s="327"/>
      <c r="E42" s="302" t="s">
        <v>766</v>
      </c>
      <c r="F42" s="312">
        <f ca="1">INDIRECT("'数据-取费表'!v"&amp;$G$1)</f>
        <v>2.5000000000000001E-2</v>
      </c>
      <c r="G42" s="1384"/>
      <c r="H42" s="1191"/>
      <c r="I42" s="1398"/>
      <c r="J42" s="1399"/>
      <c r="K42" s="2524"/>
      <c r="L42" s="1191"/>
      <c r="M42" s="1191"/>
    </row>
    <row r="43" spans="1:18" ht="18" customHeight="1" thickBot="1">
      <c r="A43" s="334" t="s">
        <v>396</v>
      </c>
      <c r="B43" s="335" t="s">
        <v>776</v>
      </c>
      <c r="C43" s="336">
        <f ca="1">ROUND(C40*10000/F43,0)</f>
        <v>13842</v>
      </c>
      <c r="D43" s="337" t="s">
        <v>777</v>
      </c>
      <c r="E43" s="338" t="s">
        <v>778</v>
      </c>
      <c r="F43" s="339">
        <f ca="1">INDIRECT("'数据-取费表'!k"&amp;$G$1)</f>
        <v>194955.26</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-281817</v>
      </c>
      <c r="D46" s="1406" t="str">
        <f>C2</f>
        <v>万元</v>
      </c>
      <c r="E46" s="1400"/>
      <c r="F46" s="1400"/>
      <c r="I46" s="1407" t="s">
        <v>810</v>
      </c>
      <c r="J46" s="1408"/>
      <c r="K46" s="1409"/>
      <c r="L46" s="1410">
        <f ca="1">IF(M47="住宅",0,IF(L48&gt;J51,L60,J60))</f>
        <v>4462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3374</v>
      </c>
      <c r="K47" s="1416" t="s">
        <v>816</v>
      </c>
      <c r="L47" s="1417">
        <f ca="1">INDIRECT("'数据-取费表'!d"&amp;$G$1)</f>
        <v>50</v>
      </c>
      <c r="M47" s="1380" t="str">
        <f>IF(ISNUMBER(FIND("住宅",C1)),"住宅","非住宅")</f>
        <v>非住宅</v>
      </c>
      <c r="O47" s="1418" t="s">
        <v>403</v>
      </c>
      <c r="P47" s="1419" t="s">
        <v>817</v>
      </c>
      <c r="Q47" s="1420">
        <f ca="1">C40+J29</f>
        <v>269864</v>
      </c>
      <c r="R47" s="1420" t="s">
        <v>818</v>
      </c>
    </row>
    <row r="48" spans="1:18" s="1384" customFormat="1" ht="28.5" thickBot="1">
      <c r="A48" s="1110" t="s">
        <v>438</v>
      </c>
      <c r="B48" s="300" t="s">
        <v>692</v>
      </c>
      <c r="C48" s="1359">
        <f ca="1">C49+C53+C55</f>
        <v>0</v>
      </c>
      <c r="D48" s="1112"/>
      <c r="E48" s="1113"/>
      <c r="F48" s="962"/>
      <c r="G48" s="722"/>
      <c r="H48" s="723"/>
      <c r="I48" s="1421" t="s">
        <v>819</v>
      </c>
      <c r="J48" s="1422" t="s">
        <v>3375</v>
      </c>
      <c r="K48" s="1423" t="s">
        <v>820</v>
      </c>
      <c r="L48" s="1424">
        <f ca="1">INDIRECT("'数据-取费表'!f"&amp;$G$1)</f>
        <v>34.06</v>
      </c>
      <c r="O48" s="1418" t="s">
        <v>404</v>
      </c>
      <c r="P48" s="1419" t="s">
        <v>821</v>
      </c>
      <c r="Q48" s="1420">
        <f ca="1">J60</f>
        <v>4462</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v>2016</v>
      </c>
      <c r="K49" s="1423" t="s">
        <v>824</v>
      </c>
      <c r="L49" s="1427"/>
      <c r="O49" s="1428" t="s">
        <v>405</v>
      </c>
      <c r="P49" s="1419" t="s">
        <v>825</v>
      </c>
      <c r="Q49" s="1420">
        <f ca="1">C29</f>
        <v>130988</v>
      </c>
      <c r="R49" s="1420" t="s">
        <v>818</v>
      </c>
    </row>
    <row r="50" spans="1:18" s="1384" customFormat="1" ht="13.5" thickBot="1">
      <c r="A50" s="976"/>
      <c r="B50" s="979"/>
      <c r="C50" s="1118"/>
      <c r="D50" s="953"/>
      <c r="E50" s="1056" t="s">
        <v>697</v>
      </c>
      <c r="F50" s="1057">
        <f ca="1">F7</f>
        <v>194955.26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99104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34.06</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34.06</v>
      </c>
      <c r="K53" s="3659" t="s">
        <v>837</v>
      </c>
      <c r="L53" s="3660"/>
      <c r="O53" s="1418" t="s">
        <v>409</v>
      </c>
      <c r="P53" s="1419" t="s">
        <v>838</v>
      </c>
      <c r="Q53" s="1420">
        <f ca="1">Q47+Q48</f>
        <v>274326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113960</v>
      </c>
      <c r="D56" s="1447"/>
      <c r="E56" s="1448"/>
      <c r="F56" s="1440"/>
      <c r="I56" s="1449" t="s">
        <v>842</v>
      </c>
      <c r="J56" s="1450"/>
      <c r="K56" s="1421" t="s">
        <v>843</v>
      </c>
      <c r="L56" s="1424" t="str">
        <f ca="1">IF(L48&lt;J51,"——",L48-J53)</f>
        <v>——</v>
      </c>
      <c r="O56" s="1418" t="s">
        <v>403</v>
      </c>
      <c r="P56" s="1419" t="s">
        <v>817</v>
      </c>
      <c r="Q56" s="1420">
        <f ca="1">C40+J29</f>
        <v>269864</v>
      </c>
      <c r="R56" s="1420" t="s">
        <v>818</v>
      </c>
    </row>
    <row r="57" spans="1:18" s="1384" customFormat="1" ht="24.75" thickBot="1">
      <c r="A57" s="1451"/>
      <c r="B57" s="950" t="s">
        <v>767</v>
      </c>
      <c r="C57" s="238">
        <f ca="1">C29</f>
        <v>130988</v>
      </c>
      <c r="D57" s="1452"/>
      <c r="E57" s="1453"/>
      <c r="F57" s="1454"/>
      <c r="I57" s="1455" t="s">
        <v>844</v>
      </c>
      <c r="J57" s="1456">
        <f ca="1">IF(OR(M47="住宅",J51&lt;L48,J56="是"),"——",J51-L48)</f>
        <v>17.939999999999998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784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52395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4462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14.58</v>
      </c>
      <c r="D62" s="965" t="s">
        <v>786</v>
      </c>
      <c r="E62" s="950" t="s">
        <v>787</v>
      </c>
      <c r="F62" s="325">
        <f t="shared" si="0"/>
        <v>1.5</v>
      </c>
      <c r="I62" s="1462" t="s">
        <v>858</v>
      </c>
      <c r="J62" s="1463" t="s">
        <v>859</v>
      </c>
      <c r="K62" s="1463" t="s">
        <v>860</v>
      </c>
      <c r="L62" s="1463" t="s">
        <v>861</v>
      </c>
      <c r="M62" s="1464" t="s">
        <v>862</v>
      </c>
      <c r="O62" s="1418" t="s">
        <v>409</v>
      </c>
      <c r="P62" s="1419" t="s">
        <v>863</v>
      </c>
      <c r="Q62" s="1420">
        <f ca="1">Q56+Q57</f>
        <v>269864</v>
      </c>
      <c r="R62" s="1420" t="s">
        <v>410</v>
      </c>
    </row>
    <row r="63" spans="1:18" s="1384" customFormat="1" ht="13.5" thickBot="1">
      <c r="A63" s="326"/>
      <c r="B63" s="956"/>
      <c r="C63" s="26"/>
      <c r="D63" s="966"/>
      <c r="E63" s="950" t="s">
        <v>788</v>
      </c>
      <c r="F63" s="303">
        <f t="shared" ca="1" si="0"/>
        <v>97179.41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654.94000000000005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113.96</v>
      </c>
      <c r="D65" s="964" t="s">
        <v>743</v>
      </c>
      <c r="E65" s="950" t="s">
        <v>744</v>
      </c>
      <c r="F65" s="330">
        <f t="shared" ca="1" si="0"/>
        <v>1E-3</v>
      </c>
      <c r="I65" s="1462" t="s">
        <v>867</v>
      </c>
      <c r="J65" s="1463">
        <v>40</v>
      </c>
      <c r="K65" s="1463">
        <v>30</v>
      </c>
      <c r="L65" s="1463">
        <v>50</v>
      </c>
      <c r="M65" s="1465">
        <v>0.02</v>
      </c>
      <c r="O65" s="1418" t="s">
        <v>403</v>
      </c>
      <c r="P65" s="1419" t="s">
        <v>868</v>
      </c>
      <c r="Q65" s="1420">
        <f ca="1">C40+J29</f>
        <v>269864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-784</v>
      </c>
      <c r="D67" s="963" t="s">
        <v>753</v>
      </c>
      <c r="E67" s="968"/>
      <c r="F67" s="969"/>
      <c r="O67" s="1428" t="s">
        <v>405</v>
      </c>
      <c r="P67" s="1419" t="s">
        <v>850</v>
      </c>
      <c r="Q67" s="1466">
        <f ca="1">L51</f>
        <v>99104</v>
      </c>
      <c r="R67" s="1420" t="s">
        <v>870</v>
      </c>
    </row>
    <row r="68" spans="1:18" s="1384" customFormat="1" ht="16.5" thickBot="1">
      <c r="A68" s="947" t="s">
        <v>395</v>
      </c>
      <c r="B68" s="948" t="s">
        <v>774</v>
      </c>
      <c r="C68" s="301">
        <f ca="1">ROUND(C67*(1-((1+F70)/(1+F68))^F69)/(F68-F70),0)</f>
        <v>-11953</v>
      </c>
      <c r="D68" s="965" t="s">
        <v>758</v>
      </c>
      <c r="E68" s="950" t="s">
        <v>759</v>
      </c>
      <c r="F68" s="312">
        <f ca="1">F40</f>
        <v>5.5E-2</v>
      </c>
      <c r="O68" s="1428" t="s">
        <v>406</v>
      </c>
      <c r="P68" s="1467" t="s">
        <v>871</v>
      </c>
      <c r="Q68" s="1420">
        <f ca="1">ROUND(Q69-Q70*Q71,0)</f>
        <v>4963</v>
      </c>
      <c r="R68" s="1420" t="s">
        <v>414</v>
      </c>
    </row>
    <row r="69" spans="1:18" s="1384" customFormat="1" ht="13.5" thickBot="1">
      <c r="A69" s="951"/>
      <c r="B69" s="952"/>
      <c r="C69" s="306"/>
      <c r="D69" s="970" t="s">
        <v>762</v>
      </c>
      <c r="E69" s="950" t="s">
        <v>763</v>
      </c>
      <c r="F69" s="333">
        <f ca="1">F41</f>
        <v>34.06</v>
      </c>
      <c r="O69" s="1428" t="s">
        <v>411</v>
      </c>
      <c r="P69" s="1467" t="s">
        <v>872</v>
      </c>
      <c r="Q69" s="1420">
        <f ca="1">C39</f>
        <v>12940</v>
      </c>
      <c r="R69" s="1420" t="s">
        <v>818</v>
      </c>
    </row>
    <row r="70" spans="1:18" s="1384" customFormat="1" ht="13.5" thickBot="1">
      <c r="A70" s="954"/>
      <c r="B70" s="955"/>
      <c r="C70" s="310"/>
      <c r="D70" s="966"/>
      <c r="E70" s="950" t="s">
        <v>766</v>
      </c>
      <c r="F70" s="1054"/>
      <c r="O70" s="1428" t="s">
        <v>412</v>
      </c>
      <c r="P70" s="1467" t="s">
        <v>873</v>
      </c>
      <c r="Q70" s="1420">
        <f ca="1">C13</f>
        <v>113960</v>
      </c>
      <c r="R70" s="1420" t="s">
        <v>818</v>
      </c>
    </row>
    <row r="71" spans="1:18" s="1384" customFormat="1" ht="13.5" thickBot="1">
      <c r="A71" s="971" t="s">
        <v>396</v>
      </c>
      <c r="B71" s="972" t="s">
        <v>776</v>
      </c>
      <c r="C71" s="336">
        <f ca="1">ROUND(C68*10000/F71,0)</f>
        <v>-613</v>
      </c>
      <c r="D71" s="973" t="s">
        <v>777</v>
      </c>
      <c r="E71" s="974" t="s">
        <v>778</v>
      </c>
      <c r="F71" s="339">
        <f ca="1">F43</f>
        <v>194955.26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7977</v>
      </c>
      <c r="D75" s="1384"/>
      <c r="E75" s="1384"/>
      <c r="F75" s="1384"/>
      <c r="K75" s="1402"/>
      <c r="L75" s="1384"/>
      <c r="O75" s="1418" t="s">
        <v>409</v>
      </c>
      <c r="P75" s="1419" t="s">
        <v>838</v>
      </c>
      <c r="Q75" s="1420">
        <f ca="1">Q65+Q66</f>
        <v>269864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0.38400000000000001</v>
      </c>
    </row>
    <row r="80" spans="1:18">
      <c r="B80" s="340" t="s">
        <v>800</v>
      </c>
      <c r="C80" s="274">
        <f ca="1">ROUND(C75/C39,3)</f>
        <v>0.61599999999999999</v>
      </c>
    </row>
    <row r="81" spans="2:3">
      <c r="B81" s="270" t="s">
        <v>801</v>
      </c>
      <c r="C81" s="238"/>
    </row>
    <row r="82" spans="2:3">
      <c r="B82" s="273" t="s">
        <v>802</v>
      </c>
      <c r="C82" s="275">
        <f ca="1">1-C83</f>
        <v>0.57800000000000007</v>
      </c>
    </row>
    <row r="83" spans="2:3">
      <c r="B83" s="273" t="s">
        <v>803</v>
      </c>
      <c r="C83" s="274">
        <f ca="1">ROUND(C13/C40,3)</f>
        <v>0.42199999999999999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t="e">
        <f ca="1">ROUND(D2/10000,4)</f>
        <v>#DIV/0!</v>
      </c>
      <c r="C2" s="1387" t="s">
        <v>879</v>
      </c>
      <c r="D2" s="1471" t="e">
        <f ca="1">C40+J29+L46</f>
        <v>#DIV/0!</v>
      </c>
      <c r="E2" s="1388" t="s">
        <v>880</v>
      </c>
      <c r="F2" s="1389"/>
      <c r="G2" s="2685"/>
      <c r="H2" s="2674"/>
      <c r="I2" s="2674"/>
      <c r="J2" s="2674"/>
      <c r="K2" s="2675"/>
      <c r="L2" s="2674"/>
      <c r="M2" s="2674"/>
    </row>
    <row r="3" spans="1:37" ht="18" customHeight="1" thickBot="1">
      <c r="A3" s="1390" t="s">
        <v>881</v>
      </c>
      <c r="B3" s="1391">
        <f ca="1">IF(ISERROR(D2/F43),0,ROUND(D2/F43,0))</f>
        <v>0</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2088</v>
      </c>
      <c r="E6" s="302" t="s">
        <v>696</v>
      </c>
      <c r="F6" s="303">
        <f ca="1">INDIRECT("'数据-取费表'!u"&amp;$G$1)</f>
        <v>0</v>
      </c>
      <c r="G6" s="1384"/>
      <c r="H6" s="1069" t="s">
        <v>398</v>
      </c>
      <c r="I6" s="3656" t="s">
        <v>694</v>
      </c>
      <c r="J6" s="301">
        <f ca="1">ROUND(M6*M8*M7*(1-M9),0)</f>
        <v>0</v>
      </c>
      <c r="K6" s="1376" t="s">
        <v>2089</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7" t="s">
        <v>2292</v>
      </c>
      <c r="I31" s="1398"/>
      <c r="J31" s="1399"/>
      <c r="K31" s="2475"/>
      <c r="L31" s="2677"/>
      <c r="M31" s="267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3322</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IF(项目基本情况!B11="自然人","——",ROUND(F34*F35,0))</f>
        <v>0</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0</v>
      </c>
      <c r="D36" s="1344" t="s">
        <v>771</v>
      </c>
      <c r="E36" s="302" t="s">
        <v>712</v>
      </c>
      <c r="F36" s="328">
        <f ca="1">INDIRECT("'数据-取费表'!Ak"&amp;$G$1)</f>
        <v>0</v>
      </c>
      <c r="G36" s="1384"/>
      <c r="H36" s="2679"/>
      <c r="I36" s="1398"/>
      <c r="J36" s="1399"/>
      <c r="K36" s="2524"/>
      <c r="L36" s="2679"/>
      <c r="M36" s="2679"/>
    </row>
    <row r="37" spans="1:18" ht="18" customHeight="1">
      <c r="A37" s="982" t="s">
        <v>437</v>
      </c>
      <c r="B37" s="302" t="s">
        <v>742</v>
      </c>
      <c r="C37" s="21">
        <f ca="1">ROUND(C13*F37,0)</f>
        <v>0</v>
      </c>
      <c r="D37" s="1344" t="s">
        <v>743</v>
      </c>
      <c r="E37" s="302" t="s">
        <v>744</v>
      </c>
      <c r="F37" s="330">
        <f ca="1">INDIRECT("'数据-取费表'!Al"&amp;$G$1)</f>
        <v>0</v>
      </c>
      <c r="G37" s="1384"/>
      <c r="H37" s="2679"/>
      <c r="I37" s="1398"/>
      <c r="J37" s="1399"/>
      <c r="K37" s="2524"/>
      <c r="L37" s="2679"/>
      <c r="M37" s="2679"/>
    </row>
    <row r="38" spans="1:18" ht="18" customHeight="1" thickBot="1">
      <c r="A38" s="1089" t="s">
        <v>684</v>
      </c>
      <c r="B38" s="1090" t="s">
        <v>728</v>
      </c>
      <c r="C38" s="1091">
        <f ca="1">ROUND(C5*F38,0)</f>
        <v>0</v>
      </c>
      <c r="D38" s="1092" t="s">
        <v>748</v>
      </c>
      <c r="E38" s="1090" t="s">
        <v>744</v>
      </c>
      <c r="F38" s="1086">
        <f ca="1">INDIRECT("'数据-取费表'!Am"&amp;$G$1)</f>
        <v>0</v>
      </c>
      <c r="G38" s="1384"/>
      <c r="H38" s="2679"/>
      <c r="I38" s="1398"/>
      <c r="J38" s="1399"/>
      <c r="K38" s="2683"/>
      <c r="L38" s="2679"/>
      <c r="M38" s="2679"/>
    </row>
    <row r="39" spans="1:18" ht="24.6" customHeight="1" thickTop="1">
      <c r="A39" s="1079" t="s">
        <v>394</v>
      </c>
      <c r="B39" s="1094" t="s">
        <v>772</v>
      </c>
      <c r="C39" s="310">
        <f ca="1">C5-C30</f>
        <v>0</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4"/>
      <c r="L41" s="1191"/>
      <c r="M41" s="1191"/>
    </row>
    <row r="42" spans="1:18" ht="18" customHeight="1">
      <c r="A42" s="308"/>
      <c r="B42" s="309"/>
      <c r="C42" s="310"/>
      <c r="D42" s="327"/>
      <c r="E42" s="302" t="s">
        <v>766</v>
      </c>
      <c r="F42" s="312">
        <f ca="1">INDIRECT("'数据-取费表'!v"&amp;$G$1)</f>
        <v>0</v>
      </c>
      <c r="G42" s="1384"/>
      <c r="H42" s="1191"/>
      <c r="I42" s="1398"/>
      <c r="J42" s="1399"/>
      <c r="K42" s="252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3410" t="s">
        <v>3338</v>
      </c>
      <c r="B45" s="1400"/>
      <c r="C45" s="1472" t="e">
        <f ca="1">ROUND((C68-C40)/10000,4)</f>
        <v>#DIV/0!</v>
      </c>
      <c r="D45" s="3411" t="s">
        <v>3339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2421</v>
      </c>
      <c r="B1" s="2811"/>
      <c r="C1" s="2823"/>
      <c r="D1" s="2823"/>
      <c r="E1" s="2812"/>
      <c r="F1" s="2813"/>
      <c r="G1" s="2814"/>
      <c r="J1" s="2817" t="s">
        <v>2300</v>
      </c>
      <c r="K1" s="2818"/>
      <c r="L1" s="2818"/>
      <c r="M1" s="2818"/>
      <c r="N1" s="2818"/>
      <c r="O1" s="2818"/>
      <c r="P1" s="2818"/>
      <c r="Q1" s="2818"/>
      <c r="R1" s="2819"/>
      <c r="S1" s="2820"/>
      <c r="T1" s="2820"/>
      <c r="U1" s="2820"/>
    </row>
    <row r="2" spans="1:22" s="2832" customFormat="1" ht="13.15" customHeight="1">
      <c r="A2" s="1385" t="s">
        <v>2301</v>
      </c>
      <c r="B2" s="2822" t="e">
        <f>IF(D2="——",C40,C40+E2)</f>
        <v>#DIV/0!</v>
      </c>
      <c r="C2" s="2823" t="s">
        <v>2302</v>
      </c>
      <c r="D2" s="3422" t="s">
        <v>3345</v>
      </c>
      <c r="E2" s="3423"/>
      <c r="F2" s="2825"/>
      <c r="G2" s="2826"/>
      <c r="H2" s="2827"/>
      <c r="I2" s="2828"/>
      <c r="J2" s="3661" t="s">
        <v>2303</v>
      </c>
      <c r="K2" s="3662"/>
      <c r="L2" s="2829" t="s">
        <v>2304</v>
      </c>
      <c r="M2" s="2829" t="s">
        <v>2305</v>
      </c>
      <c r="N2" s="2829" t="s">
        <v>2306</v>
      </c>
      <c r="O2" s="2829" t="s">
        <v>2307</v>
      </c>
      <c r="P2" s="2829" t="s">
        <v>2308</v>
      </c>
      <c r="Q2" s="2830" t="s">
        <v>2309</v>
      </c>
      <c r="R2" s="2831" t="s">
        <v>2310</v>
      </c>
      <c r="S2" s="2820"/>
      <c r="T2" s="2820"/>
      <c r="U2" s="2820"/>
      <c r="V2" s="2828"/>
    </row>
    <row r="3" spans="1:22" s="2832" customFormat="1" ht="13.15" customHeight="1">
      <c r="A3" s="2833" t="s">
        <v>2311</v>
      </c>
      <c r="B3" s="2834" t="e">
        <f>ROUND(B2*10000/B4,0)</f>
        <v>#DIV/0!</v>
      </c>
      <c r="C3" s="2823" t="s">
        <v>2312</v>
      </c>
      <c r="D3" s="2823"/>
      <c r="E3" s="2824"/>
      <c r="F3" s="2825"/>
      <c r="G3" s="2826"/>
      <c r="H3" s="2827"/>
      <c r="I3" s="2828"/>
      <c r="J3" s="3663" t="s">
        <v>2313</v>
      </c>
      <c r="K3" s="3664"/>
      <c r="L3" s="2835"/>
      <c r="M3" s="2835"/>
      <c r="N3" s="2835"/>
      <c r="O3" s="2835"/>
      <c r="P3" s="2835"/>
      <c r="Q3" s="2836"/>
      <c r="R3" s="2837">
        <f>SUM(L3:Q3)</f>
        <v>0</v>
      </c>
      <c r="S3" s="2820"/>
      <c r="T3" s="2820"/>
      <c r="U3" s="2820"/>
      <c r="V3" s="2828"/>
    </row>
    <row r="4" spans="1:22" s="2832" customFormat="1" ht="13.15" customHeight="1">
      <c r="A4" s="2838" t="s">
        <v>2314</v>
      </c>
      <c r="B4" s="2839"/>
      <c r="C4" s="2823"/>
      <c r="D4" s="2823"/>
      <c r="E4" s="2824"/>
      <c r="F4" s="2825"/>
      <c r="G4" s="2826"/>
      <c r="H4" s="2827"/>
      <c r="I4" s="2828"/>
      <c r="J4" s="3663" t="s">
        <v>2315</v>
      </c>
      <c r="K4" s="3664"/>
      <c r="L4" s="2840"/>
      <c r="M4" s="2840"/>
      <c r="N4" s="2840"/>
      <c r="O4" s="2840"/>
      <c r="P4" s="2840"/>
      <c r="Q4" s="2841"/>
      <c r="R4" s="2842">
        <f>SUM(L4:Q4)</f>
        <v>0</v>
      </c>
      <c r="S4" s="2820"/>
      <c r="T4" s="2820"/>
      <c r="U4" s="2820"/>
      <c r="V4" s="2828"/>
    </row>
    <row r="5" spans="1:22" s="2832" customFormat="1" ht="13.15" customHeight="1" thickBot="1">
      <c r="A5" s="2843" t="s">
        <v>2316</v>
      </c>
      <c r="B5" s="2844"/>
      <c r="C5" s="2823"/>
      <c r="D5" s="2845"/>
      <c r="E5" s="2825"/>
      <c r="F5" s="2825"/>
      <c r="G5" s="2826"/>
      <c r="H5" s="2827"/>
      <c r="I5" s="2828"/>
      <c r="J5" s="2846" t="s">
        <v>2317</v>
      </c>
      <c r="K5" s="2847"/>
      <c r="L5" s="2847"/>
      <c r="M5" s="2848"/>
      <c r="N5" s="2848"/>
      <c r="O5" s="2848"/>
      <c r="P5" s="2848"/>
      <c r="Q5" s="2848"/>
      <c r="R5" s="2831">
        <f>SUM(R14,R19,R24,R25,R27,R28)</f>
        <v>0</v>
      </c>
      <c r="S5" s="2820"/>
      <c r="T5" s="2820" t="s">
        <v>2318</v>
      </c>
      <c r="U5" s="2820" t="e">
        <f>ROUND(R5*10000/365/R3,1)</f>
        <v>#DIV/0!</v>
      </c>
      <c r="V5" s="2828"/>
    </row>
    <row r="6" spans="1:22" s="2832" customFormat="1" ht="13.15" customHeight="1" thickBot="1">
      <c r="A6" s="3665" t="s">
        <v>2319</v>
      </c>
      <c r="B6" s="3666"/>
      <c r="C6" s="3667"/>
      <c r="D6" s="2849"/>
      <c r="E6" s="2850"/>
      <c r="F6" s="2851"/>
      <c r="G6" s="2852"/>
      <c r="H6" s="2827"/>
      <c r="I6" s="2828"/>
      <c r="J6" s="3668">
        <v>1</v>
      </c>
      <c r="K6" s="3669" t="s">
        <v>2320</v>
      </c>
      <c r="L6" s="2853" t="s">
        <v>2321</v>
      </c>
      <c r="M6" s="2854" t="s">
        <v>2322</v>
      </c>
      <c r="N6" s="2854" t="s">
        <v>2323</v>
      </c>
      <c r="O6" s="2854" t="s">
        <v>2324</v>
      </c>
      <c r="P6" s="2854" t="s">
        <v>2325</v>
      </c>
      <c r="Q6" s="2854" t="s">
        <v>2326</v>
      </c>
      <c r="R6" s="2837" t="s">
        <v>2327</v>
      </c>
      <c r="S6" s="2820"/>
      <c r="T6" s="2820" t="s">
        <v>2328</v>
      </c>
      <c r="U6" s="2820"/>
      <c r="V6" s="2828"/>
    </row>
    <row r="7" spans="1:22" s="2832" customFormat="1" ht="13.15" customHeight="1">
      <c r="A7" s="2855" t="s">
        <v>2329</v>
      </c>
      <c r="B7" s="2856"/>
      <c r="C7" s="2857"/>
      <c r="D7" s="2858">
        <f>SUM(D9,D10,D11,D17,0)</f>
        <v>0</v>
      </c>
      <c r="E7" s="2859" t="e">
        <f>E9+E10+E11+E17</f>
        <v>#DIV/0!</v>
      </c>
      <c r="F7" s="2860"/>
      <c r="G7" s="2861"/>
      <c r="H7" s="2827"/>
      <c r="I7" s="2828"/>
      <c r="J7" s="3668"/>
      <c r="K7" s="3670"/>
      <c r="L7" s="2862" t="s">
        <v>2330</v>
      </c>
      <c r="M7" s="2863"/>
      <c r="N7" s="2839"/>
      <c r="O7" s="2864"/>
      <c r="P7" s="2864"/>
      <c r="Q7" s="2865">
        <v>365</v>
      </c>
      <c r="R7" s="2866">
        <f>ROUND(M7*N7*O7*P7*Q7/10000,0)</f>
        <v>0</v>
      </c>
      <c r="S7" s="2820"/>
      <c r="T7" s="2820" t="s">
        <v>2331</v>
      </c>
      <c r="U7" s="2820"/>
      <c r="V7" s="2828"/>
    </row>
    <row r="8" spans="1:22" s="2832" customFormat="1" ht="13.15" customHeight="1">
      <c r="A8" s="2867" t="s">
        <v>2332</v>
      </c>
      <c r="B8" s="3672" t="s">
        <v>2333</v>
      </c>
      <c r="C8" s="3673"/>
      <c r="D8" s="2868" t="s">
        <v>2334</v>
      </c>
      <c r="E8" s="2869" t="s">
        <v>2335</v>
      </c>
      <c r="F8" s="2870" t="s">
        <v>2336</v>
      </c>
      <c r="G8" s="2871"/>
      <c r="H8" s="2827"/>
      <c r="I8" s="2828"/>
      <c r="J8" s="3668"/>
      <c r="K8" s="3670"/>
      <c r="L8" s="2862" t="s">
        <v>2337</v>
      </c>
      <c r="M8" s="2863"/>
      <c r="N8" s="2839"/>
      <c r="O8" s="2864"/>
      <c r="P8" s="2864"/>
      <c r="Q8" s="2865">
        <v>365</v>
      </c>
      <c r="R8" s="2866">
        <f t="shared" ref="R8:R13" si="0">ROUND(M8*N8*O8*P8*Q8/10000,0)</f>
        <v>0</v>
      </c>
      <c r="S8" s="2820"/>
      <c r="T8" s="2820" t="s">
        <v>2338</v>
      </c>
      <c r="U8" s="2820"/>
      <c r="V8" s="2828"/>
    </row>
    <row r="9" spans="1:22" s="2832" customFormat="1" ht="13.15" customHeight="1">
      <c r="A9" s="2867">
        <v>1</v>
      </c>
      <c r="B9" s="3672" t="s">
        <v>2339</v>
      </c>
      <c r="C9" s="3673"/>
      <c r="D9" s="2868">
        <f>ROUND(D6*E9,0)</f>
        <v>0</v>
      </c>
      <c r="E9" s="2872"/>
      <c r="F9" s="2873" t="s">
        <v>2340</v>
      </c>
      <c r="G9" s="2852"/>
      <c r="H9" s="2827"/>
      <c r="I9" s="2828"/>
      <c r="J9" s="3668"/>
      <c r="K9" s="3670"/>
      <c r="L9" s="2862" t="s">
        <v>2341</v>
      </c>
      <c r="M9" s="2863"/>
      <c r="N9" s="2839"/>
      <c r="O9" s="2864"/>
      <c r="P9" s="2864"/>
      <c r="Q9" s="2865">
        <v>365</v>
      </c>
      <c r="R9" s="2866">
        <f t="shared" si="0"/>
        <v>0</v>
      </c>
      <c r="S9" s="2820"/>
      <c r="T9" s="2820"/>
      <c r="U9" s="2820"/>
      <c r="V9" s="2828"/>
    </row>
    <row r="10" spans="1:22" s="2832" customFormat="1" ht="13.15" customHeight="1">
      <c r="A10" s="2867">
        <v>2</v>
      </c>
      <c r="B10" s="3672" t="s">
        <v>2342</v>
      </c>
      <c r="C10" s="3673"/>
      <c r="D10" s="2868">
        <f>ROUND(D6*E10,0)</f>
        <v>0</v>
      </c>
      <c r="E10" s="2872"/>
      <c r="F10" s="2873" t="s">
        <v>2343</v>
      </c>
      <c r="G10" s="2852"/>
      <c r="H10" s="2827"/>
      <c r="I10" s="2828"/>
      <c r="J10" s="3668"/>
      <c r="K10" s="3670"/>
      <c r="L10" s="2862" t="s">
        <v>2344</v>
      </c>
      <c r="M10" s="2863"/>
      <c r="N10" s="2839"/>
      <c r="O10" s="2864"/>
      <c r="P10" s="2864"/>
      <c r="Q10" s="2865">
        <v>365</v>
      </c>
      <c r="R10" s="2866">
        <f t="shared" si="0"/>
        <v>0</v>
      </c>
      <c r="S10" s="2820"/>
      <c r="T10" s="2820"/>
      <c r="U10" s="2820"/>
      <c r="V10" s="2828"/>
    </row>
    <row r="11" spans="1:22" s="2832" customFormat="1" ht="13.15" customHeight="1">
      <c r="A11" s="2867">
        <v>3</v>
      </c>
      <c r="B11" s="3672" t="s">
        <v>2345</v>
      </c>
      <c r="C11" s="3673"/>
      <c r="D11" s="2868">
        <f>D12+D14+D15+D16</f>
        <v>0</v>
      </c>
      <c r="E11" s="2874" t="e">
        <f>D11/D6</f>
        <v>#DIV/0!</v>
      </c>
      <c r="F11" s="2870"/>
      <c r="G11" s="2871"/>
      <c r="H11" s="2827"/>
      <c r="I11" s="2828"/>
      <c r="J11" s="3668"/>
      <c r="K11" s="3670"/>
      <c r="L11" s="2862" t="s">
        <v>2346</v>
      </c>
      <c r="M11" s="2863"/>
      <c r="N11" s="2839"/>
      <c r="O11" s="2864"/>
      <c r="P11" s="2864"/>
      <c r="Q11" s="2865">
        <v>365</v>
      </c>
      <c r="R11" s="2866">
        <f t="shared" si="0"/>
        <v>0</v>
      </c>
      <c r="S11" s="2820"/>
      <c r="T11" s="2820"/>
      <c r="U11" s="2820"/>
      <c r="V11" s="2828"/>
    </row>
    <row r="12" spans="1:22" s="2832" customFormat="1" ht="13.15" customHeight="1">
      <c r="A12" s="2875" t="s">
        <v>2347</v>
      </c>
      <c r="B12" s="3674" t="s">
        <v>2348</v>
      </c>
      <c r="C12" s="3675"/>
      <c r="D12" s="2876">
        <f>ROUND(D13*1.2%*(1-30%),0)</f>
        <v>0</v>
      </c>
      <c r="E12" s="2877">
        <v>1.2E-2</v>
      </c>
      <c r="F12" s="2870" t="s">
        <v>2349</v>
      </c>
      <c r="G12" s="2871"/>
      <c r="H12" s="2827"/>
      <c r="I12" s="2828"/>
      <c r="J12" s="3668"/>
      <c r="K12" s="3670"/>
      <c r="L12" s="2862" t="s">
        <v>2350</v>
      </c>
      <c r="M12" s="2863"/>
      <c r="N12" s="2839"/>
      <c r="O12" s="2864"/>
      <c r="P12" s="2864"/>
      <c r="Q12" s="2865">
        <v>365</v>
      </c>
      <c r="R12" s="2866">
        <f t="shared" si="0"/>
        <v>0</v>
      </c>
      <c r="S12" s="2820"/>
      <c r="T12" s="2820"/>
      <c r="U12" s="2820"/>
      <c r="V12" s="2828"/>
    </row>
    <row r="13" spans="1:22" s="2832" customFormat="1" ht="13.15" customHeight="1">
      <c r="A13" s="2875"/>
      <c r="B13" s="2878"/>
      <c r="C13" s="2879" t="s">
        <v>2351</v>
      </c>
      <c r="D13" s="2880"/>
      <c r="E13" s="2881"/>
      <c r="F13" s="2870"/>
      <c r="G13" s="2871"/>
      <c r="H13" s="2827"/>
      <c r="I13" s="2828"/>
      <c r="J13" s="3668"/>
      <c r="K13" s="3670"/>
      <c r="L13" s="2862" t="s">
        <v>2352</v>
      </c>
      <c r="M13" s="2863"/>
      <c r="N13" s="2839"/>
      <c r="O13" s="2864"/>
      <c r="P13" s="2864"/>
      <c r="Q13" s="2865">
        <v>365</v>
      </c>
      <c r="R13" s="2866">
        <f t="shared" si="0"/>
        <v>0</v>
      </c>
      <c r="S13" s="2820"/>
      <c r="T13" s="2820"/>
      <c r="U13" s="2820"/>
      <c r="V13" s="2828"/>
    </row>
    <row r="14" spans="1:22" s="2832" customFormat="1" ht="13.15" customHeight="1">
      <c r="A14" s="2875" t="s">
        <v>2353</v>
      </c>
      <c r="B14" s="3674" t="s">
        <v>2354</v>
      </c>
      <c r="C14" s="3675"/>
      <c r="D14" s="2876">
        <f>ROUND(E14*B5/10000,0)</f>
        <v>0</v>
      </c>
      <c r="E14" s="2865"/>
      <c r="F14" s="2870" t="s">
        <v>2355</v>
      </c>
      <c r="G14" s="2871"/>
      <c r="H14" s="2827"/>
      <c r="I14" s="2828"/>
      <c r="J14" s="3668"/>
      <c r="K14" s="3671"/>
      <c r="L14" s="2882" t="s">
        <v>2356</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2357</v>
      </c>
      <c r="B15" s="3674" t="s">
        <v>2358</v>
      </c>
      <c r="C15" s="3675"/>
      <c r="D15" s="2876">
        <f>ROUND(D6*E15,0)</f>
        <v>0</v>
      </c>
      <c r="E15" s="2877">
        <v>5.5E-2</v>
      </c>
      <c r="F15" s="2870" t="s">
        <v>2359</v>
      </c>
      <c r="G15" s="2852"/>
      <c r="H15" s="2827"/>
      <c r="I15" s="2828"/>
      <c r="J15" s="3668">
        <v>2</v>
      </c>
      <c r="K15" s="3669" t="s">
        <v>2360</v>
      </c>
      <c r="L15" s="2862" t="s">
        <v>2361</v>
      </c>
      <c r="M15" s="2863" t="s">
        <v>2362</v>
      </c>
      <c r="N15" s="2863" t="s">
        <v>2363</v>
      </c>
      <c r="O15" s="2864" t="s">
        <v>2364</v>
      </c>
      <c r="P15" s="2864" t="s">
        <v>2326</v>
      </c>
      <c r="Q15" s="2839" t="s">
        <v>2365</v>
      </c>
      <c r="R15" s="2886" t="s">
        <v>2327</v>
      </c>
      <c r="S15" s="2820"/>
      <c r="T15" s="2820"/>
      <c r="U15" s="2820"/>
      <c r="V15" s="2828"/>
    </row>
    <row r="16" spans="1:22" s="2832" customFormat="1" ht="13.15" customHeight="1">
      <c r="A16" s="2875" t="s">
        <v>2366</v>
      </c>
      <c r="B16" s="3674" t="s">
        <v>2367</v>
      </c>
      <c r="C16" s="3675"/>
      <c r="D16" s="2887">
        <f>D6*E16</f>
        <v>0</v>
      </c>
      <c r="E16" s="2888"/>
      <c r="F16" s="2873" t="s">
        <v>2368</v>
      </c>
      <c r="G16" s="2852"/>
      <c r="H16" s="2827"/>
      <c r="I16" s="2828"/>
      <c r="J16" s="3668"/>
      <c r="K16" s="3670"/>
      <c r="L16" s="2862" t="s">
        <v>2369</v>
      </c>
      <c r="M16" s="2863"/>
      <c r="N16" s="2863"/>
      <c r="O16" s="2864"/>
      <c r="P16" s="2865">
        <v>365</v>
      </c>
      <c r="Q16" s="2839"/>
      <c r="R16" s="2886">
        <f>ROUND(M16*N16*O16*P16/10000,0)</f>
        <v>0</v>
      </c>
      <c r="S16" s="2820"/>
      <c r="T16" s="2820"/>
      <c r="U16" s="2820"/>
      <c r="V16" s="2828"/>
    </row>
    <row r="17" spans="1:22" s="2832" customFormat="1" ht="13.15" customHeight="1" thickBot="1">
      <c r="A17" s="2889">
        <v>4</v>
      </c>
      <c r="B17" s="3676" t="s">
        <v>2370</v>
      </c>
      <c r="C17" s="3677"/>
      <c r="D17" s="2890">
        <f>ROUND(D6*E17,0)</f>
        <v>0</v>
      </c>
      <c r="E17" s="2891"/>
      <c r="F17" s="2892" t="s">
        <v>2371</v>
      </c>
      <c r="G17" s="2852"/>
      <c r="H17" s="2827"/>
      <c r="I17" s="2828"/>
      <c r="J17" s="3668"/>
      <c r="K17" s="3670"/>
      <c r="L17" s="2862" t="s">
        <v>2372</v>
      </c>
      <c r="M17" s="2863"/>
      <c r="N17" s="2863"/>
      <c r="O17" s="2864"/>
      <c r="P17" s="2865">
        <v>365</v>
      </c>
      <c r="Q17" s="2839"/>
      <c r="R17" s="2886">
        <f>ROUND(M17*N17*O17*P17/10000,0)</f>
        <v>0</v>
      </c>
      <c r="S17" s="2820"/>
      <c r="T17" s="2820"/>
      <c r="U17" s="2820"/>
      <c r="V17" s="2828"/>
    </row>
    <row r="18" spans="1:22" s="2832" customFormat="1" ht="13.15" customHeight="1" thickBot="1">
      <c r="A18" s="2855" t="s">
        <v>2373</v>
      </c>
      <c r="B18" s="2856"/>
      <c r="C18" s="2856"/>
      <c r="D18" s="2893">
        <f>ROUND(D6*E18,0)</f>
        <v>0</v>
      </c>
      <c r="E18" s="2894"/>
      <c r="F18" s="2895" t="s">
        <v>2374</v>
      </c>
      <c r="G18" s="2852"/>
      <c r="H18" s="2827"/>
      <c r="I18" s="2828"/>
      <c r="J18" s="3668"/>
      <c r="K18" s="3670"/>
      <c r="L18" s="2862" t="s">
        <v>2375</v>
      </c>
      <c r="M18" s="2863"/>
      <c r="N18" s="2863"/>
      <c r="O18" s="2864"/>
      <c r="P18" s="2865">
        <v>365</v>
      </c>
      <c r="Q18" s="2839"/>
      <c r="R18" s="2886">
        <f>ROUND(M18*N18*O18*P18/10000,0)</f>
        <v>0</v>
      </c>
      <c r="S18" s="2820"/>
      <c r="T18" s="2820"/>
      <c r="U18" s="2820"/>
      <c r="V18" s="2828"/>
    </row>
    <row r="19" spans="1:22" s="2832" customFormat="1" ht="13.15" customHeight="1" thickBot="1">
      <c r="A19" s="2896" t="s">
        <v>2376</v>
      </c>
      <c r="B19" s="2850"/>
      <c r="C19" s="2850"/>
      <c r="D19" s="2850"/>
      <c r="E19" s="2850"/>
      <c r="F19" s="2851"/>
      <c r="G19" s="2871"/>
      <c r="H19" s="2827"/>
      <c r="I19" s="2828"/>
      <c r="J19" s="3668"/>
      <c r="K19" s="3671"/>
      <c r="L19" s="2882" t="s">
        <v>2356</v>
      </c>
      <c r="M19" s="2883"/>
      <c r="N19" s="2883">
        <f>SUM(N16:N18)</f>
        <v>0</v>
      </c>
      <c r="O19" s="2884"/>
      <c r="P19" s="2897" t="s">
        <v>2420</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68">
        <v>3</v>
      </c>
      <c r="K20" s="3669" t="s">
        <v>2377</v>
      </c>
      <c r="L20" s="2862" t="s">
        <v>2378</v>
      </c>
      <c r="M20" s="2863" t="s">
        <v>2379</v>
      </c>
      <c r="N20" s="2900" t="s">
        <v>2380</v>
      </c>
      <c r="O20" s="2864" t="s">
        <v>2381</v>
      </c>
      <c r="P20" s="2865" t="s">
        <v>2382</v>
      </c>
      <c r="Q20" s="2839" t="s">
        <v>2383</v>
      </c>
      <c r="R20" s="2886" t="s">
        <v>2384</v>
      </c>
      <c r="S20" s="2901"/>
      <c r="T20" s="2901"/>
      <c r="U20" s="2901"/>
      <c r="V20" s="2828"/>
    </row>
    <row r="21" spans="1:22" s="2832" customFormat="1" ht="13.15" customHeight="1">
      <c r="A21" s="2855"/>
      <c r="B21" s="2856"/>
      <c r="C21" s="2902" t="s">
        <v>2385</v>
      </c>
      <c r="D21" s="2903" t="s">
        <v>2386</v>
      </c>
      <c r="E21" s="2904" t="s">
        <v>2387</v>
      </c>
      <c r="F21" s="2899"/>
      <c r="G21" s="2871"/>
      <c r="H21" s="2827"/>
      <c r="I21" s="2828"/>
      <c r="J21" s="3668"/>
      <c r="K21" s="3670"/>
      <c r="L21" s="2862" t="s">
        <v>2388</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2389</v>
      </c>
      <c r="D22" s="2907" t="s">
        <v>2390</v>
      </c>
      <c r="E22" s="2908" t="s">
        <v>2391</v>
      </c>
      <c r="F22" s="2899"/>
      <c r="G22" s="2909"/>
      <c r="H22" s="2827"/>
      <c r="I22" s="2828"/>
      <c r="J22" s="3668"/>
      <c r="K22" s="3670"/>
      <c r="L22" s="2862" t="s">
        <v>2392</v>
      </c>
      <c r="M22" s="2863"/>
      <c r="N22" s="2863"/>
      <c r="O22" s="2864"/>
      <c r="P22" s="2865">
        <v>365</v>
      </c>
      <c r="Q22" s="2839"/>
      <c r="R22" s="2905">
        <f>ROUND(M22*N22*O22*P22/10000,0)</f>
        <v>0</v>
      </c>
      <c r="S22" s="2901"/>
      <c r="T22" s="2901"/>
      <c r="U22" s="2901"/>
      <c r="V22" s="2828"/>
    </row>
    <row r="23" spans="1:22" s="2832" customFormat="1" ht="13.15" customHeight="1">
      <c r="A23" s="2910">
        <v>1</v>
      </c>
      <c r="B23" s="2911" t="s">
        <v>2393</v>
      </c>
      <c r="C23" s="2912">
        <f>D6</f>
        <v>0</v>
      </c>
      <c r="D23" s="2913">
        <f>C23*(1+D24)</f>
        <v>0</v>
      </c>
      <c r="E23" s="2914">
        <f>D23*(1+E24)</f>
        <v>0</v>
      </c>
      <c r="F23" s="2915"/>
      <c r="G23" s="2916"/>
      <c r="H23" s="2827"/>
      <c r="I23" s="2828"/>
      <c r="J23" s="3668"/>
      <c r="K23" s="3670"/>
      <c r="L23" s="2862" t="s">
        <v>2394</v>
      </c>
      <c r="M23" s="2863"/>
      <c r="N23" s="2863"/>
      <c r="O23" s="2864"/>
      <c r="P23" s="2865">
        <v>365</v>
      </c>
      <c r="Q23" s="2839"/>
      <c r="R23" s="2905">
        <f>ROUND(M23*N23*O23*P23/10000,0)</f>
        <v>0</v>
      </c>
      <c r="S23" s="2820"/>
      <c r="T23" s="2820"/>
      <c r="U23" s="2820"/>
      <c r="V23" s="2828"/>
    </row>
    <row r="24" spans="1:22" s="2832" customFormat="1" ht="13.15" customHeight="1">
      <c r="A24" s="2917"/>
      <c r="B24" s="2918" t="s">
        <v>2395</v>
      </c>
      <c r="C24" s="2919"/>
      <c r="D24" s="2920"/>
      <c r="E24" s="2921"/>
      <c r="F24" s="2922"/>
      <c r="G24" s="2916"/>
      <c r="H24" s="2827"/>
      <c r="I24" s="2828"/>
      <c r="J24" s="3668"/>
      <c r="K24" s="3671"/>
      <c r="L24" s="2882" t="s">
        <v>2356</v>
      </c>
      <c r="M24" s="2883">
        <f>SUM(M21:M23)</f>
        <v>0</v>
      </c>
      <c r="N24" s="2883"/>
      <c r="O24" s="2884"/>
      <c r="P24" s="2897" t="s">
        <v>2420</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2396</v>
      </c>
      <c r="L25" s="2925"/>
      <c r="M25" s="2925"/>
      <c r="N25" s="2925"/>
      <c r="O25" s="2925"/>
      <c r="P25" s="2926"/>
      <c r="Q25" s="2927">
        <v>0</v>
      </c>
      <c r="R25" s="2898">
        <f>ROUND(R14*Q25,0)</f>
        <v>0</v>
      </c>
      <c r="S25" s="2820"/>
      <c r="T25" s="2820"/>
      <c r="U25" s="2820"/>
      <c r="V25" s="2928"/>
    </row>
    <row r="26" spans="1:22" s="2929" customFormat="1" ht="13.15" customHeight="1">
      <c r="A26" s="2910">
        <v>2</v>
      </c>
      <c r="B26" s="2911" t="s">
        <v>2397</v>
      </c>
      <c r="C26" s="2912">
        <f>D7</f>
        <v>0</v>
      </c>
      <c r="D26" s="2913">
        <f>D23*D27</f>
        <v>0</v>
      </c>
      <c r="E26" s="2914">
        <f>E23*E27</f>
        <v>0</v>
      </c>
      <c r="F26" s="2915"/>
      <c r="G26" s="2916"/>
      <c r="H26" s="2827"/>
      <c r="I26" s="2828"/>
      <c r="J26" s="3678">
        <v>5</v>
      </c>
      <c r="K26" s="2930" t="s">
        <v>2398</v>
      </c>
      <c r="L26" s="2931"/>
      <c r="M26" s="2932"/>
      <c r="N26" s="2933" t="s">
        <v>2399</v>
      </c>
      <c r="O26" s="2933" t="s">
        <v>2400</v>
      </c>
      <c r="P26" s="2934" t="s">
        <v>2401</v>
      </c>
      <c r="Q26" s="2934" t="s">
        <v>2402</v>
      </c>
      <c r="R26" s="2837" t="s">
        <v>2327</v>
      </c>
      <c r="S26" s="2935"/>
      <c r="T26" s="2935"/>
      <c r="U26" s="2935"/>
      <c r="V26" s="2928"/>
    </row>
    <row r="27" spans="1:22" s="2832" customFormat="1" ht="13.15" customHeight="1">
      <c r="A27" s="2917"/>
      <c r="B27" s="2918" t="s">
        <v>2403</v>
      </c>
      <c r="C27" s="2936" t="e">
        <f>E7</f>
        <v>#DIV/0!</v>
      </c>
      <c r="D27" s="2920"/>
      <c r="E27" s="2921"/>
      <c r="F27" s="2922"/>
      <c r="G27" s="2916"/>
      <c r="H27" s="2937"/>
      <c r="I27" s="2928"/>
      <c r="J27" s="3679"/>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2404</v>
      </c>
      <c r="F28" s="2922"/>
      <c r="G28" s="2909"/>
      <c r="H28" s="2937"/>
      <c r="I28" s="2928"/>
      <c r="J28" s="2943">
        <v>6</v>
      </c>
      <c r="K28" s="2944" t="s">
        <v>2405</v>
      </c>
      <c r="L28" s="2945" t="s">
        <v>2406</v>
      </c>
      <c r="M28" s="2946"/>
      <c r="N28" s="2945" t="s">
        <v>2407</v>
      </c>
      <c r="O28" s="2947"/>
      <c r="P28" s="2945" t="s">
        <v>2408</v>
      </c>
      <c r="Q28" s="2948">
        <v>1.4999999999999999E-2</v>
      </c>
      <c r="R28" s="2949"/>
      <c r="S28" s="2901"/>
      <c r="T28" s="2901"/>
      <c r="U28" s="2901"/>
      <c r="V28" s="2928"/>
    </row>
    <row r="29" spans="1:22" s="2929" customFormat="1" ht="13.15" customHeight="1">
      <c r="A29" s="2910">
        <v>3</v>
      </c>
      <c r="B29" s="2911" t="s">
        <v>2409</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2403</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2410</v>
      </c>
      <c r="K31" s="2818"/>
      <c r="L31" s="2818"/>
      <c r="M31" s="2818"/>
      <c r="N31" s="2818"/>
      <c r="O31" s="2818"/>
      <c r="P31" s="2818"/>
      <c r="Q31" s="2818"/>
      <c r="R31" s="2819"/>
      <c r="S31" s="2901"/>
      <c r="T31" s="2820"/>
      <c r="U31" s="2820"/>
      <c r="V31" s="2928"/>
    </row>
    <row r="32" spans="1:22" s="2929" customFormat="1" ht="13.15" customHeight="1">
      <c r="A32" s="2910">
        <v>4</v>
      </c>
      <c r="B32" s="2911" t="s">
        <v>2411</v>
      </c>
      <c r="C32" s="2912">
        <f>C23-C26-C29</f>
        <v>0</v>
      </c>
      <c r="D32" s="2913">
        <f>D23-D26-D29</f>
        <v>0</v>
      </c>
      <c r="E32" s="2914">
        <f>E23-E26-E29</f>
        <v>0</v>
      </c>
      <c r="F32" s="2915"/>
      <c r="G32" s="2909"/>
      <c r="H32" s="2827"/>
      <c r="I32" s="2828"/>
      <c r="J32" s="3661" t="s">
        <v>2303</v>
      </c>
      <c r="K32" s="3662"/>
      <c r="L32" s="2829" t="s">
        <v>2304</v>
      </c>
      <c r="M32" s="2829" t="s">
        <v>2305</v>
      </c>
      <c r="N32" s="2829" t="s">
        <v>2306</v>
      </c>
      <c r="O32" s="2829" t="s">
        <v>2307</v>
      </c>
      <c r="P32" s="2829" t="s">
        <v>2308</v>
      </c>
      <c r="Q32" s="2830" t="s">
        <v>2309</v>
      </c>
      <c r="R32" s="2952" t="s">
        <v>2310</v>
      </c>
      <c r="S32" s="2901"/>
      <c r="T32" s="2820"/>
      <c r="U32" s="2820"/>
      <c r="V32" s="2928"/>
    </row>
    <row r="33" spans="1:23" s="2832" customFormat="1" ht="13.15" customHeight="1">
      <c r="A33" s="2910"/>
      <c r="B33" s="2911"/>
      <c r="C33" s="2912"/>
      <c r="D33" s="2953"/>
      <c r="E33" s="2954"/>
      <c r="F33" s="2915"/>
      <c r="G33" s="2909"/>
      <c r="H33" s="2937"/>
      <c r="I33" s="2928"/>
      <c r="J33" s="3663" t="s">
        <v>2313</v>
      </c>
      <c r="K33" s="3664"/>
      <c r="L33" s="2835"/>
      <c r="M33" s="2835"/>
      <c r="N33" s="2835"/>
      <c r="O33" s="2835"/>
      <c r="P33" s="2835"/>
      <c r="Q33" s="2836"/>
      <c r="R33" s="2955">
        <f>SUM(L33:Q33)</f>
        <v>0</v>
      </c>
      <c r="S33" s="2901"/>
      <c r="T33" s="2820"/>
      <c r="U33" s="2820"/>
      <c r="V33" s="2828"/>
    </row>
    <row r="34" spans="1:23" s="2832" customFormat="1" ht="13.15" customHeight="1">
      <c r="A34" s="2910">
        <v>5</v>
      </c>
      <c r="B34" s="2911" t="s">
        <v>2412</v>
      </c>
      <c r="C34" s="2956"/>
      <c r="D34" s="2957"/>
      <c r="E34" s="2958"/>
      <c r="F34" s="2915"/>
      <c r="G34" s="2909"/>
      <c r="H34" s="2937"/>
      <c r="I34" s="2928"/>
      <c r="J34" s="3663" t="s">
        <v>2315</v>
      </c>
      <c r="K34" s="3664"/>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2413</v>
      </c>
      <c r="C35" s="2960"/>
      <c r="D35" s="2961"/>
      <c r="E35" s="2962"/>
      <c r="F35" s="2915"/>
      <c r="G35" s="2963"/>
      <c r="H35" s="2827"/>
      <c r="I35" s="2928"/>
      <c r="J35" s="2846" t="s">
        <v>2317</v>
      </c>
      <c r="K35" s="2847"/>
      <c r="L35" s="2847"/>
      <c r="M35" s="2848"/>
      <c r="N35" s="2848"/>
      <c r="O35" s="2848"/>
      <c r="P35" s="2848"/>
      <c r="Q35" s="2848"/>
      <c r="R35" s="2964">
        <f>R40+R41+R43</f>
        <v>0</v>
      </c>
      <c r="S35" s="2901"/>
      <c r="T35" s="2820" t="s">
        <v>2318</v>
      </c>
      <c r="U35" s="2820"/>
      <c r="V35" s="2828"/>
    </row>
    <row r="36" spans="1:23" s="2832" customFormat="1" ht="13.15" customHeight="1" thickBot="1">
      <c r="A36" s="2910">
        <v>7</v>
      </c>
      <c r="B36" s="2965" t="s">
        <v>2414</v>
      </c>
      <c r="C36" s="2966"/>
      <c r="D36" s="2967"/>
      <c r="E36" s="2968"/>
      <c r="F36" s="2969">
        <f>C36+D36+E36</f>
        <v>0</v>
      </c>
      <c r="G36" s="2909"/>
      <c r="H36" s="2827"/>
      <c r="I36" s="2828"/>
      <c r="J36" s="3668">
        <v>1</v>
      </c>
      <c r="K36" s="3669" t="s">
        <v>2415</v>
      </c>
      <c r="L36" s="2853"/>
      <c r="M36" s="2854"/>
      <c r="N36" s="2854"/>
      <c r="O36" s="2854"/>
      <c r="P36" s="2854"/>
      <c r="Q36" s="2854"/>
      <c r="R36" s="2837" t="s">
        <v>2327</v>
      </c>
      <c r="S36" s="2901"/>
      <c r="T36" s="2820" t="s">
        <v>2328</v>
      </c>
      <c r="U36" s="2820"/>
      <c r="V36" s="2828"/>
    </row>
    <row r="37" spans="1:23" s="2832" customFormat="1" ht="13.15" customHeight="1">
      <c r="A37" s="2910"/>
      <c r="B37" s="2911"/>
      <c r="C37" s="2911"/>
      <c r="D37" s="2911"/>
      <c r="E37" s="2911"/>
      <c r="F37" s="2915"/>
      <c r="G37" s="2909"/>
      <c r="H37" s="2827"/>
      <c r="I37" s="2828"/>
      <c r="J37" s="3668"/>
      <c r="K37" s="3670"/>
      <c r="L37" s="2862"/>
      <c r="M37" s="2863"/>
      <c r="N37" s="2839"/>
      <c r="O37" s="2864"/>
      <c r="P37" s="2864"/>
      <c r="Q37" s="2865"/>
      <c r="R37" s="2866"/>
      <c r="S37" s="2901"/>
      <c r="T37" s="2820" t="s">
        <v>2331</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68"/>
      <c r="K38" s="3670"/>
      <c r="L38" s="2862"/>
      <c r="M38" s="2863"/>
      <c r="N38" s="2839"/>
      <c r="O38" s="2864"/>
      <c r="P38" s="2864"/>
      <c r="Q38" s="2865"/>
      <c r="R38" s="2866"/>
      <c r="S38" s="2901"/>
      <c r="T38" s="2820" t="s">
        <v>2338</v>
      </c>
      <c r="U38" s="2820"/>
      <c r="V38" s="2828"/>
    </row>
    <row r="39" spans="1:23" s="2832" customFormat="1" ht="13.15" customHeight="1">
      <c r="A39" s="2910">
        <v>9</v>
      </c>
      <c r="B39" s="2911" t="s">
        <v>2416</v>
      </c>
      <c r="C39" s="2876" t="e">
        <f>C38</f>
        <v>#DIV/0!</v>
      </c>
      <c r="D39" s="2911">
        <f>D38/(1+D34)^C36</f>
        <v>0</v>
      </c>
      <c r="E39" s="2911">
        <f>E38/(1+E34)^(C36+D36)</f>
        <v>0</v>
      </c>
      <c r="F39" s="2915"/>
      <c r="G39" s="2970"/>
      <c r="H39" s="2827"/>
      <c r="I39" s="2828"/>
      <c r="J39" s="3668"/>
      <c r="K39" s="3670"/>
      <c r="L39" s="2862"/>
      <c r="M39" s="2863"/>
      <c r="N39" s="2839"/>
      <c r="O39" s="2864"/>
      <c r="P39" s="2864"/>
      <c r="Q39" s="2865"/>
      <c r="R39" s="2866"/>
      <c r="S39" s="2901"/>
      <c r="T39" s="2820"/>
      <c r="U39" s="2820"/>
      <c r="V39" s="2828"/>
    </row>
    <row r="40" spans="1:23" s="2832" customFormat="1" ht="13.15" customHeight="1">
      <c r="A40" s="2971">
        <v>10</v>
      </c>
      <c r="B40" s="2911" t="s">
        <v>2417</v>
      </c>
      <c r="C40" s="2972" t="e">
        <f>C39+D39+E39</f>
        <v>#DIV/0!</v>
      </c>
      <c r="D40" s="2973"/>
      <c r="E40" s="2973"/>
      <c r="F40" s="2974"/>
      <c r="G40" s="2909"/>
      <c r="H40" s="2827"/>
      <c r="I40" s="2828"/>
      <c r="J40" s="3668"/>
      <c r="K40" s="3671"/>
      <c r="L40" s="2882" t="s">
        <v>2356</v>
      </c>
      <c r="M40" s="2883"/>
      <c r="N40" s="2883"/>
      <c r="O40" s="2884"/>
      <c r="P40" s="2884"/>
      <c r="Q40" s="2885"/>
      <c r="R40" s="2831">
        <f>SUM(R37:R39)</f>
        <v>0</v>
      </c>
      <c r="S40" s="2901"/>
      <c r="T40" s="2820"/>
      <c r="U40" s="2820"/>
      <c r="V40" s="2828"/>
    </row>
    <row r="41" spans="1:23" s="2832" customFormat="1" ht="13.15" customHeight="1" thickBot="1">
      <c r="A41" s="2975">
        <v>11</v>
      </c>
      <c r="B41" s="2976" t="s">
        <v>2418</v>
      </c>
      <c r="C41" s="2976" t="e">
        <f>ROUND(C40*10000/B4,0)</f>
        <v>#DIV/0!</v>
      </c>
      <c r="D41" s="2977"/>
      <c r="E41" s="2977"/>
      <c r="F41" s="2978"/>
      <c r="G41" s="2979"/>
      <c r="H41" s="2827"/>
      <c r="I41" s="2828"/>
      <c r="J41" s="2923">
        <v>2</v>
      </c>
      <c r="K41" s="2924" t="s">
        <v>2396</v>
      </c>
      <c r="L41" s="2925"/>
      <c r="M41" s="2925"/>
      <c r="N41" s="2925"/>
      <c r="O41" s="2925"/>
      <c r="P41" s="2926"/>
      <c r="Q41" s="2927"/>
      <c r="R41" s="2898">
        <f>ROUND(R40*Q41,0)</f>
        <v>0</v>
      </c>
      <c r="S41" s="2901"/>
      <c r="T41" s="2820"/>
      <c r="U41" s="2935"/>
      <c r="V41" s="2828"/>
    </row>
    <row r="42" spans="1:23" s="2832" customFormat="1" ht="13.15" customHeight="1">
      <c r="G42" s="2979"/>
      <c r="H42" s="2827"/>
      <c r="I42" s="2828"/>
      <c r="J42" s="3678">
        <v>3</v>
      </c>
      <c r="K42" s="2930" t="s">
        <v>2398</v>
      </c>
      <c r="L42" s="2931"/>
      <c r="M42" s="2932"/>
      <c r="N42" s="2933" t="s">
        <v>2399</v>
      </c>
      <c r="O42" s="2933" t="s">
        <v>2400</v>
      </c>
      <c r="P42" s="2934" t="s">
        <v>2401</v>
      </c>
      <c r="Q42" s="2934" t="s">
        <v>2402</v>
      </c>
      <c r="R42" s="2837" t="s">
        <v>2327</v>
      </c>
      <c r="S42" s="2935"/>
      <c r="T42" s="2935"/>
      <c r="U42" s="2820"/>
      <c r="V42" s="2828"/>
    </row>
    <row r="43" spans="1:23" ht="13.15" customHeight="1">
      <c r="A43" s="2832"/>
      <c r="B43" s="2832"/>
      <c r="C43" s="2832"/>
      <c r="D43" s="2832"/>
      <c r="E43" s="2832"/>
      <c r="F43" s="2832"/>
      <c r="I43" s="2815"/>
      <c r="J43" s="3679"/>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2405</v>
      </c>
      <c r="L44" s="2983" t="s">
        <v>2406</v>
      </c>
      <c r="M44" s="2946"/>
      <c r="N44" s="2983" t="s">
        <v>2407</v>
      </c>
      <c r="O44" s="2946"/>
      <c r="P44" s="2983" t="s">
        <v>2408</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34" sqref="N3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6"/>
      <c r="G1" s="1489"/>
      <c r="H1" s="1489"/>
      <c r="I1" s="1489"/>
      <c r="J1" s="1489"/>
      <c r="K1" s="1489"/>
      <c r="L1" s="1489"/>
      <c r="M1" s="1489"/>
      <c r="N1" s="1489"/>
      <c r="O1" s="1489"/>
      <c r="P1" s="1489"/>
      <c r="Q1" s="1489"/>
      <c r="R1" s="1489"/>
      <c r="S1" s="1489"/>
    </row>
    <row r="2" spans="1:22" ht="15.75">
      <c r="A2" s="1870" t="s">
        <v>1444</v>
      </c>
      <c r="B2" s="1871">
        <f ca="1">SUMIF(B6:B13,"&lt;&gt;#ref!",B6:B13)</f>
        <v>292636</v>
      </c>
      <c r="C2" s="1872" t="s">
        <v>1633</v>
      </c>
      <c r="D2" s="1873" t="s">
        <v>1634</v>
      </c>
      <c r="E2" s="2587">
        <f>SUM(E6:E13)</f>
        <v>219142.06</v>
      </c>
      <c r="F2" s="2686"/>
      <c r="G2" s="1489"/>
      <c r="H2" s="1489"/>
      <c r="I2" s="1489"/>
      <c r="J2" s="1489"/>
      <c r="K2" s="1489"/>
      <c r="L2" s="1489"/>
      <c r="M2" s="1489"/>
      <c r="N2" s="1489"/>
      <c r="O2" s="1489"/>
      <c r="P2" s="1489"/>
      <c r="Q2" s="1489"/>
      <c r="R2" s="1489"/>
      <c r="S2" s="1489"/>
    </row>
    <row r="3" spans="1:22" ht="15.75">
      <c r="A3" s="1870" t="s">
        <v>686</v>
      </c>
      <c r="B3" s="2581">
        <f ca="1">ROUND(B2*10000/E2,0)</f>
        <v>13354</v>
      </c>
      <c r="C3" s="1872" t="s">
        <v>1641</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3" t="s">
        <v>1635</v>
      </c>
      <c r="B5" s="3680" t="s">
        <v>1636</v>
      </c>
      <c r="C5" s="3681"/>
      <c r="D5" s="2687"/>
      <c r="E5" s="1874" t="s">
        <v>1637</v>
      </c>
      <c r="F5" s="1875" t="s">
        <v>1638</v>
      </c>
      <c r="G5" s="1489"/>
      <c r="H5" s="1489"/>
      <c r="I5" s="1489"/>
      <c r="J5" s="1489"/>
      <c r="K5" s="1489"/>
      <c r="L5" s="1489"/>
      <c r="M5" s="1489"/>
      <c r="N5" s="1489"/>
      <c r="O5" s="1489"/>
      <c r="P5" s="1489"/>
      <c r="Q5" s="1489"/>
      <c r="R5" s="1489"/>
      <c r="S5" s="1489"/>
    </row>
    <row r="6" spans="1:22">
      <c r="A6" s="2584" t="str">
        <f>'数据-取费表'!AN6</f>
        <v>收益法办公</v>
      </c>
      <c r="B6" s="2582">
        <f ca="1">IF(F6="是",'数据-取费表'!AO6,0)</f>
        <v>274326</v>
      </c>
      <c r="C6" s="1872" t="s">
        <v>1633</v>
      </c>
      <c r="D6" s="2688"/>
      <c r="E6" s="2586">
        <f>IF(OR(A6=0,F6="否"),0,'数据-取费表'!K6+'数据-取费表'!S6)</f>
        <v>196539.16</v>
      </c>
      <c r="F6" s="1876" t="s">
        <v>1639</v>
      </c>
      <c r="G6" s="1489"/>
      <c r="H6" s="1489"/>
      <c r="I6" s="1489"/>
      <c r="J6" s="1489"/>
      <c r="K6" s="1489"/>
      <c r="L6" s="1489"/>
      <c r="M6" s="1489"/>
      <c r="N6" s="1489"/>
      <c r="O6" s="1489"/>
      <c r="P6" s="1489"/>
      <c r="Q6" s="1489"/>
      <c r="R6" s="1489"/>
      <c r="S6" s="1489"/>
    </row>
    <row r="7" spans="1:22">
      <c r="A7" s="2584" t="str">
        <f>'数据-取费表'!AN7</f>
        <v>收益法宿舍</v>
      </c>
      <c r="B7" s="2582">
        <f ca="1">IF(F7="是",'数据-取费表'!AO7,0)</f>
        <v>18310</v>
      </c>
      <c r="C7" s="1872" t="s">
        <v>1633</v>
      </c>
      <c r="D7" s="2688"/>
      <c r="E7" s="2586">
        <f>IF(OR(A7=0,F7="否"),0,'数据-取费表'!K7+'数据-取费表'!S7)</f>
        <v>22602.899999999998</v>
      </c>
      <c r="F7" s="1876" t="s">
        <v>1639</v>
      </c>
      <c r="G7" s="1489"/>
      <c r="H7" s="1489"/>
      <c r="I7" s="1489"/>
      <c r="J7" s="1489"/>
      <c r="K7" s="1489"/>
      <c r="L7" s="1489"/>
      <c r="M7" s="1489"/>
      <c r="N7" s="1489"/>
      <c r="O7" s="1489"/>
      <c r="P7" s="1489"/>
      <c r="Q7" s="1489"/>
      <c r="R7" s="1489"/>
      <c r="S7" s="1489"/>
    </row>
    <row r="8" spans="1:22">
      <c r="A8" s="2584">
        <f>'数据-取费表'!AN8</f>
        <v>0</v>
      </c>
      <c r="B8" s="2582" t="e">
        <f ca="1">IF(F8="是",'数据-取费表'!AO8,0)</f>
        <v>#REF!</v>
      </c>
      <c r="C8" s="1872" t="s">
        <v>1633</v>
      </c>
      <c r="D8" s="2688"/>
      <c r="E8" s="2586">
        <f>IF(OR(A8=0,F8="否"),0,'数据-取费表'!K8+'数据-取费表'!S8)</f>
        <v>0</v>
      </c>
      <c r="F8" s="1876" t="s">
        <v>1639</v>
      </c>
      <c r="G8" s="1489"/>
      <c r="H8" s="1489"/>
      <c r="I8" s="1489"/>
      <c r="J8" s="1489"/>
      <c r="K8" s="1489"/>
      <c r="L8" s="1489"/>
      <c r="M8" s="1489"/>
      <c r="N8" s="1489"/>
      <c r="O8" s="1489"/>
      <c r="P8" s="1489"/>
      <c r="Q8" s="1489"/>
      <c r="R8" s="1489"/>
      <c r="S8" s="1489"/>
    </row>
    <row r="9" spans="1:22">
      <c r="A9" s="2584">
        <f>'数据-取费表'!AN9</f>
        <v>0</v>
      </c>
      <c r="B9" s="2582" t="e">
        <f ca="1">IF(F9="是",'数据-取费表'!AO9,0)</f>
        <v>#REF!</v>
      </c>
      <c r="C9" s="1872" t="s">
        <v>1633</v>
      </c>
      <c r="D9" s="2688"/>
      <c r="E9" s="2586">
        <f>IF(OR(A9=0,F9="否"),0,'数据-取费表'!K9+'数据-取费表'!S9)</f>
        <v>0</v>
      </c>
      <c r="F9" s="1876" t="s">
        <v>1639</v>
      </c>
      <c r="G9" s="1489"/>
      <c r="H9" s="1489"/>
      <c r="I9" s="1489"/>
      <c r="J9" s="1489"/>
      <c r="K9" s="1489"/>
      <c r="L9" s="1489"/>
      <c r="M9" s="1489"/>
      <c r="N9" s="1489"/>
      <c r="O9" s="1489"/>
      <c r="P9" s="1489"/>
      <c r="Q9" s="1489"/>
      <c r="R9" s="1489"/>
      <c r="S9" s="1489"/>
    </row>
    <row r="10" spans="1:22">
      <c r="A10" s="2584">
        <f>'数据-取费表'!AN10</f>
        <v>0</v>
      </c>
      <c r="B10" s="2582" t="e">
        <f ca="1">IF(F10="是",'数据-取费表'!AO10,0)</f>
        <v>#REF!</v>
      </c>
      <c r="C10" s="1872" t="s">
        <v>1633</v>
      </c>
      <c r="D10" s="2688"/>
      <c r="E10" s="2586">
        <f>IF(OR(A10=0,F10="否"),0,'数据-取费表'!K10+'数据-取费表'!S10)</f>
        <v>0</v>
      </c>
      <c r="F10" s="1876" t="s">
        <v>1639</v>
      </c>
      <c r="G10" s="1489"/>
      <c r="H10" s="1489"/>
      <c r="I10" s="1489"/>
      <c r="J10" s="1489"/>
      <c r="K10" s="1489"/>
      <c r="L10" s="1489"/>
      <c r="M10" s="1489"/>
      <c r="N10" s="1489"/>
      <c r="O10" s="1489"/>
      <c r="P10" s="1489"/>
      <c r="Q10" s="1489"/>
      <c r="R10" s="1489"/>
      <c r="S10" s="1489"/>
    </row>
    <row r="11" spans="1:22">
      <c r="A11" s="2584">
        <f>'数据-取费表'!AN11</f>
        <v>0</v>
      </c>
      <c r="B11" s="2582" t="e">
        <f ca="1">IF(F11="是",'数据-取费表'!AO11,0)</f>
        <v>#REF!</v>
      </c>
      <c r="C11" s="1872" t="s">
        <v>1633</v>
      </c>
      <c r="D11" s="2688"/>
      <c r="E11" s="2586">
        <f>IF(OR(A11=0,F11="否"),0,'数据-取费表'!K11+'数据-取费表'!S11)</f>
        <v>0</v>
      </c>
      <c r="F11" s="1876" t="s">
        <v>1639</v>
      </c>
      <c r="G11" s="1489"/>
      <c r="H11" s="1489"/>
      <c r="I11" s="1489"/>
      <c r="J11" s="1489"/>
      <c r="K11" s="1489"/>
      <c r="L11" s="1489"/>
      <c r="M11" s="1489"/>
      <c r="N11" s="1489"/>
      <c r="O11" s="1489"/>
      <c r="P11" s="1489"/>
      <c r="Q11" s="1489"/>
      <c r="R11" s="1489"/>
      <c r="S11" s="1489"/>
    </row>
    <row r="12" spans="1:22">
      <c r="A12" s="2584">
        <f>'数据-取费表'!AN12</f>
        <v>0</v>
      </c>
      <c r="B12" s="2582" t="e">
        <f ca="1">IF(F12="是",'数据-取费表'!AO12,0)</f>
        <v>#REF!</v>
      </c>
      <c r="C12" s="1872" t="s">
        <v>1633</v>
      </c>
      <c r="D12" s="2688"/>
      <c r="E12" s="2586">
        <f>IF(OR(A12=0,F12="否"),0,'数据-取费表'!K12+'数据-取费表'!S12)</f>
        <v>0</v>
      </c>
      <c r="F12" s="1876" t="s">
        <v>1639</v>
      </c>
      <c r="G12" s="1489"/>
      <c r="H12" s="1489"/>
      <c r="I12" s="1489"/>
      <c r="J12" s="1489"/>
      <c r="K12" s="1489"/>
      <c r="L12" s="1489"/>
      <c r="M12" s="1489"/>
      <c r="N12" s="1489"/>
      <c r="O12" s="1489"/>
      <c r="P12" s="1489"/>
      <c r="Q12" s="1489"/>
      <c r="R12" s="1489"/>
      <c r="S12" s="1489"/>
    </row>
    <row r="13" spans="1:22" ht="15" thickBot="1">
      <c r="A13" s="2585">
        <f>'数据-取费表'!AN13</f>
        <v>0</v>
      </c>
      <c r="B13" s="2582" t="e">
        <f ca="1">IF(F13="是",'数据-取费表'!AO13,0)</f>
        <v>#REF!</v>
      </c>
      <c r="C13" s="1877" t="s">
        <v>1633</v>
      </c>
      <c r="D13" s="2689"/>
      <c r="E13" s="2586">
        <f>IF(OR(A13=0,F13="否"),0,'数据-取费表'!K13+'数据-取费表'!S13)</f>
        <v>0</v>
      </c>
      <c r="F13" s="1876" t="s">
        <v>1639</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5"/>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219142.06</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1648</v>
      </c>
      <c r="B4" s="356"/>
      <c r="C4" s="3700" t="s">
        <v>1649</v>
      </c>
      <c r="D4" s="3701"/>
      <c r="E4" s="3702" t="s">
        <v>1650</v>
      </c>
      <c r="F4" s="3703"/>
      <c r="G4" s="3700" t="s">
        <v>1651</v>
      </c>
      <c r="H4" s="3701"/>
      <c r="I4" s="3700" t="s">
        <v>1652</v>
      </c>
      <c r="J4" s="3701"/>
      <c r="K4" s="1889" t="s">
        <v>1653</v>
      </c>
      <c r="L4" s="2694"/>
      <c r="M4" s="2695"/>
      <c r="N4" s="2695"/>
      <c r="O4" s="2695"/>
      <c r="P4" s="3704" t="s">
        <v>1654</v>
      </c>
      <c r="Q4" s="3705"/>
      <c r="R4" s="3687" t="s">
        <v>1650</v>
      </c>
      <c r="S4" s="3688"/>
      <c r="T4" s="3687" t="s">
        <v>1651</v>
      </c>
      <c r="U4" s="3688"/>
      <c r="V4" s="3712" t="s">
        <v>1652</v>
      </c>
      <c r="W4" s="3712"/>
      <c r="X4" s="1355"/>
      <c r="Y4" s="3687" t="s">
        <v>1654</v>
      </c>
      <c r="Z4" s="3688"/>
      <c r="AA4" s="3682" t="s">
        <v>1650</v>
      </c>
      <c r="AB4" s="3682" t="s">
        <v>1651</v>
      </c>
      <c r="AC4" s="3682" t="s">
        <v>1652</v>
      </c>
    </row>
    <row r="5" spans="1:29" ht="15">
      <c r="A5" s="358"/>
      <c r="B5" s="359"/>
      <c r="C5" s="3693" t="s">
        <v>1655</v>
      </c>
      <c r="D5" s="3694"/>
      <c r="E5" s="3691" t="s">
        <v>1656</v>
      </c>
      <c r="F5" s="3692"/>
      <c r="G5" s="3693" t="s">
        <v>1657</v>
      </c>
      <c r="H5" s="3694"/>
      <c r="I5" s="3693" t="s">
        <v>1658</v>
      </c>
      <c r="J5" s="3694"/>
      <c r="K5" s="1890"/>
      <c r="L5" s="2694"/>
      <c r="M5" s="2695"/>
      <c r="N5" s="2695"/>
      <c r="O5" s="2695"/>
      <c r="P5" s="3706"/>
      <c r="Q5" s="3707"/>
      <c r="R5" s="3689"/>
      <c r="S5" s="3690"/>
      <c r="T5" s="3689"/>
      <c r="U5" s="3690"/>
      <c r="V5" s="3712"/>
      <c r="W5" s="3712"/>
      <c r="X5" s="1355"/>
      <c r="Y5" s="3689"/>
      <c r="Z5" s="3690"/>
      <c r="AA5" s="3683"/>
      <c r="AB5" s="3683"/>
      <c r="AC5" s="3683"/>
    </row>
    <row r="6" spans="1:29" ht="15.75" thickBot="1">
      <c r="A6" s="360"/>
      <c r="B6" s="361"/>
      <c r="C6" s="3695" t="s">
        <v>1659</v>
      </c>
      <c r="D6" s="3696"/>
      <c r="E6" s="3697" t="s">
        <v>1659</v>
      </c>
      <c r="F6" s="3698"/>
      <c r="G6" s="3695" t="s">
        <v>1659</v>
      </c>
      <c r="H6" s="3696"/>
      <c r="I6" s="3695" t="s">
        <v>1659</v>
      </c>
      <c r="J6" s="3696"/>
      <c r="K6" s="1890" t="s">
        <v>1660</v>
      </c>
      <c r="L6" s="2694"/>
      <c r="M6" s="2695"/>
      <c r="N6" s="2695"/>
      <c r="O6" s="2695"/>
      <c r="P6" s="3708"/>
      <c r="Q6" s="3709"/>
      <c r="R6" s="3689"/>
      <c r="S6" s="3690"/>
      <c r="T6" s="3710"/>
      <c r="U6" s="3711"/>
      <c r="V6" s="3712"/>
      <c r="W6" s="3712"/>
      <c r="X6" s="1355"/>
      <c r="Y6" s="3710"/>
      <c r="Z6" s="3711"/>
      <c r="AA6" s="3684"/>
      <c r="AB6" s="3684"/>
      <c r="AC6" s="3684"/>
    </row>
    <row r="7" spans="1:29" s="108" customFormat="1" ht="15.75" thickBot="1">
      <c r="A7" s="362" t="s">
        <v>1661</v>
      </c>
      <c r="B7" s="363"/>
      <c r="C7" s="364">
        <f>'数据-取费表'!B2</f>
        <v>45421</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685" t="s">
        <v>1662</v>
      </c>
      <c r="Q7" s="3713"/>
      <c r="R7" s="701" t="s">
        <v>20</v>
      </c>
      <c r="S7" s="702">
        <f t="shared" ref="S7:S15" si="0">F7</f>
        <v>0</v>
      </c>
      <c r="T7" s="701" t="s">
        <v>20</v>
      </c>
      <c r="U7" s="702">
        <f t="shared" ref="U7:U15" si="1">H7</f>
        <v>0</v>
      </c>
      <c r="V7" s="701" t="s">
        <v>20</v>
      </c>
      <c r="W7" s="702">
        <f t="shared" ref="W7:W15" si="2">J7</f>
        <v>0</v>
      </c>
      <c r="X7" s="703"/>
      <c r="Y7" s="3685" t="s">
        <v>1662</v>
      </c>
      <c r="Z7" s="3686"/>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685" t="s">
        <v>1665</v>
      </c>
      <c r="Q8" s="3686"/>
      <c r="R8" s="701" t="s">
        <v>20</v>
      </c>
      <c r="S8" s="702">
        <f t="shared" si="0"/>
        <v>100</v>
      </c>
      <c r="T8" s="701" t="s">
        <v>20</v>
      </c>
      <c r="U8" s="702">
        <f t="shared" si="1"/>
        <v>100</v>
      </c>
      <c r="V8" s="701" t="s">
        <v>20</v>
      </c>
      <c r="W8" s="702">
        <f t="shared" si="2"/>
        <v>100</v>
      </c>
      <c r="X8" s="703"/>
      <c r="Y8" s="3685" t="s">
        <v>1665</v>
      </c>
      <c r="Z8" s="3686"/>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699" t="s">
        <v>1668</v>
      </c>
      <c r="Q9" s="1343" t="str">
        <f t="shared" ref="Q9:Q15" si="6">B9</f>
        <v>用途</v>
      </c>
      <c r="R9" s="701" t="s">
        <v>14</v>
      </c>
      <c r="S9" s="702">
        <f t="shared" si="0"/>
        <v>100</v>
      </c>
      <c r="T9" s="701" t="s">
        <v>14</v>
      </c>
      <c r="U9" s="702">
        <f t="shared" si="1"/>
        <v>100</v>
      </c>
      <c r="V9" s="701" t="s">
        <v>14</v>
      </c>
      <c r="W9" s="702">
        <f t="shared" si="2"/>
        <v>100</v>
      </c>
      <c r="X9" s="703"/>
      <c r="Y9" s="3629" t="s">
        <v>1669</v>
      </c>
      <c r="Z9" s="52" t="str">
        <f t="shared" ref="Z9:Z15" si="7">Q9</f>
        <v>用途</v>
      </c>
      <c r="AA9" s="704">
        <f t="shared" si="3"/>
        <v>1</v>
      </c>
      <c r="AB9" s="704">
        <f t="shared" si="4"/>
        <v>1</v>
      </c>
      <c r="AC9" s="704">
        <f t="shared" si="5"/>
        <v>1</v>
      </c>
    </row>
    <row r="10" spans="1:29" s="378" customFormat="1" ht="27">
      <c r="A10" s="374"/>
      <c r="B10" s="375" t="s">
        <v>1670</v>
      </c>
      <c r="C10" s="3413"/>
      <c r="D10" s="127">
        <v>100</v>
      </c>
      <c r="E10" s="3414"/>
      <c r="F10" s="376">
        <f>SUMIF(65:65,E10,66:66)-SUMIF(65:65,C10,66:66)+100</f>
        <v>100</v>
      </c>
      <c r="G10" s="3413"/>
      <c r="H10" s="127">
        <f>SUMIF(65:65,G10,66:66)-SUMIF(65:65,C10,66:66)+100</f>
        <v>100</v>
      </c>
      <c r="I10" s="3413"/>
      <c r="J10" s="127">
        <f>SUMIF(65:65,I10,66:66)-SUMIF(65:65,C10,66:66)+100</f>
        <v>100</v>
      </c>
      <c r="K10" s="1891"/>
      <c r="L10" s="2698"/>
      <c r="M10" s="2699"/>
      <c r="N10" s="2699"/>
      <c r="O10" s="269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699"/>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699"/>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699"/>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699"/>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1672</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726" t="s">
        <v>1673</v>
      </c>
      <c r="Q15" s="1352" t="str">
        <f t="shared" si="6"/>
        <v>居住社区成熟度</v>
      </c>
      <c r="R15" s="705" t="s">
        <v>18</v>
      </c>
      <c r="S15" s="706">
        <f t="shared" si="0"/>
        <v>100</v>
      </c>
      <c r="T15" s="705" t="s">
        <v>18</v>
      </c>
      <c r="U15" s="706">
        <f t="shared" si="1"/>
        <v>100</v>
      </c>
      <c r="V15" s="705" t="s">
        <v>18</v>
      </c>
      <c r="W15" s="706">
        <f t="shared" si="2"/>
        <v>100</v>
      </c>
      <c r="X15" s="1355"/>
      <c r="Y15" s="3719"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727"/>
      <c r="Q16" s="1352"/>
      <c r="R16" s="705"/>
      <c r="S16" s="706"/>
      <c r="T16" s="705"/>
      <c r="U16" s="706"/>
      <c r="V16" s="705"/>
      <c r="W16" s="706"/>
      <c r="X16" s="1355"/>
      <c r="Y16" s="3720"/>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727"/>
      <c r="Q18" s="1352"/>
      <c r="R18" s="705"/>
      <c r="S18" s="706"/>
      <c r="T18" s="705"/>
      <c r="U18" s="706"/>
      <c r="V18" s="705"/>
      <c r="W18" s="706"/>
      <c r="X18" s="1355"/>
      <c r="Y18" s="3720"/>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727"/>
      <c r="Q20" s="1352"/>
      <c r="R20" s="705"/>
      <c r="S20" s="706"/>
      <c r="T20" s="705"/>
      <c r="U20" s="706"/>
      <c r="V20" s="705"/>
      <c r="W20" s="706"/>
      <c r="X20" s="1355"/>
      <c r="Y20" s="3720"/>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727"/>
      <c r="Q22" s="1352"/>
      <c r="R22" s="705"/>
      <c r="S22" s="706"/>
      <c r="T22" s="705"/>
      <c r="U22" s="706"/>
      <c r="V22" s="705"/>
      <c r="W22" s="706"/>
      <c r="X22" s="1355"/>
      <c r="Y22" s="3720"/>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727"/>
      <c r="Q24" s="1352"/>
      <c r="R24" s="705"/>
      <c r="S24" s="706"/>
      <c r="T24" s="705"/>
      <c r="U24" s="706"/>
      <c r="V24" s="705"/>
      <c r="W24" s="706"/>
      <c r="X24" s="1355"/>
      <c r="Y24" s="3720"/>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721" t="s">
        <v>1678</v>
      </c>
      <c r="Q32" s="1352" t="str">
        <f t="shared" si="11"/>
        <v>建筑类型</v>
      </c>
      <c r="R32" s="705" t="s">
        <v>18</v>
      </c>
      <c r="S32" s="706">
        <f t="shared" si="12"/>
        <v>100</v>
      </c>
      <c r="T32" s="705" t="s">
        <v>18</v>
      </c>
      <c r="U32" s="706">
        <f t="shared" si="13"/>
        <v>100</v>
      </c>
      <c r="V32" s="705" t="s">
        <v>18</v>
      </c>
      <c r="W32" s="706">
        <f t="shared" si="14"/>
        <v>100</v>
      </c>
      <c r="X32" s="1355"/>
      <c r="Y32" s="3724"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722" t="s">
        <v>1678</v>
      </c>
      <c r="Q38" s="1352" t="str">
        <f t="shared" si="11"/>
        <v>物业管理</v>
      </c>
      <c r="R38" s="705" t="s">
        <v>18</v>
      </c>
      <c r="S38" s="706">
        <f t="shared" si="12"/>
        <v>100</v>
      </c>
      <c r="T38" s="705" t="s">
        <v>18</v>
      </c>
      <c r="U38" s="706">
        <f t="shared" si="13"/>
        <v>100</v>
      </c>
      <c r="V38" s="705" t="s">
        <v>18</v>
      </c>
      <c r="W38" s="706">
        <f t="shared" si="14"/>
        <v>100</v>
      </c>
      <c r="X38" s="1355"/>
      <c r="Y38" s="3724"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3"/>
      <c r="M47" s="2704"/>
      <c r="N47" s="2695"/>
      <c r="O47" s="2704"/>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1691</v>
      </c>
      <c r="B48" s="438"/>
      <c r="C48" s="1160" t="e">
        <f>R49</f>
        <v>#DIV/0!</v>
      </c>
      <c r="D48" s="2317" t="s">
        <v>2120</v>
      </c>
      <c r="E48" s="1161" t="e">
        <f>R48</f>
        <v>#DIV/0!</v>
      </c>
      <c r="F48" s="2318"/>
      <c r="G48" s="1160" t="e">
        <f>T48</f>
        <v>#DIV/0!</v>
      </c>
      <c r="H48" s="2318"/>
      <c r="I48" s="1161" t="e">
        <f>V48</f>
        <v>#DIV/0!</v>
      </c>
      <c r="J48" s="2318"/>
      <c r="K48" s="2319">
        <f>F48+H48+J48</f>
        <v>0</v>
      </c>
      <c r="L48" s="2703"/>
      <c r="M48" s="2704"/>
      <c r="N48" s="2704"/>
      <c r="O48" s="270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3"/>
      <c r="M49" s="2704"/>
      <c r="N49" s="2704"/>
      <c r="O49" s="270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5"/>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219142.06</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687" t="s">
        <v>1753</v>
      </c>
      <c r="S4" s="3688"/>
      <c r="T4" s="3687" t="s">
        <v>1754</v>
      </c>
      <c r="U4" s="3688"/>
      <c r="V4" s="3712" t="s">
        <v>1755</v>
      </c>
      <c r="W4" s="3712"/>
      <c r="X4" s="1355"/>
      <c r="Y4" s="3687" t="s">
        <v>1757</v>
      </c>
      <c r="Z4" s="3688"/>
      <c r="AA4" s="3682" t="s">
        <v>1753</v>
      </c>
      <c r="AB4" s="3712" t="s">
        <v>1754</v>
      </c>
      <c r="AC4" s="3682" t="s">
        <v>1755</v>
      </c>
    </row>
    <row r="5" spans="1:29" ht="15">
      <c r="A5" s="358"/>
      <c r="B5" s="359"/>
      <c r="C5" s="3693" t="s">
        <v>1655</v>
      </c>
      <c r="D5" s="3694"/>
      <c r="E5" s="3691" t="s">
        <v>1656</v>
      </c>
      <c r="F5" s="3692"/>
      <c r="G5" s="3693" t="s">
        <v>1657</v>
      </c>
      <c r="H5" s="3694"/>
      <c r="I5" s="3693" t="s">
        <v>1658</v>
      </c>
      <c r="J5" s="3694"/>
      <c r="K5" s="559"/>
      <c r="L5" s="2694"/>
      <c r="M5" s="2695"/>
      <c r="N5" s="2695"/>
      <c r="O5" s="2695"/>
      <c r="P5" s="3706"/>
      <c r="Q5" s="3707"/>
      <c r="R5" s="3689"/>
      <c r="S5" s="3690"/>
      <c r="T5" s="3689"/>
      <c r="U5" s="3690"/>
      <c r="V5" s="3712"/>
      <c r="W5" s="3712"/>
      <c r="X5" s="1355"/>
      <c r="Y5" s="3689"/>
      <c r="Z5" s="3690"/>
      <c r="AA5" s="3683"/>
      <c r="AB5" s="3712"/>
      <c r="AC5" s="3683"/>
    </row>
    <row r="6" spans="1:29" ht="15.75" thickBot="1">
      <c r="A6" s="360"/>
      <c r="B6" s="361"/>
      <c r="C6" s="3695" t="s">
        <v>1659</v>
      </c>
      <c r="D6" s="3696"/>
      <c r="E6" s="3697" t="s">
        <v>1659</v>
      </c>
      <c r="F6" s="3698"/>
      <c r="G6" s="3695" t="s">
        <v>1659</v>
      </c>
      <c r="H6" s="3696"/>
      <c r="I6" s="3695" t="s">
        <v>1659</v>
      </c>
      <c r="J6" s="3696"/>
      <c r="K6" s="559" t="s">
        <v>1660</v>
      </c>
      <c r="L6" s="2694"/>
      <c r="M6" s="2695"/>
      <c r="N6" s="2695"/>
      <c r="O6" s="2695"/>
      <c r="P6" s="3708"/>
      <c r="Q6" s="3709"/>
      <c r="R6" s="3689"/>
      <c r="S6" s="3690"/>
      <c r="T6" s="3710"/>
      <c r="U6" s="3711"/>
      <c r="V6" s="3712"/>
      <c r="W6" s="3712"/>
      <c r="X6" s="1355"/>
      <c r="Y6" s="3710"/>
      <c r="Z6" s="3711"/>
      <c r="AA6" s="3684"/>
      <c r="AB6" s="3712"/>
      <c r="AC6" s="3684"/>
    </row>
    <row r="7" spans="1:29" s="108" customFormat="1" ht="15.75" thickBot="1">
      <c r="A7" s="362" t="s">
        <v>1661</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696"/>
      <c r="M7" s="2697"/>
      <c r="N7" s="2697"/>
      <c r="O7" s="2697"/>
      <c r="P7" s="3685" t="s">
        <v>1662</v>
      </c>
      <c r="Q7" s="3713"/>
      <c r="R7" s="701" t="s">
        <v>14</v>
      </c>
      <c r="S7" s="702">
        <f t="shared" ref="S7:S15" si="0">F7</f>
        <v>0</v>
      </c>
      <c r="T7" s="701" t="s">
        <v>14</v>
      </c>
      <c r="U7" s="702">
        <f t="shared" ref="U7:U15" si="1">H7</f>
        <v>0</v>
      </c>
      <c r="V7" s="701" t="s">
        <v>14</v>
      </c>
      <c r="W7" s="702">
        <f t="shared" ref="W7:W15" si="2">J7</f>
        <v>0</v>
      </c>
      <c r="X7" s="703"/>
      <c r="Y7" s="3685" t="s">
        <v>1662</v>
      </c>
      <c r="Z7" s="3686"/>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685" t="s">
        <v>1665</v>
      </c>
      <c r="Q8" s="3686"/>
      <c r="R8" s="701" t="s">
        <v>14</v>
      </c>
      <c r="S8" s="702">
        <f t="shared" si="0"/>
        <v>100</v>
      </c>
      <c r="T8" s="701" t="s">
        <v>14</v>
      </c>
      <c r="U8" s="702">
        <f t="shared" si="1"/>
        <v>100</v>
      </c>
      <c r="V8" s="701" t="s">
        <v>14</v>
      </c>
      <c r="W8" s="702">
        <f t="shared" si="2"/>
        <v>100</v>
      </c>
      <c r="X8" s="703"/>
      <c r="Y8" s="3685" t="s">
        <v>1665</v>
      </c>
      <c r="Z8" s="3686"/>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699" t="s">
        <v>1668</v>
      </c>
      <c r="Q9" s="1343" t="str">
        <f t="shared" ref="Q9:Q15" si="6">B9</f>
        <v>用途</v>
      </c>
      <c r="R9" s="701" t="s">
        <v>14</v>
      </c>
      <c r="S9" s="702">
        <f t="shared" si="0"/>
        <v>100</v>
      </c>
      <c r="T9" s="701" t="s">
        <v>14</v>
      </c>
      <c r="U9" s="702">
        <f t="shared" si="1"/>
        <v>100</v>
      </c>
      <c r="V9" s="701" t="s">
        <v>14</v>
      </c>
      <c r="W9" s="702">
        <f t="shared" si="2"/>
        <v>100</v>
      </c>
      <c r="X9" s="703"/>
      <c r="Y9" s="3629" t="s">
        <v>1669</v>
      </c>
      <c r="Z9" s="52" t="str">
        <f t="shared" ref="Z9:Z15" si="7">Q9</f>
        <v>用途</v>
      </c>
      <c r="AA9" s="704">
        <f t="shared" si="3"/>
        <v>1</v>
      </c>
      <c r="AB9" s="704">
        <f t="shared" si="4"/>
        <v>1</v>
      </c>
      <c r="AC9" s="704">
        <f t="shared" si="5"/>
        <v>1</v>
      </c>
    </row>
    <row r="10" spans="1:29" s="378" customFormat="1" ht="27">
      <c r="A10" s="374"/>
      <c r="B10" s="375" t="s">
        <v>1670</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699"/>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1672</v>
      </c>
      <c r="B15" s="61" t="s">
        <v>1759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726" t="s">
        <v>1673</v>
      </c>
      <c r="Q15" s="1352" t="str">
        <f t="shared" si="6"/>
        <v>商业繁华度</v>
      </c>
      <c r="R15" s="705" t="s">
        <v>14</v>
      </c>
      <c r="S15" s="706">
        <f t="shared" si="0"/>
        <v>100</v>
      </c>
      <c r="T15" s="705" t="s">
        <v>14</v>
      </c>
      <c r="U15" s="706">
        <f t="shared" si="1"/>
        <v>100</v>
      </c>
      <c r="V15" s="705" t="s">
        <v>14</v>
      </c>
      <c r="W15" s="706">
        <f t="shared" si="2"/>
        <v>100</v>
      </c>
      <c r="X15" s="1355"/>
      <c r="Y15" s="3719"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727"/>
      <c r="Q16" s="1352"/>
      <c r="R16" s="705"/>
      <c r="S16" s="706"/>
      <c r="T16" s="705"/>
      <c r="U16" s="706"/>
      <c r="V16" s="705"/>
      <c r="W16" s="706"/>
      <c r="X16" s="1355"/>
      <c r="Y16" s="3720"/>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1"/>
      <c r="M18" s="2695"/>
      <c r="N18" s="2695"/>
      <c r="O18" s="2695"/>
      <c r="P18" s="3727"/>
      <c r="Q18" s="1352"/>
      <c r="R18" s="705"/>
      <c r="S18" s="706"/>
      <c r="T18" s="705"/>
      <c r="U18" s="706"/>
      <c r="V18" s="705"/>
      <c r="W18" s="706"/>
      <c r="X18" s="1355"/>
      <c r="Y18" s="3720"/>
      <c r="Z18" s="1356"/>
      <c r="AA18" s="1353">
        <v>1</v>
      </c>
      <c r="AB18" s="1353">
        <v>1</v>
      </c>
      <c r="AC18" s="1353">
        <v>1</v>
      </c>
    </row>
    <row r="19" spans="1:29" ht="42.75">
      <c r="A19" s="379"/>
      <c r="B19" s="402" t="s">
        <v>1760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1"/>
      <c r="M20" s="2695"/>
      <c r="N20" s="2695"/>
      <c r="O20" s="2695"/>
      <c r="P20" s="3727"/>
      <c r="Q20" s="1352"/>
      <c r="R20" s="705"/>
      <c r="S20" s="706"/>
      <c r="T20" s="705"/>
      <c r="U20" s="706"/>
      <c r="V20" s="705"/>
      <c r="W20" s="706"/>
      <c r="X20" s="1355"/>
      <c r="Y20" s="3720"/>
      <c r="Z20" s="1356"/>
      <c r="AA20" s="1353">
        <v>1</v>
      </c>
      <c r="AB20" s="1353">
        <v>1</v>
      </c>
      <c r="AC20" s="1353">
        <v>1</v>
      </c>
    </row>
    <row r="21" spans="1:29" ht="28.5">
      <c r="A21" s="379"/>
      <c r="B21" s="1131" t="s">
        <v>1761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1"/>
      <c r="M22" s="2695"/>
      <c r="N22" s="2695"/>
      <c r="O22" s="2695"/>
      <c r="P22" s="3727"/>
      <c r="Q22" s="1352"/>
      <c r="R22" s="705"/>
      <c r="S22" s="706"/>
      <c r="T22" s="705"/>
      <c r="U22" s="706"/>
      <c r="V22" s="705"/>
      <c r="W22" s="706"/>
      <c r="X22" s="1355"/>
      <c r="Y22" s="3720"/>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1"/>
      <c r="M24" s="2695"/>
      <c r="N24" s="2695"/>
      <c r="O24" s="2695"/>
      <c r="P24" s="3727"/>
      <c r="Q24" s="1352"/>
      <c r="R24" s="705"/>
      <c r="S24" s="706"/>
      <c r="T24" s="705"/>
      <c r="U24" s="706"/>
      <c r="V24" s="705"/>
      <c r="W24" s="706"/>
      <c r="X24" s="1355"/>
      <c r="Y24" s="3720"/>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721" t="s">
        <v>1678</v>
      </c>
      <c r="Q32" s="1352" t="str">
        <f t="shared" si="11"/>
        <v>商业类型</v>
      </c>
      <c r="R32" s="705" t="s">
        <v>14</v>
      </c>
      <c r="S32" s="706">
        <f t="shared" si="12"/>
        <v>100</v>
      </c>
      <c r="T32" s="705" t="s">
        <v>14</v>
      </c>
      <c r="U32" s="706">
        <f t="shared" si="13"/>
        <v>100</v>
      </c>
      <c r="V32" s="705" t="s">
        <v>14</v>
      </c>
      <c r="W32" s="706">
        <f t="shared" si="14"/>
        <v>100</v>
      </c>
      <c r="X32" s="1355"/>
      <c r="Y32" s="3724"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1"/>
      <c r="M34" s="2695"/>
      <c r="N34" s="2695"/>
      <c r="O34" s="2695"/>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1"/>
      <c r="M35" s="2695"/>
      <c r="N35" s="2695"/>
      <c r="O35" s="2695"/>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6"/>
      <c r="M37" s="2697"/>
      <c r="N37" s="2697"/>
      <c r="O37" s="2697"/>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722" t="s">
        <v>1678</v>
      </c>
      <c r="Q38" s="1352" t="str">
        <f t="shared" si="11"/>
        <v>业态</v>
      </c>
      <c r="R38" s="705" t="s">
        <v>14</v>
      </c>
      <c r="S38" s="706">
        <f t="shared" si="12"/>
        <v>100</v>
      </c>
      <c r="T38" s="705" t="s">
        <v>14</v>
      </c>
      <c r="U38" s="706">
        <f t="shared" si="13"/>
        <v>100</v>
      </c>
      <c r="V38" s="705" t="s">
        <v>14</v>
      </c>
      <c r="W38" s="706">
        <f t="shared" si="14"/>
        <v>100</v>
      </c>
      <c r="X38" s="1355"/>
      <c r="Y38" s="3724"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1"/>
      <c r="M39" s="2695"/>
      <c r="N39" s="2695"/>
      <c r="O39" s="2695"/>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1"/>
      <c r="M42" s="2695"/>
      <c r="N42" s="2695"/>
      <c r="O42" s="2695"/>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1"/>
      <c r="M43" s="2695"/>
      <c r="N43" s="2695"/>
      <c r="O43" s="2695"/>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3"/>
      <c r="M47" s="2704"/>
      <c r="N47" s="2695"/>
      <c r="O47" s="2704"/>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1775</v>
      </c>
      <c r="B48" s="438"/>
      <c r="C48" s="1160" t="e">
        <f>R49</f>
        <v>#DIV/0!</v>
      </c>
      <c r="D48" s="2317" t="s">
        <v>2120</v>
      </c>
      <c r="E48" s="1161" t="e">
        <f>R48</f>
        <v>#DIV/0!</v>
      </c>
      <c r="F48" s="2318"/>
      <c r="G48" s="1160" t="e">
        <f>T48</f>
        <v>#DIV/0!</v>
      </c>
      <c r="H48" s="2318"/>
      <c r="I48" s="1161" t="e">
        <f>V48</f>
        <v>#DIV/0!</v>
      </c>
      <c r="J48" s="2318"/>
      <c r="K48" s="2320">
        <f>F48+H48+J48</f>
        <v>0</v>
      </c>
      <c r="L48" s="2703"/>
      <c r="M48" s="2704"/>
      <c r="N48" s="2695"/>
      <c r="O48" s="270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3"/>
      <c r="M49" s="2704"/>
      <c r="N49" s="2695"/>
      <c r="O49" s="270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1780</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1661</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1"/>
      <c r="R59" s="2641"/>
      <c r="S59" s="2641"/>
      <c r="T59" s="2641"/>
      <c r="U59" s="2641"/>
      <c r="V59" s="2641"/>
      <c r="W59" s="2641"/>
      <c r="X59" s="2641"/>
      <c r="Y59" s="2641"/>
      <c r="Z59" s="2641"/>
      <c r="AA59" s="2641"/>
      <c r="AB59" s="2641"/>
      <c r="AC59" s="2641"/>
    </row>
    <row r="60" spans="1:29" s="108" customFormat="1" ht="15.75" thickBot="1">
      <c r="A60" s="464" t="s">
        <v>1698</v>
      </c>
      <c r="B60" s="465"/>
      <c r="C60" s="466"/>
      <c r="D60" s="467"/>
      <c r="E60" s="467"/>
      <c r="F60" s="467"/>
      <c r="G60" s="467"/>
      <c r="H60" s="467"/>
      <c r="I60" s="467"/>
      <c r="J60" s="467"/>
      <c r="K60" s="467"/>
      <c r="L60" s="467"/>
      <c r="M60" s="468"/>
      <c r="N60" s="467"/>
      <c r="O60" s="468"/>
      <c r="P60" s="2721"/>
      <c r="Q60" s="2718"/>
      <c r="R60" s="2641"/>
      <c r="S60" s="2641"/>
      <c r="T60" s="2641"/>
      <c r="U60" s="2641"/>
      <c r="V60" s="2641"/>
      <c r="W60" s="2641"/>
      <c r="X60" s="2641"/>
      <c r="Y60" s="2641"/>
      <c r="Z60" s="2641"/>
      <c r="AA60" s="2641"/>
      <c r="AB60" s="2641"/>
      <c r="AC60" s="2641"/>
    </row>
    <row r="61" spans="1:29" s="108" customFormat="1" ht="15">
      <c r="A61" s="470" t="s">
        <v>1663</v>
      </c>
      <c r="B61" s="459"/>
      <c r="C61" s="471" t="s">
        <v>1758</v>
      </c>
      <c r="D61" s="472"/>
      <c r="E61" s="472"/>
      <c r="F61" s="472"/>
      <c r="G61" s="472"/>
      <c r="H61" s="472"/>
      <c r="I61" s="472"/>
      <c r="J61" s="472"/>
      <c r="K61" s="472"/>
      <c r="L61" s="473"/>
      <c r="M61" s="474"/>
      <c r="N61" s="2731"/>
      <c r="O61" s="2731"/>
      <c r="P61" s="2722"/>
      <c r="Q61" s="2718"/>
      <c r="R61" s="2641"/>
      <c r="S61" s="2641"/>
      <c r="T61" s="2641"/>
      <c r="U61" s="2641"/>
      <c r="V61" s="2641"/>
      <c r="W61" s="2641"/>
      <c r="X61" s="2641"/>
      <c r="Y61" s="2641"/>
      <c r="Z61" s="2641"/>
      <c r="AA61" s="2641"/>
      <c r="AB61" s="2641"/>
      <c r="AC61" s="2641"/>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1"/>
      <c r="S62" s="2641"/>
      <c r="T62" s="2641"/>
      <c r="U62" s="2641"/>
      <c r="V62" s="2641"/>
      <c r="W62" s="2641"/>
      <c r="X62" s="2641"/>
      <c r="Y62" s="2641"/>
      <c r="Z62" s="2641"/>
      <c r="AA62" s="2641"/>
      <c r="AB62" s="2641"/>
      <c r="AC62" s="2641"/>
    </row>
    <row r="63" spans="1:29">
      <c r="A63" s="476" t="s">
        <v>1701</v>
      </c>
      <c r="B63" s="477" t="s">
        <v>1667</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1670</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1672</v>
      </c>
      <c r="B76" s="477" t="s">
        <v>1702</v>
      </c>
      <c r="C76" s="522" t="s">
        <v>1703</v>
      </c>
      <c r="D76" s="522" t="s">
        <v>1704</v>
      </c>
      <c r="E76" s="522" t="s">
        <v>1705</v>
      </c>
      <c r="F76" s="522" t="s">
        <v>1706</v>
      </c>
      <c r="G76" s="522" t="s">
        <v>1707</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1708</v>
      </c>
      <c r="C78" s="527" t="s">
        <v>1703</v>
      </c>
      <c r="D78" s="527" t="s">
        <v>1704</v>
      </c>
      <c r="E78" s="527" t="s">
        <v>1705</v>
      </c>
      <c r="F78" s="527" t="s">
        <v>1706</v>
      </c>
      <c r="G78" s="527" t="s">
        <v>1707</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1709</v>
      </c>
      <c r="C80" s="527" t="s">
        <v>1703</v>
      </c>
      <c r="D80" s="527" t="s">
        <v>1704</v>
      </c>
      <c r="E80" s="527" t="s">
        <v>1705</v>
      </c>
      <c r="F80" s="527" t="s">
        <v>1706</v>
      </c>
      <c r="G80" s="527" t="s">
        <v>1707</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1761</v>
      </c>
      <c r="C82" s="608" t="s">
        <v>1781</v>
      </c>
      <c r="D82" s="608" t="s">
        <v>1782</v>
      </c>
      <c r="E82" s="608" t="s">
        <v>1783</v>
      </c>
      <c r="F82" s="608" t="s">
        <v>1784</v>
      </c>
      <c r="G82" s="608" t="s">
        <v>1785</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1715</v>
      </c>
      <c r="C84" s="527" t="s">
        <v>1703</v>
      </c>
      <c r="D84" s="527" t="s">
        <v>1704</v>
      </c>
      <c r="E84" s="527" t="s">
        <v>1705</v>
      </c>
      <c r="F84" s="527" t="s">
        <v>1706</v>
      </c>
      <c r="G84" s="527" t="s">
        <v>1707</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1786</v>
      </c>
      <c r="C86" s="503"/>
      <c r="D86" s="503"/>
      <c r="E86" s="503"/>
      <c r="F86" s="503"/>
      <c r="G86" s="503"/>
      <c r="H86" s="503"/>
      <c r="I86" s="503"/>
      <c r="J86" s="503"/>
      <c r="K86" s="503"/>
      <c r="L86" s="529"/>
      <c r="M86" s="530"/>
      <c r="N86" s="2731"/>
      <c r="O86" s="2731"/>
      <c r="P86" s="2723"/>
      <c r="Q86" s="2718"/>
      <c r="R86" s="2641"/>
      <c r="S86" s="2641"/>
      <c r="T86" s="2641"/>
      <c r="U86" s="2641"/>
      <c r="V86" s="2641"/>
      <c r="W86" s="2641"/>
      <c r="X86" s="2641"/>
      <c r="Y86" s="2641"/>
      <c r="Z86" s="2641"/>
      <c r="AA86" s="2641"/>
      <c r="AB86" s="2641"/>
      <c r="AC86" s="264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1"/>
      <c r="S87" s="2641"/>
      <c r="T87" s="2641"/>
      <c r="U87" s="2641"/>
      <c r="V87" s="2641"/>
      <c r="W87" s="2641"/>
      <c r="X87" s="2641"/>
      <c r="Y87" s="2641"/>
      <c r="Z87" s="2641"/>
      <c r="AA87" s="2641"/>
      <c r="AB87" s="2641"/>
      <c r="AC87" s="2641"/>
    </row>
    <row r="88" spans="1:29" s="108" customFormat="1" ht="15.75" thickTop="1">
      <c r="A88" s="528"/>
      <c r="B88" s="487" t="str">
        <f>B26</f>
        <v>平面位置/可视性</v>
      </c>
      <c r="C88" s="503"/>
      <c r="D88" s="503"/>
      <c r="E88" s="503"/>
      <c r="F88" s="1927"/>
      <c r="G88" s="503"/>
      <c r="H88" s="503"/>
      <c r="I88" s="503"/>
      <c r="J88" s="503"/>
      <c r="K88" s="503"/>
      <c r="L88" s="503"/>
      <c r="M88" s="530"/>
      <c r="N88" s="2731"/>
      <c r="O88" s="2731"/>
      <c r="P88" s="2723"/>
      <c r="Q88" s="2718"/>
      <c r="R88" s="2641"/>
      <c r="S88" s="2641"/>
      <c r="T88" s="2641"/>
      <c r="U88" s="2641"/>
      <c r="V88" s="2641"/>
      <c r="W88" s="2641"/>
      <c r="X88" s="2641"/>
      <c r="Y88" s="2641"/>
      <c r="Z88" s="2641"/>
      <c r="AA88" s="2641"/>
      <c r="AB88" s="2641"/>
      <c r="AC88" s="2641"/>
    </row>
    <row r="89" spans="1:29" s="108" customFormat="1" ht="15.75" thickBot="1">
      <c r="A89" s="528"/>
      <c r="B89" s="492"/>
      <c r="C89" s="509"/>
      <c r="D89" s="485"/>
      <c r="E89" s="485"/>
      <c r="F89" s="485"/>
      <c r="G89" s="485"/>
      <c r="H89" s="485"/>
      <c r="I89" s="485"/>
      <c r="J89" s="485"/>
      <c r="K89" s="485"/>
      <c r="L89" s="485"/>
      <c r="M89" s="485"/>
      <c r="N89" s="2733"/>
      <c r="O89" s="2733"/>
      <c r="P89" s="2723"/>
      <c r="Q89" s="2718"/>
      <c r="R89" s="2641"/>
      <c r="S89" s="2641"/>
      <c r="T89" s="2641"/>
      <c r="U89" s="2641"/>
      <c r="V89" s="2641"/>
      <c r="W89" s="2641"/>
      <c r="X89" s="2641"/>
      <c r="Y89" s="2641"/>
      <c r="Z89" s="2641"/>
      <c r="AA89" s="2641"/>
      <c r="AB89" s="2641"/>
      <c r="AC89" s="2641"/>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1676</v>
      </c>
      <c r="B100" s="477" t="s">
        <v>1787</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1720</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1722</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1724</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1788</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1789</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1790</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1791</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1726</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估价对象为北京市房地产，为所有。根据《国有土地使用证》[]，估价对象（分摊）出让国有建设用地使用权面积为108355.49平方米，建筑面积为219142.06平方米。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估价对象为北京市房地产,属开发建设的，该项目尚在开发建设中。根据《国有土地使用证》[]，估价对象（分摊）出让国有建设用地使用权面积为108355.49平方米，规划建筑面积为219142.06平方米。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AD37" sqref="AD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1792</v>
      </c>
      <c r="C1" s="1224" t="s">
        <v>1644</v>
      </c>
      <c r="D1" s="1225" t="s">
        <v>3444</v>
      </c>
      <c r="E1" s="3412" t="s">
        <v>4954</v>
      </c>
      <c r="F1" s="1879" t="s">
        <v>4955</v>
      </c>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e">
        <f>IF(E1="项目模式",IF(C2="——",ROUND(C50*D3/10000,0),ROUND(C50*D3/10000,0)-D2),IF(E1="单套模式",IF(C2="——",ROUND(C50*D3/10000,4),ROUND(C50*D3/10000,4)-D2)))</f>
        <v>#DIV/0!</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1446</v>
      </c>
      <c r="B3" s="558" t="e">
        <f>IF(C2="——",C50,ROUND(B2*10000/D3,0))</f>
        <v>#DIV/0!</v>
      </c>
      <c r="C3" s="354" t="s">
        <v>1750</v>
      </c>
      <c r="D3" s="353">
        <f>IF(D1="",'数据-汇总表'!E3,SUMIF('数据-汇总表'!$C19:$C33,D1,'数据-汇总表'!$E19:$E33))</f>
        <v>194955.26</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34" t="s">
        <v>1757</v>
      </c>
      <c r="Q4" s="3735"/>
      <c r="R4" s="3729" t="s">
        <v>1753</v>
      </c>
      <c r="S4" s="3730"/>
      <c r="T4" s="3729" t="s">
        <v>1754</v>
      </c>
      <c r="U4" s="3730"/>
      <c r="V4" s="3738" t="s">
        <v>1755</v>
      </c>
      <c r="W4" s="3738"/>
      <c r="X4" s="1958"/>
      <c r="Y4" s="3729" t="s">
        <v>1757</v>
      </c>
      <c r="Z4" s="3730"/>
      <c r="AA4" s="3728" t="s">
        <v>1753</v>
      </c>
      <c r="AB4" s="3728" t="s">
        <v>1754</v>
      </c>
      <c r="AC4" s="3731" t="s">
        <v>1755</v>
      </c>
    </row>
    <row r="5" spans="1:29" ht="15">
      <c r="A5" s="358"/>
      <c r="B5" s="359"/>
      <c r="C5" s="3693" t="s">
        <v>1655</v>
      </c>
      <c r="D5" s="3694"/>
      <c r="E5" s="3691" t="s">
        <v>1656</v>
      </c>
      <c r="F5" s="3692"/>
      <c r="G5" s="3693" t="s">
        <v>1657</v>
      </c>
      <c r="H5" s="3694"/>
      <c r="I5" s="3693" t="s">
        <v>1658</v>
      </c>
      <c r="J5" s="3694"/>
      <c r="K5" s="559"/>
      <c r="L5" s="2694"/>
      <c r="M5" s="2695"/>
      <c r="N5" s="2695"/>
      <c r="O5" s="2695"/>
      <c r="P5" s="3736"/>
      <c r="Q5" s="3707"/>
      <c r="R5" s="3689"/>
      <c r="S5" s="3690"/>
      <c r="T5" s="3689"/>
      <c r="U5" s="3690"/>
      <c r="V5" s="3712"/>
      <c r="W5" s="3712"/>
      <c r="X5" s="1355"/>
      <c r="Y5" s="3689"/>
      <c r="Z5" s="3690"/>
      <c r="AA5" s="3683"/>
      <c r="AB5" s="3683"/>
      <c r="AC5" s="3732"/>
    </row>
    <row r="6" spans="1:29" ht="15.75" thickBot="1">
      <c r="A6" s="360"/>
      <c r="B6" s="361"/>
      <c r="C6" s="3695" t="s">
        <v>1659</v>
      </c>
      <c r="D6" s="3696"/>
      <c r="E6" s="3697" t="s">
        <v>1659</v>
      </c>
      <c r="F6" s="3698"/>
      <c r="G6" s="3695" t="s">
        <v>1659</v>
      </c>
      <c r="H6" s="3696"/>
      <c r="I6" s="3695" t="s">
        <v>1659</v>
      </c>
      <c r="J6" s="3696"/>
      <c r="K6" s="559" t="s">
        <v>1660</v>
      </c>
      <c r="L6" s="2694"/>
      <c r="M6" s="2695"/>
      <c r="N6" s="2695"/>
      <c r="O6" s="2695"/>
      <c r="P6" s="3737"/>
      <c r="Q6" s="3709"/>
      <c r="R6" s="3689"/>
      <c r="S6" s="3690"/>
      <c r="T6" s="3710"/>
      <c r="U6" s="3711"/>
      <c r="V6" s="3712"/>
      <c r="W6" s="3712"/>
      <c r="X6" s="1355"/>
      <c r="Y6" s="3710"/>
      <c r="Z6" s="3711"/>
      <c r="AA6" s="3684"/>
      <c r="AB6" s="3684"/>
      <c r="AC6" s="3733"/>
    </row>
    <row r="7" spans="1:29" s="108" customFormat="1" ht="15.75" thickBot="1">
      <c r="A7" s="362" t="s">
        <v>1661</v>
      </c>
      <c r="B7" s="363"/>
      <c r="C7" s="364">
        <f>'数据-取费表'!B2</f>
        <v>45421</v>
      </c>
      <c r="D7" s="365">
        <v>100</v>
      </c>
      <c r="E7" s="366"/>
      <c r="F7" s="367">
        <f>SUMIF(59:59,YEAR(E7)&amp;"-"&amp;MONTH(E7),60:60)</f>
        <v>0</v>
      </c>
      <c r="G7" s="366"/>
      <c r="H7" s="365">
        <f>SUMIF(59:59,YEAR(G7)&amp;"-"&amp;MONTH(G7),60:60)</f>
        <v>0</v>
      </c>
      <c r="I7" s="366"/>
      <c r="J7" s="365">
        <f>SUMIF(59:59,YEAR(I7)&amp;"-"&amp;MONTH(I7),60:60)</f>
        <v>0</v>
      </c>
      <c r="K7" s="560"/>
      <c r="L7" s="2696"/>
      <c r="M7" s="2697"/>
      <c r="N7" s="2697"/>
      <c r="O7" s="2697"/>
      <c r="P7" s="3739" t="s">
        <v>1662</v>
      </c>
      <c r="Q7" s="3713"/>
      <c r="R7" s="701" t="s">
        <v>14</v>
      </c>
      <c r="S7" s="702">
        <f t="shared" ref="S7:S15" si="0">F7</f>
        <v>0</v>
      </c>
      <c r="T7" s="701" t="s">
        <v>14</v>
      </c>
      <c r="U7" s="702">
        <f t="shared" ref="U7:U15" si="1">H7</f>
        <v>0</v>
      </c>
      <c r="V7" s="701" t="s">
        <v>14</v>
      </c>
      <c r="W7" s="702">
        <f t="shared" ref="W7:W15" si="2">J7</f>
        <v>0</v>
      </c>
      <c r="X7" s="703"/>
      <c r="Y7" s="3685" t="s">
        <v>1662</v>
      </c>
      <c r="Z7" s="3686"/>
      <c r="AA7" s="704" t="e">
        <f>D7/F7</f>
        <v>#DIV/0!</v>
      </c>
      <c r="AB7" s="704" t="e">
        <f>D7/H7</f>
        <v>#DIV/0!</v>
      </c>
      <c r="AC7" s="1959"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39" t="s">
        <v>1665</v>
      </c>
      <c r="Q8" s="3686"/>
      <c r="R8" s="701" t="s">
        <v>14</v>
      </c>
      <c r="S8" s="702">
        <f t="shared" si="0"/>
        <v>100</v>
      </c>
      <c r="T8" s="701" t="s">
        <v>14</v>
      </c>
      <c r="U8" s="702">
        <f t="shared" si="1"/>
        <v>100</v>
      </c>
      <c r="V8" s="701" t="s">
        <v>14</v>
      </c>
      <c r="W8" s="702">
        <f t="shared" si="2"/>
        <v>100</v>
      </c>
      <c r="X8" s="703"/>
      <c r="Y8" s="3685" t="s">
        <v>1665</v>
      </c>
      <c r="Z8" s="3686"/>
      <c r="AA8" s="704">
        <f t="shared" ref="AA8:AA47" si="3">D8/F8</f>
        <v>1</v>
      </c>
      <c r="AB8" s="704">
        <f t="shared" ref="AB8:AB47" si="4">D8/H8</f>
        <v>1</v>
      </c>
      <c r="AC8" s="1959">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6"/>
      <c r="M9" s="2697"/>
      <c r="N9" s="2697"/>
      <c r="O9" s="2697"/>
      <c r="P9" s="3699" t="s">
        <v>1668</v>
      </c>
      <c r="Q9" s="1343" t="str">
        <f t="shared" ref="Q9:Q15" si="6">B9</f>
        <v>用途</v>
      </c>
      <c r="R9" s="701" t="s">
        <v>14</v>
      </c>
      <c r="S9" s="702">
        <f t="shared" si="0"/>
        <v>100</v>
      </c>
      <c r="T9" s="701" t="s">
        <v>14</v>
      </c>
      <c r="U9" s="702">
        <f t="shared" si="1"/>
        <v>100</v>
      </c>
      <c r="V9" s="701" t="s">
        <v>14</v>
      </c>
      <c r="W9" s="702">
        <f t="shared" si="2"/>
        <v>100</v>
      </c>
      <c r="X9" s="703"/>
      <c r="Y9" s="3629" t="s">
        <v>1669</v>
      </c>
      <c r="Z9" s="52" t="str">
        <f t="shared" ref="Z9:Z15" si="7">Q9</f>
        <v>用途</v>
      </c>
      <c r="AA9" s="704">
        <f t="shared" si="3"/>
        <v>1</v>
      </c>
      <c r="AB9" s="704">
        <f t="shared" si="4"/>
        <v>1</v>
      </c>
      <c r="AC9" s="1959">
        <f t="shared" si="5"/>
        <v>1</v>
      </c>
    </row>
    <row r="10" spans="1:29" s="378" customFormat="1" ht="27">
      <c r="A10" s="374"/>
      <c r="B10" s="375" t="s">
        <v>1670</v>
      </c>
      <c r="C10" s="3413"/>
      <c r="D10" s="127">
        <v>100</v>
      </c>
      <c r="E10" s="3413"/>
      <c r="F10" s="127">
        <f>SUMIF(66:66,E10,67:67)-SUMIF(66:66,C10,67:67)+100</f>
        <v>100</v>
      </c>
      <c r="G10" s="3414"/>
      <c r="H10" s="127">
        <f>SUMIF(66:66,G10,67:67)-SUMIF(66:66,C10,67:67)+100</f>
        <v>100</v>
      </c>
      <c r="I10" s="3413"/>
      <c r="J10" s="127">
        <f>SUMIF(66:66,I10,67:67)-SUMIF(66:66,C10,67:67)+100</f>
        <v>100</v>
      </c>
      <c r="K10" s="560"/>
      <c r="L10" s="2698"/>
      <c r="M10" s="2699"/>
      <c r="N10" s="2699"/>
      <c r="O10" s="269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699"/>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6"/>
      <c r="M12" s="2697"/>
      <c r="N12" s="2697"/>
      <c r="O12" s="2697"/>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71.25">
      <c r="A15" s="391" t="s">
        <v>1672</v>
      </c>
      <c r="B15" s="577" t="s">
        <v>1793</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726" t="s">
        <v>1673</v>
      </c>
      <c r="Q15" s="1352" t="str">
        <f t="shared" si="6"/>
        <v>办公集聚程度</v>
      </c>
      <c r="R15" s="705" t="s">
        <v>14</v>
      </c>
      <c r="S15" s="706">
        <f t="shared" si="0"/>
        <v>100</v>
      </c>
      <c r="T15" s="705" t="s">
        <v>14</v>
      </c>
      <c r="U15" s="706">
        <f t="shared" si="1"/>
        <v>100</v>
      </c>
      <c r="V15" s="705" t="s">
        <v>14</v>
      </c>
      <c r="W15" s="706">
        <f t="shared" si="2"/>
        <v>100</v>
      </c>
      <c r="X15" s="1355"/>
      <c r="Y15" s="3719" t="s">
        <v>1673</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01"/>
      <c r="M16" s="2695"/>
      <c r="N16" s="2695"/>
      <c r="O16" s="2695"/>
      <c r="P16" s="3727"/>
      <c r="Q16" s="1352"/>
      <c r="R16" s="705"/>
      <c r="S16" s="706"/>
      <c r="T16" s="705"/>
      <c r="U16" s="706"/>
      <c r="V16" s="705"/>
      <c r="W16" s="706"/>
      <c r="X16" s="1355"/>
      <c r="Y16" s="3720"/>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01"/>
      <c r="M18" s="2695"/>
      <c r="N18" s="2695"/>
      <c r="O18" s="2695"/>
      <c r="P18" s="3727"/>
      <c r="Q18" s="1352"/>
      <c r="R18" s="705"/>
      <c r="S18" s="706"/>
      <c r="T18" s="705"/>
      <c r="U18" s="706"/>
      <c r="V18" s="705"/>
      <c r="W18" s="706"/>
      <c r="X18" s="1355"/>
      <c r="Y18" s="3720"/>
      <c r="Z18" s="1356"/>
      <c r="AA18" s="1353">
        <v>1</v>
      </c>
      <c r="AB18" s="1353">
        <v>1</v>
      </c>
      <c r="AC18" s="1962">
        <v>1</v>
      </c>
    </row>
    <row r="19" spans="1:29" ht="42.75">
      <c r="A19" s="379"/>
      <c r="B19" s="579" t="s">
        <v>1794</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01"/>
      <c r="M20" s="2695"/>
      <c r="N20" s="2695"/>
      <c r="O20" s="2695"/>
      <c r="P20" s="3727"/>
      <c r="Q20" s="1352"/>
      <c r="R20" s="705"/>
      <c r="S20" s="706"/>
      <c r="T20" s="705"/>
      <c r="U20" s="706"/>
      <c r="V20" s="705"/>
      <c r="W20" s="706"/>
      <c r="X20" s="1355"/>
      <c r="Y20" s="3720"/>
      <c r="Z20" s="1356"/>
      <c r="AA20" s="1353">
        <v>1</v>
      </c>
      <c r="AB20" s="1353">
        <v>1</v>
      </c>
      <c r="AC20" s="1962">
        <v>1</v>
      </c>
    </row>
    <row r="21" spans="1:29" ht="28.5">
      <c r="A21" s="379"/>
      <c r="B21" s="581" t="s">
        <v>1795</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01"/>
      <c r="M22" s="2695"/>
      <c r="N22" s="2695"/>
      <c r="O22" s="2695"/>
      <c r="P22" s="3727"/>
      <c r="Q22" s="1352"/>
      <c r="R22" s="705"/>
      <c r="S22" s="706"/>
      <c r="T22" s="705"/>
      <c r="U22" s="706"/>
      <c r="V22" s="705"/>
      <c r="W22" s="706"/>
      <c r="X22" s="1355"/>
      <c r="Y22" s="3720"/>
      <c r="Z22" s="1356"/>
      <c r="AA22" s="1353">
        <v>1</v>
      </c>
      <c r="AB22" s="1353">
        <v>1</v>
      </c>
      <c r="AC22" s="1962">
        <v>1</v>
      </c>
    </row>
    <row r="23" spans="1:29" ht="42.75">
      <c r="A23" s="379"/>
      <c r="B23" s="579" t="s">
        <v>1796</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01"/>
      <c r="M24" s="2695"/>
      <c r="N24" s="2695"/>
      <c r="O24" s="2695"/>
      <c r="P24" s="3727"/>
      <c r="Q24" s="1352"/>
      <c r="R24" s="705"/>
      <c r="S24" s="706"/>
      <c r="T24" s="705"/>
      <c r="U24" s="706"/>
      <c r="V24" s="705"/>
      <c r="W24" s="706"/>
      <c r="X24" s="1355"/>
      <c r="Y24" s="3720"/>
      <c r="Z24" s="1356"/>
      <c r="AA24" s="1353">
        <v>1</v>
      </c>
      <c r="AB24" s="1353">
        <v>1</v>
      </c>
      <c r="AC24" s="1962">
        <v>1</v>
      </c>
    </row>
    <row r="25" spans="1:29" ht="27">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727"/>
      <c r="Q26" s="1352"/>
      <c r="R26" s="705"/>
      <c r="S26" s="706"/>
      <c r="T26" s="705"/>
      <c r="U26" s="706"/>
      <c r="V26" s="705"/>
      <c r="W26" s="706"/>
      <c r="X26" s="1355"/>
      <c r="Y26" s="3720"/>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1676</v>
      </c>
      <c r="B33" s="63" t="s">
        <v>1799</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01"/>
      <c r="M33" s="2695"/>
      <c r="N33" s="2695"/>
      <c r="O33" s="2695"/>
      <c r="P33" s="3721" t="s">
        <v>1678</v>
      </c>
      <c r="Q33" s="1352" t="str">
        <f t="shared" si="11"/>
        <v>建筑类型</v>
      </c>
      <c r="R33" s="705" t="s">
        <v>14</v>
      </c>
      <c r="S33" s="706">
        <f t="shared" si="12"/>
        <v>100</v>
      </c>
      <c r="T33" s="705" t="s">
        <v>14</v>
      </c>
      <c r="U33" s="706">
        <f t="shared" si="13"/>
        <v>100</v>
      </c>
      <c r="V33" s="705" t="s">
        <v>14</v>
      </c>
      <c r="W33" s="706">
        <f t="shared" si="14"/>
        <v>100</v>
      </c>
      <c r="X33" s="1355"/>
      <c r="Y33" s="3724" t="s">
        <v>1678</v>
      </c>
      <c r="Z33" s="1356" t="str">
        <f t="shared" si="15"/>
        <v>建筑类型</v>
      </c>
      <c r="AA33" s="1353">
        <f t="shared" si="3"/>
        <v>1</v>
      </c>
      <c r="AB33" s="1353">
        <f t="shared" si="4"/>
        <v>1</v>
      </c>
      <c r="AC33" s="1962">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0"/>
      <c r="M34" s="2702"/>
      <c r="N34" s="2702"/>
      <c r="O34" s="2702"/>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1"/>
      <c r="M37" s="2695"/>
      <c r="N37" s="2695"/>
      <c r="O37" s="2695"/>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722" t="s">
        <v>1678</v>
      </c>
      <c r="Q39" s="1352" t="str">
        <f t="shared" si="11"/>
        <v>物业管理</v>
      </c>
      <c r="R39" s="705" t="s">
        <v>14</v>
      </c>
      <c r="S39" s="706">
        <f t="shared" si="12"/>
        <v>100</v>
      </c>
      <c r="T39" s="705" t="s">
        <v>14</v>
      </c>
      <c r="U39" s="706">
        <f t="shared" si="13"/>
        <v>100</v>
      </c>
      <c r="V39" s="705" t="s">
        <v>14</v>
      </c>
      <c r="W39" s="706">
        <f t="shared" si="14"/>
        <v>100</v>
      </c>
      <c r="X39" s="1355"/>
      <c r="Y39" s="3724"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1689</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01"/>
      <c r="M44" s="2695"/>
      <c r="N44" s="2695"/>
      <c r="O44" s="2695"/>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1690</v>
      </c>
      <c r="B48" s="431"/>
      <c r="C48" s="1154" t="s">
        <v>0</v>
      </c>
      <c r="D48" s="1155"/>
      <c r="E48" s="1156"/>
      <c r="F48" s="1157"/>
      <c r="G48" s="1158"/>
      <c r="H48" s="1159"/>
      <c r="I48" s="1156"/>
      <c r="J48" s="436"/>
      <c r="K48" s="714"/>
      <c r="L48" s="2703"/>
      <c r="M48" s="2695"/>
      <c r="N48" s="2695"/>
      <c r="O48" s="2695"/>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1775</v>
      </c>
      <c r="B49" s="438"/>
      <c r="C49" s="1160" t="e">
        <f>R50</f>
        <v>#DIV/0!</v>
      </c>
      <c r="D49" s="2317" t="s">
        <v>2120</v>
      </c>
      <c r="E49" s="1161" t="e">
        <f>R49</f>
        <v>#DIV/0!</v>
      </c>
      <c r="F49" s="2318"/>
      <c r="G49" s="1160" t="e">
        <f>T49</f>
        <v>#DIV/0!</v>
      </c>
      <c r="H49" s="2318"/>
      <c r="I49" s="1161" t="e">
        <f>V49</f>
        <v>#DIV/0!</v>
      </c>
      <c r="J49" s="2318"/>
      <c r="K49" s="2320">
        <f>F49+H49+J49</f>
        <v>0</v>
      </c>
      <c r="L49" s="2703"/>
      <c r="M49" s="2695"/>
      <c r="N49" s="2695"/>
      <c r="O49" s="2695"/>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1776</v>
      </c>
      <c r="B50" s="442"/>
      <c r="C50" s="1163" t="e">
        <f>R50</f>
        <v>#DIV/0!</v>
      </c>
      <c r="D50" s="1163"/>
      <c r="E50" s="1163"/>
      <c r="F50" s="1163"/>
      <c r="G50" s="1163"/>
      <c r="H50" s="1163"/>
      <c r="I50" s="1163"/>
      <c r="J50" s="443"/>
      <c r="K50" s="715"/>
      <c r="L50" s="2703"/>
      <c r="M50" s="2695"/>
      <c r="N50" s="2695"/>
      <c r="O50" s="269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1780</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1661</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1"/>
      <c r="R60" s="2641"/>
      <c r="S60" s="2641"/>
      <c r="T60" s="2641"/>
      <c r="U60" s="2641"/>
      <c r="V60" s="2641"/>
      <c r="W60" s="2641"/>
      <c r="X60" s="2641"/>
      <c r="Y60" s="2641"/>
      <c r="Z60" s="2641"/>
      <c r="AA60" s="2641"/>
      <c r="AB60" s="2641"/>
      <c r="AC60" s="2641"/>
    </row>
    <row r="61" spans="1:29" s="108" customFormat="1" ht="15.75" thickBot="1">
      <c r="A61" s="464" t="s">
        <v>1698</v>
      </c>
      <c r="B61" s="465"/>
      <c r="C61" s="466"/>
      <c r="D61" s="467"/>
      <c r="E61" s="467"/>
      <c r="F61" s="467"/>
      <c r="G61" s="467"/>
      <c r="H61" s="467"/>
      <c r="I61" s="467"/>
      <c r="J61" s="467"/>
      <c r="K61" s="467"/>
      <c r="L61" s="467"/>
      <c r="M61" s="468"/>
      <c r="N61" s="467"/>
      <c r="O61" s="468"/>
      <c r="P61" s="2739"/>
      <c r="Q61" s="2718"/>
      <c r="R61" s="2641"/>
      <c r="S61" s="2641"/>
      <c r="T61" s="2641"/>
      <c r="U61" s="2641"/>
      <c r="V61" s="2641"/>
      <c r="W61" s="2641"/>
      <c r="X61" s="2641"/>
      <c r="Y61" s="2641"/>
      <c r="Z61" s="2641"/>
      <c r="AA61" s="2641"/>
      <c r="AB61" s="2641"/>
      <c r="AC61" s="2641"/>
    </row>
    <row r="62" spans="1:29" s="108" customFormat="1" ht="15">
      <c r="A62" s="470" t="s">
        <v>1663</v>
      </c>
      <c r="B62" s="459"/>
      <c r="C62" s="471" t="s">
        <v>1758</v>
      </c>
      <c r="D62" s="472"/>
      <c r="E62" s="472"/>
      <c r="F62" s="472"/>
      <c r="G62" s="472"/>
      <c r="H62" s="472"/>
      <c r="I62" s="472"/>
      <c r="J62" s="472"/>
      <c r="K62" s="472"/>
      <c r="L62" s="473"/>
      <c r="M62" s="474"/>
      <c r="N62" s="2731"/>
      <c r="O62" s="2731"/>
      <c r="P62" s="2740"/>
      <c r="Q62" s="2718"/>
      <c r="R62" s="2641"/>
      <c r="S62" s="2641"/>
      <c r="T62" s="2641"/>
      <c r="U62" s="2641"/>
      <c r="V62" s="2641"/>
      <c r="W62" s="2641"/>
      <c r="X62" s="2641"/>
      <c r="Y62" s="2641"/>
      <c r="Z62" s="2641"/>
      <c r="AA62" s="2641"/>
      <c r="AB62" s="2641"/>
      <c r="AC62" s="2641"/>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1"/>
      <c r="S63" s="2641"/>
      <c r="T63" s="2641"/>
      <c r="U63" s="2641"/>
      <c r="V63" s="2641"/>
      <c r="W63" s="2641"/>
      <c r="X63" s="2641"/>
      <c r="Y63" s="2641"/>
      <c r="Z63" s="2641"/>
      <c r="AA63" s="2641"/>
      <c r="AB63" s="2641"/>
      <c r="AC63" s="2641"/>
    </row>
    <row r="64" spans="1:29">
      <c r="A64" s="476" t="s">
        <v>1701</v>
      </c>
      <c r="B64" s="477" t="s">
        <v>1667</v>
      </c>
      <c r="C64" s="478">
        <f>C9</f>
        <v>0</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1670</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1672</v>
      </c>
      <c r="B77" s="477" t="s">
        <v>1803</v>
      </c>
      <c r="C77" s="522" t="s">
        <v>1703</v>
      </c>
      <c r="D77" s="522" t="s">
        <v>1704</v>
      </c>
      <c r="E77" s="522" t="s">
        <v>1705</v>
      </c>
      <c r="F77" s="522" t="s">
        <v>1706</v>
      </c>
      <c r="G77" s="522" t="s">
        <v>1707</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1708</v>
      </c>
      <c r="C79" s="527" t="s">
        <v>1703</v>
      </c>
      <c r="D79" s="527" t="s">
        <v>1704</v>
      </c>
      <c r="E79" s="527" t="s">
        <v>1705</v>
      </c>
      <c r="F79" s="527" t="s">
        <v>1706</v>
      </c>
      <c r="G79" s="527" t="s">
        <v>1707</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1709</v>
      </c>
      <c r="C81" s="527" t="s">
        <v>1703</v>
      </c>
      <c r="D81" s="527" t="s">
        <v>1704</v>
      </c>
      <c r="E81" s="527" t="s">
        <v>1705</v>
      </c>
      <c r="F81" s="527" t="s">
        <v>1706</v>
      </c>
      <c r="G81" s="527" t="s">
        <v>1707</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1795</v>
      </c>
      <c r="C83" s="608" t="s">
        <v>1781</v>
      </c>
      <c r="D83" s="608" t="s">
        <v>1782</v>
      </c>
      <c r="E83" s="608" t="s">
        <v>1783</v>
      </c>
      <c r="F83" s="608" t="s">
        <v>1784</v>
      </c>
      <c r="G83" s="608" t="s">
        <v>1785</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1804</v>
      </c>
      <c r="C85" s="527" t="s">
        <v>1703</v>
      </c>
      <c r="D85" s="527" t="s">
        <v>1704</v>
      </c>
      <c r="E85" s="527" t="s">
        <v>1705</v>
      </c>
      <c r="F85" s="527" t="s">
        <v>1706</v>
      </c>
      <c r="G85" s="527" t="s">
        <v>1707</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1805</v>
      </c>
      <c r="C87" s="503"/>
      <c r="D87" s="503"/>
      <c r="E87" s="503"/>
      <c r="F87" s="503"/>
      <c r="G87" s="503"/>
      <c r="H87" s="503"/>
      <c r="I87" s="503"/>
      <c r="J87" s="503"/>
      <c r="K87" s="503"/>
      <c r="L87" s="529"/>
      <c r="M87" s="530"/>
      <c r="N87" s="2731"/>
      <c r="O87" s="2731"/>
      <c r="P87" s="2741"/>
      <c r="Q87" s="2718"/>
      <c r="R87" s="2641"/>
      <c r="S87" s="2641"/>
      <c r="T87" s="2641"/>
      <c r="U87" s="2641"/>
      <c r="V87" s="2641"/>
      <c r="W87" s="2641"/>
      <c r="X87" s="2641"/>
      <c r="Y87" s="2641"/>
      <c r="Z87" s="2641"/>
      <c r="AA87" s="2641"/>
      <c r="AB87" s="2641"/>
      <c r="AC87" s="264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1"/>
      <c r="S88" s="2641"/>
      <c r="T88" s="2641"/>
      <c r="U88" s="2641"/>
      <c r="V88" s="2641"/>
      <c r="W88" s="2641"/>
      <c r="X88" s="2641"/>
      <c r="Y88" s="2641"/>
      <c r="Z88" s="2641"/>
      <c r="AA88" s="2641"/>
      <c r="AB88" s="2641"/>
      <c r="AC88" s="2641"/>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1"/>
      <c r="S89" s="2641"/>
      <c r="T89" s="2641"/>
      <c r="U89" s="2641"/>
      <c r="V89" s="2641"/>
      <c r="W89" s="2641"/>
      <c r="X89" s="2641"/>
      <c r="Y89" s="2641"/>
      <c r="Z89" s="2641"/>
      <c r="AA89" s="2641"/>
      <c r="AB89" s="2641"/>
      <c r="AC89" s="264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1"/>
      <c r="S90" s="2641"/>
      <c r="T90" s="2641"/>
      <c r="U90" s="2641"/>
      <c r="V90" s="2641"/>
      <c r="W90" s="2641"/>
      <c r="X90" s="2641"/>
      <c r="Y90" s="2641"/>
      <c r="Z90" s="2641"/>
      <c r="AA90" s="2641"/>
      <c r="AB90" s="2641"/>
      <c r="AC90" s="2641"/>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1676</v>
      </c>
      <c r="B101" s="477" t="s">
        <v>1718</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c r="D104" s="544"/>
      <c r="E104" s="544"/>
      <c r="F104" s="544"/>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1720</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1722</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1806</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1723</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1724</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1807</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1790</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1726</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12"/>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219142.06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700" t="s">
        <v>1752</v>
      </c>
      <c r="D4" s="3701"/>
      <c r="E4" s="3702" t="s">
        <v>1753</v>
      </c>
      <c r="F4" s="3703"/>
      <c r="G4" s="3700" t="s">
        <v>1754</v>
      </c>
      <c r="H4" s="3701"/>
      <c r="I4" s="3700" t="s">
        <v>1755</v>
      </c>
      <c r="J4" s="3701"/>
      <c r="K4" s="559" t="s">
        <v>1756</v>
      </c>
      <c r="L4" s="913"/>
      <c r="M4" s="914"/>
      <c r="N4" s="914"/>
      <c r="O4" s="914"/>
      <c r="P4" s="3704" t="s">
        <v>1757</v>
      </c>
      <c r="Q4" s="3705"/>
      <c r="R4" s="3687" t="s">
        <v>1753</v>
      </c>
      <c r="S4" s="3688"/>
      <c r="T4" s="3687" t="s">
        <v>1754</v>
      </c>
      <c r="U4" s="3688"/>
      <c r="V4" s="3712" t="s">
        <v>1755</v>
      </c>
      <c r="W4" s="3712"/>
      <c r="X4" s="1355"/>
      <c r="Y4" s="3687" t="s">
        <v>1757</v>
      </c>
      <c r="Z4" s="3688"/>
      <c r="AA4" s="3682" t="s">
        <v>1753</v>
      </c>
      <c r="AB4" s="3683" t="s">
        <v>1754</v>
      </c>
      <c r="AC4" s="3682" t="s">
        <v>1755</v>
      </c>
    </row>
    <row r="5" spans="1:29" ht="15">
      <c r="A5" s="358"/>
      <c r="B5" s="359"/>
      <c r="C5" s="3693" t="s">
        <v>1655</v>
      </c>
      <c r="D5" s="3694"/>
      <c r="E5" s="3691" t="s">
        <v>1656</v>
      </c>
      <c r="F5" s="3692"/>
      <c r="G5" s="3693" t="s">
        <v>1657</v>
      </c>
      <c r="H5" s="3694"/>
      <c r="I5" s="3693" t="s">
        <v>1658</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1659</v>
      </c>
      <c r="D6" s="3696"/>
      <c r="E6" s="3697" t="s">
        <v>1659</v>
      </c>
      <c r="F6" s="3698"/>
      <c r="G6" s="3695" t="s">
        <v>1659</v>
      </c>
      <c r="H6" s="3696"/>
      <c r="I6" s="3695" t="s">
        <v>1659</v>
      </c>
      <c r="J6" s="3696"/>
      <c r="K6" s="559" t="s">
        <v>1660</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1661</v>
      </c>
      <c r="B7" s="363"/>
      <c r="C7" s="364">
        <f>'数据-取费表'!B2</f>
        <v>45421</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1662</v>
      </c>
      <c r="Q7" s="3713"/>
      <c r="R7" s="701" t="s">
        <v>14</v>
      </c>
      <c r="S7" s="702">
        <f t="shared" ref="S7:S15" si="0">F7</f>
        <v>0</v>
      </c>
      <c r="T7" s="701" t="s">
        <v>14</v>
      </c>
      <c r="U7" s="702">
        <f t="shared" ref="U7:U15" si="1">H7</f>
        <v>0</v>
      </c>
      <c r="V7" s="701" t="s">
        <v>14</v>
      </c>
      <c r="W7" s="702">
        <f t="shared" ref="W7:W15" si="2">J7</f>
        <v>0</v>
      </c>
      <c r="X7" s="703"/>
      <c r="Y7" s="3685" t="s">
        <v>1662</v>
      </c>
      <c r="Z7" s="3686"/>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1665</v>
      </c>
      <c r="Q8" s="3686"/>
      <c r="R8" s="701" t="s">
        <v>14</v>
      </c>
      <c r="S8" s="702">
        <f t="shared" si="0"/>
        <v>100</v>
      </c>
      <c r="T8" s="701" t="s">
        <v>14</v>
      </c>
      <c r="U8" s="702">
        <f t="shared" si="1"/>
        <v>100</v>
      </c>
      <c r="V8" s="701" t="s">
        <v>14</v>
      </c>
      <c r="W8" s="702">
        <f t="shared" si="2"/>
        <v>100</v>
      </c>
      <c r="X8" s="703"/>
      <c r="Y8" s="3685" t="s">
        <v>1665</v>
      </c>
      <c r="Z8" s="3686"/>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1668</v>
      </c>
      <c r="Q9" s="1343" t="str">
        <f t="shared" ref="Q9:Q15" si="6">B9</f>
        <v>用途</v>
      </c>
      <c r="R9" s="701" t="s">
        <v>14</v>
      </c>
      <c r="S9" s="702">
        <f t="shared" si="0"/>
        <v>100</v>
      </c>
      <c r="T9" s="701" t="s">
        <v>14</v>
      </c>
      <c r="U9" s="702">
        <f t="shared" si="1"/>
        <v>100</v>
      </c>
      <c r="V9" s="701" t="s">
        <v>14</v>
      </c>
      <c r="W9" s="702">
        <f t="shared" si="2"/>
        <v>100</v>
      </c>
      <c r="X9" s="703"/>
      <c r="Y9" s="3629" t="s">
        <v>1669</v>
      </c>
      <c r="Z9" s="52" t="str">
        <f t="shared" ref="Z9:Z15" si="7">Q9</f>
        <v>用途</v>
      </c>
      <c r="AA9" s="704">
        <f t="shared" si="3"/>
        <v>1</v>
      </c>
      <c r="AB9" s="704">
        <f t="shared" si="4"/>
        <v>1</v>
      </c>
      <c r="AC9" s="704">
        <f t="shared" si="5"/>
        <v>1</v>
      </c>
    </row>
    <row r="10" spans="1:29" s="378" customFormat="1" ht="27">
      <c r="A10" s="374"/>
      <c r="B10" s="375" t="s">
        <v>1670</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1672</v>
      </c>
      <c r="B15" s="61" t="s">
        <v>1809</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1673</v>
      </c>
      <c r="Q15" s="1352" t="str">
        <f t="shared" si="6"/>
        <v>产业集聚程度</v>
      </c>
      <c r="R15" s="705" t="s">
        <v>14</v>
      </c>
      <c r="S15" s="706">
        <f t="shared" si="0"/>
        <v>100</v>
      </c>
      <c r="T15" s="705" t="s">
        <v>14</v>
      </c>
      <c r="U15" s="706">
        <f t="shared" si="1"/>
        <v>100</v>
      </c>
      <c r="V15" s="705" t="s">
        <v>14</v>
      </c>
      <c r="W15" s="706">
        <f t="shared" si="2"/>
        <v>100</v>
      </c>
      <c r="X15" s="1355"/>
      <c r="Y15" s="3719"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1794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1795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1796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1678</v>
      </c>
      <c r="Q29" s="1352" t="str">
        <f t="shared" si="11"/>
        <v>建筑类型</v>
      </c>
      <c r="R29" s="705" t="s">
        <v>14</v>
      </c>
      <c r="S29" s="706">
        <f t="shared" si="12"/>
        <v>100</v>
      </c>
      <c r="T29" s="705" t="s">
        <v>14</v>
      </c>
      <c r="U29" s="706">
        <f t="shared" si="13"/>
        <v>100</v>
      </c>
      <c r="V29" s="705" t="s">
        <v>14</v>
      </c>
      <c r="W29" s="706">
        <f t="shared" si="14"/>
        <v>100</v>
      </c>
      <c r="X29" s="1355"/>
      <c r="Y29" s="3724"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1678</v>
      </c>
      <c r="Q35" s="1352" t="str">
        <f t="shared" si="11"/>
        <v>市政基础设施</v>
      </c>
      <c r="R35" s="705" t="s">
        <v>14</v>
      </c>
      <c r="S35" s="706">
        <f t="shared" si="12"/>
        <v>100</v>
      </c>
      <c r="T35" s="705" t="s">
        <v>14</v>
      </c>
      <c r="U35" s="706">
        <f t="shared" si="13"/>
        <v>100</v>
      </c>
      <c r="V35" s="705" t="s">
        <v>14</v>
      </c>
      <c r="W35" s="706">
        <f t="shared" si="14"/>
        <v>100</v>
      </c>
      <c r="X35" s="1355"/>
      <c r="Y35" s="3724"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1775</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9"/>
      <c r="O54" s="2750"/>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3319</v>
      </c>
      <c r="C1" s="1224" t="s">
        <v>1644</v>
      </c>
      <c r="D1" s="1225"/>
      <c r="E1" s="3412"/>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687" t="s">
        <v>1753</v>
      </c>
      <c r="S4" s="3688"/>
      <c r="T4" s="3687" t="s">
        <v>1754</v>
      </c>
      <c r="U4" s="3688"/>
      <c r="V4" s="3712" t="s">
        <v>1755</v>
      </c>
      <c r="W4" s="3712"/>
      <c r="X4" s="1355"/>
      <c r="Y4" s="3687" t="s">
        <v>1757</v>
      </c>
      <c r="Z4" s="3688"/>
      <c r="AA4" s="3682" t="s">
        <v>1753</v>
      </c>
      <c r="AB4" s="3683" t="s">
        <v>1754</v>
      </c>
      <c r="AC4" s="3682" t="s">
        <v>1755</v>
      </c>
    </row>
    <row r="5" spans="1:29" ht="15">
      <c r="A5" s="358"/>
      <c r="B5" s="359"/>
      <c r="C5" s="3693" t="s">
        <v>1655</v>
      </c>
      <c r="D5" s="3694"/>
      <c r="E5" s="3691" t="s">
        <v>1656</v>
      </c>
      <c r="F5" s="3692"/>
      <c r="G5" s="3693" t="s">
        <v>1657</v>
      </c>
      <c r="H5" s="3694"/>
      <c r="I5" s="3693" t="s">
        <v>1658</v>
      </c>
      <c r="J5" s="3694"/>
      <c r="K5" s="559"/>
      <c r="L5" s="2694"/>
      <c r="M5" s="2695"/>
      <c r="N5" s="2695"/>
      <c r="O5" s="2695"/>
      <c r="P5" s="3706"/>
      <c r="Q5" s="3707"/>
      <c r="R5" s="3689"/>
      <c r="S5" s="3690"/>
      <c r="T5" s="3689"/>
      <c r="U5" s="3690"/>
      <c r="V5" s="3712"/>
      <c r="W5" s="3712"/>
      <c r="X5" s="1355"/>
      <c r="Y5" s="3689"/>
      <c r="Z5" s="3690"/>
      <c r="AA5" s="3683"/>
      <c r="AB5" s="3683"/>
      <c r="AC5" s="3683"/>
    </row>
    <row r="6" spans="1:29" ht="15.75" thickBot="1">
      <c r="A6" s="360"/>
      <c r="B6" s="361"/>
      <c r="C6" s="3695" t="s">
        <v>1659</v>
      </c>
      <c r="D6" s="3696"/>
      <c r="E6" s="3697" t="s">
        <v>1659</v>
      </c>
      <c r="F6" s="3698"/>
      <c r="G6" s="3695" t="s">
        <v>1659</v>
      </c>
      <c r="H6" s="3696"/>
      <c r="I6" s="3695" t="s">
        <v>1659</v>
      </c>
      <c r="J6" s="3696"/>
      <c r="K6" s="559" t="s">
        <v>1660</v>
      </c>
      <c r="L6" s="2694"/>
      <c r="M6" s="2695"/>
      <c r="N6" s="2695"/>
      <c r="O6" s="2695"/>
      <c r="P6" s="3708"/>
      <c r="Q6" s="3709"/>
      <c r="R6" s="3689"/>
      <c r="S6" s="3690"/>
      <c r="T6" s="3710"/>
      <c r="U6" s="3711"/>
      <c r="V6" s="3712"/>
      <c r="W6" s="3712"/>
      <c r="X6" s="1355"/>
      <c r="Y6" s="3710"/>
      <c r="Z6" s="3711"/>
      <c r="AA6" s="3684"/>
      <c r="AB6" s="3684"/>
      <c r="AC6" s="3684"/>
    </row>
    <row r="7" spans="1:29" s="108" customFormat="1" ht="15.75" thickBot="1">
      <c r="A7" s="362" t="s">
        <v>1661</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85" t="s">
        <v>1662</v>
      </c>
      <c r="Q7" s="3713"/>
      <c r="R7" s="701" t="s">
        <v>14</v>
      </c>
      <c r="S7" s="702">
        <f t="shared" ref="S7:S14" si="0">F7</f>
        <v>0</v>
      </c>
      <c r="T7" s="701" t="s">
        <v>14</v>
      </c>
      <c r="U7" s="702">
        <f t="shared" ref="U7:U14" si="1">H7</f>
        <v>0</v>
      </c>
      <c r="V7" s="701" t="s">
        <v>14</v>
      </c>
      <c r="W7" s="702">
        <f t="shared" ref="W7:W14" si="2">J7</f>
        <v>0</v>
      </c>
      <c r="X7" s="703"/>
      <c r="Y7" s="3685" t="s">
        <v>1662</v>
      </c>
      <c r="Z7" s="3686"/>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85" t="s">
        <v>1665</v>
      </c>
      <c r="Q8" s="3686"/>
      <c r="R8" s="701" t="s">
        <v>14</v>
      </c>
      <c r="S8" s="702">
        <f t="shared" si="0"/>
        <v>100</v>
      </c>
      <c r="T8" s="701" t="s">
        <v>14</v>
      </c>
      <c r="U8" s="702">
        <f t="shared" si="1"/>
        <v>100</v>
      </c>
      <c r="V8" s="701" t="s">
        <v>14</v>
      </c>
      <c r="W8" s="702">
        <f t="shared" si="2"/>
        <v>100</v>
      </c>
      <c r="X8" s="703"/>
      <c r="Y8" s="3685" t="s">
        <v>1665</v>
      </c>
      <c r="Z8" s="3686"/>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717" t="s">
        <v>1668</v>
      </c>
      <c r="Q9" s="1343" t="str">
        <f t="shared" ref="Q9:Q14" si="6">B9</f>
        <v>用途</v>
      </c>
      <c r="R9" s="701" t="s">
        <v>14</v>
      </c>
      <c r="S9" s="702">
        <f t="shared" si="0"/>
        <v>100</v>
      </c>
      <c r="T9" s="701" t="s">
        <v>14</v>
      </c>
      <c r="U9" s="702">
        <f t="shared" si="1"/>
        <v>100</v>
      </c>
      <c r="V9" s="701" t="s">
        <v>14</v>
      </c>
      <c r="W9" s="702">
        <f t="shared" si="2"/>
        <v>100</v>
      </c>
      <c r="X9" s="703"/>
      <c r="Y9" s="3629" t="s">
        <v>1669</v>
      </c>
      <c r="Z9" s="52" t="str">
        <f t="shared" ref="Z9:Z14" si="7">Q9</f>
        <v>用途</v>
      </c>
      <c r="AA9" s="704">
        <f t="shared" si="3"/>
        <v>1</v>
      </c>
      <c r="AB9" s="704">
        <f t="shared" si="4"/>
        <v>1</v>
      </c>
      <c r="AC9" s="704">
        <f t="shared" si="5"/>
        <v>1</v>
      </c>
    </row>
    <row r="10" spans="1:29" s="378" customFormat="1" ht="27">
      <c r="A10" s="589"/>
      <c r="B10" s="590" t="s">
        <v>1670</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1672</v>
      </c>
      <c r="B14" s="577" t="s">
        <v>1815</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719" t="s">
        <v>1673</v>
      </c>
      <c r="Q14" s="1352" t="str">
        <f t="shared" si="6"/>
        <v>交通便捷度</v>
      </c>
      <c r="R14" s="705" t="s">
        <v>14</v>
      </c>
      <c r="S14" s="706">
        <f t="shared" si="0"/>
        <v>100</v>
      </c>
      <c r="T14" s="705" t="s">
        <v>14</v>
      </c>
      <c r="U14" s="706">
        <f t="shared" si="1"/>
        <v>100</v>
      </c>
      <c r="V14" s="705" t="s">
        <v>14</v>
      </c>
      <c r="W14" s="706">
        <f t="shared" si="2"/>
        <v>100</v>
      </c>
      <c r="X14" s="1355"/>
      <c r="Y14" s="3719"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720"/>
      <c r="Q15" s="1352"/>
      <c r="R15" s="705"/>
      <c r="S15" s="706"/>
      <c r="T15" s="705"/>
      <c r="U15" s="706"/>
      <c r="V15" s="705"/>
      <c r="W15" s="706"/>
      <c r="X15" s="1355"/>
      <c r="Y15" s="3720"/>
      <c r="Z15" s="1356"/>
      <c r="AA15" s="1353">
        <v>1</v>
      </c>
      <c r="AB15" s="1353">
        <v>1</v>
      </c>
      <c r="AC15" s="1353">
        <v>1</v>
      </c>
    </row>
    <row r="16" spans="1:29" ht="42.75">
      <c r="A16" s="358"/>
      <c r="B16" s="579" t="s">
        <v>1794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720"/>
      <c r="Q17" s="1352"/>
      <c r="R17" s="705"/>
      <c r="S17" s="706"/>
      <c r="T17" s="705"/>
      <c r="U17" s="706"/>
      <c r="V17" s="705"/>
      <c r="W17" s="706"/>
      <c r="X17" s="1355"/>
      <c r="Y17" s="3720"/>
      <c r="Z17" s="1356"/>
      <c r="AA17" s="1353">
        <v>1</v>
      </c>
      <c r="AB17" s="1353">
        <v>1</v>
      </c>
      <c r="AC17" s="1353">
        <v>1</v>
      </c>
    </row>
    <row r="18" spans="1:29" ht="28.5">
      <c r="A18" s="358"/>
      <c r="B18" s="581" t="s">
        <v>1795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720"/>
      <c r="Q19" s="1352"/>
      <c r="R19" s="705"/>
      <c r="S19" s="706"/>
      <c r="T19" s="705"/>
      <c r="U19" s="706"/>
      <c r="V19" s="705"/>
      <c r="W19" s="706"/>
      <c r="X19" s="1355"/>
      <c r="Y19" s="3720"/>
      <c r="Z19" s="1356"/>
      <c r="AA19" s="1353">
        <v>1</v>
      </c>
      <c r="AB19" s="1353">
        <v>1</v>
      </c>
      <c r="AC19" s="1353">
        <v>1</v>
      </c>
    </row>
    <row r="20" spans="1:29" ht="57">
      <c r="A20" s="358"/>
      <c r="B20" s="579" t="s">
        <v>1816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720"/>
      <c r="Q21" s="1352"/>
      <c r="R21" s="705"/>
      <c r="S21" s="706"/>
      <c r="T21" s="705"/>
      <c r="U21" s="706"/>
      <c r="V21" s="705"/>
      <c r="W21" s="706"/>
      <c r="X21" s="1355"/>
      <c r="Y21" s="3720"/>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43"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724" t="s">
        <v>1678</v>
      </c>
      <c r="Q32" s="1352" t="str">
        <f t="shared" si="11"/>
        <v>车位类型</v>
      </c>
      <c r="R32" s="705" t="s">
        <v>14</v>
      </c>
      <c r="S32" s="706">
        <f t="shared" si="12"/>
        <v>100</v>
      </c>
      <c r="T32" s="705" t="s">
        <v>14</v>
      </c>
      <c r="U32" s="706">
        <f t="shared" si="13"/>
        <v>100</v>
      </c>
      <c r="V32" s="705" t="s">
        <v>14</v>
      </c>
      <c r="W32" s="706">
        <f t="shared" si="14"/>
        <v>100</v>
      </c>
      <c r="X32" s="1355"/>
      <c r="Y32" s="3724"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1826</v>
      </c>
      <c r="B37" s="1973" t="s">
        <v>3340</v>
      </c>
      <c r="C37" s="1154" t="s">
        <v>0</v>
      </c>
      <c r="D37" s="1155"/>
      <c r="E37" s="1156"/>
      <c r="F37" s="1157"/>
      <c r="G37" s="1158"/>
      <c r="H37" s="1159"/>
      <c r="I37" s="1156"/>
      <c r="J37" s="1159"/>
      <c r="K37" s="568"/>
      <c r="L37" s="2703"/>
      <c r="M37" s="2704"/>
      <c r="N37" s="2695"/>
      <c r="O37" s="2704"/>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1827</v>
      </c>
      <c r="B38" s="438" t="str">
        <f>B37</f>
        <v>元/平方米</v>
      </c>
      <c r="C38" s="1160" t="e">
        <f>R39</f>
        <v>#DIV/0!</v>
      </c>
      <c r="D38" s="2317" t="s">
        <v>2120</v>
      </c>
      <c r="E38" s="1161" t="e">
        <f>R38</f>
        <v>#DIV/0!</v>
      </c>
      <c r="F38" s="2318"/>
      <c r="G38" s="1160" t="e">
        <f>T38</f>
        <v>#DIV/0!</v>
      </c>
      <c r="H38" s="2318"/>
      <c r="I38" s="1161" t="e">
        <f>V38</f>
        <v>#DIV/0!</v>
      </c>
      <c r="J38" s="2318"/>
      <c r="K38" s="2320">
        <f>F38+H38+J38</f>
        <v>0</v>
      </c>
      <c r="L38" s="2703"/>
      <c r="M38" s="2704"/>
      <c r="N38" s="2704"/>
      <c r="O38" s="2704"/>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3"/>
      <c r="M39" s="2704"/>
      <c r="N39" s="2704"/>
      <c r="O39" s="2704"/>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1832</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1833</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1"/>
      <c r="R49" s="2641"/>
      <c r="S49" s="2641"/>
      <c r="T49" s="2641"/>
      <c r="U49" s="2641"/>
      <c r="V49" s="2641"/>
      <c r="W49" s="2641"/>
      <c r="X49" s="2641"/>
      <c r="Y49" s="2641"/>
      <c r="Z49" s="2641"/>
      <c r="AA49" s="2641"/>
      <c r="AB49" s="2641"/>
      <c r="AC49" s="2641"/>
    </row>
    <row r="50" spans="1:29" s="108" customFormat="1" ht="15.75" thickBot="1">
      <c r="A50" s="464" t="s">
        <v>1698</v>
      </c>
      <c r="B50" s="465"/>
      <c r="C50" s="466"/>
      <c r="D50" s="467"/>
      <c r="E50" s="467"/>
      <c r="F50" s="467"/>
      <c r="G50" s="467"/>
      <c r="H50" s="467"/>
      <c r="I50" s="467"/>
      <c r="J50" s="467"/>
      <c r="K50" s="467"/>
      <c r="L50" s="467"/>
      <c r="M50" s="468"/>
      <c r="N50" s="467"/>
      <c r="O50" s="468"/>
      <c r="P50" s="2739"/>
      <c r="Q50" s="2718"/>
      <c r="R50" s="2641"/>
      <c r="S50" s="2641"/>
      <c r="T50" s="2641"/>
      <c r="U50" s="2641"/>
      <c r="V50" s="2641"/>
      <c r="W50" s="2641"/>
      <c r="X50" s="2641"/>
      <c r="Y50" s="2641"/>
      <c r="Z50" s="2641"/>
      <c r="AA50" s="2641"/>
      <c r="AB50" s="2641"/>
      <c r="AC50" s="2641"/>
    </row>
    <row r="51" spans="1:29" s="108" customFormat="1" ht="15">
      <c r="A51" s="470" t="s">
        <v>1663</v>
      </c>
      <c r="B51" s="459"/>
      <c r="C51" s="471" t="s">
        <v>1758</v>
      </c>
      <c r="D51" s="472"/>
      <c r="E51" s="472"/>
      <c r="F51" s="472"/>
      <c r="G51" s="472"/>
      <c r="H51" s="472"/>
      <c r="I51" s="472"/>
      <c r="J51" s="472"/>
      <c r="K51" s="472"/>
      <c r="L51" s="473"/>
      <c r="M51" s="474"/>
      <c r="N51" s="2731"/>
      <c r="O51" s="2731"/>
      <c r="P51" s="2740"/>
      <c r="Q51" s="2718"/>
      <c r="R51" s="2641"/>
      <c r="S51" s="2641"/>
      <c r="T51" s="2641"/>
      <c r="U51" s="2641"/>
      <c r="V51" s="2641"/>
      <c r="W51" s="2641"/>
      <c r="X51" s="2641"/>
      <c r="Y51" s="2641"/>
      <c r="Z51" s="2641"/>
      <c r="AA51" s="2641"/>
      <c r="AB51" s="2641"/>
      <c r="AC51" s="2641"/>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1"/>
      <c r="S52" s="2641"/>
      <c r="T52" s="2641"/>
      <c r="U52" s="2641"/>
      <c r="V52" s="2641"/>
      <c r="W52" s="2641"/>
      <c r="X52" s="2641"/>
      <c r="Y52" s="2641"/>
      <c r="Z52" s="2641"/>
      <c r="AA52" s="2641"/>
      <c r="AB52" s="2641"/>
      <c r="AC52" s="2641"/>
    </row>
    <row r="53" spans="1:29">
      <c r="A53" s="476" t="s">
        <v>1701</v>
      </c>
      <c r="B53" s="477" t="s">
        <v>1667</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1670</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1709</v>
      </c>
      <c r="C65" s="527" t="s">
        <v>1703</v>
      </c>
      <c r="D65" s="527" t="s">
        <v>1704</v>
      </c>
      <c r="E65" s="527" t="s">
        <v>1705</v>
      </c>
      <c r="F65" s="527" t="s">
        <v>1706</v>
      </c>
      <c r="G65" s="527" t="s">
        <v>1707</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1795</v>
      </c>
      <c r="C67" s="608" t="s">
        <v>1781</v>
      </c>
      <c r="D67" s="608" t="s">
        <v>1782</v>
      </c>
      <c r="E67" s="608" t="s">
        <v>1783</v>
      </c>
      <c r="F67" s="608" t="s">
        <v>1784</v>
      </c>
      <c r="G67" s="608" t="s">
        <v>1785</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1715</v>
      </c>
      <c r="C69" s="527" t="s">
        <v>1703</v>
      </c>
      <c r="D69" s="527" t="s">
        <v>1704</v>
      </c>
      <c r="E69" s="527" t="s">
        <v>1705</v>
      </c>
      <c r="F69" s="527" t="s">
        <v>1706</v>
      </c>
      <c r="G69" s="527" t="s">
        <v>1707</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1834</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1"/>
      <c r="S73" s="2641"/>
      <c r="T73" s="2641"/>
      <c r="U73" s="2641"/>
      <c r="V73" s="2641"/>
      <c r="W73" s="2641"/>
      <c r="X73" s="2641"/>
      <c r="Y73" s="2641"/>
      <c r="Z73" s="2641"/>
      <c r="AA73" s="2641"/>
      <c r="AB73" s="2641"/>
      <c r="AC73" s="2641"/>
    </row>
    <row r="74" spans="1:29" s="108" customFormat="1" ht="15.75" thickBot="1">
      <c r="A74" s="528"/>
      <c r="B74" s="492"/>
      <c r="C74" s="509"/>
      <c r="D74" s="485"/>
      <c r="E74" s="485"/>
      <c r="F74" s="485"/>
      <c r="G74" s="485"/>
      <c r="H74" s="485"/>
      <c r="I74" s="485"/>
      <c r="J74" s="485"/>
      <c r="K74" s="485"/>
      <c r="L74" s="485"/>
      <c r="M74" s="486"/>
      <c r="N74" s="2733"/>
      <c r="O74" s="2733"/>
      <c r="P74" s="2741"/>
      <c r="Q74" s="2718"/>
      <c r="R74" s="2641"/>
      <c r="S74" s="2641"/>
      <c r="T74" s="2641"/>
      <c r="U74" s="2641"/>
      <c r="V74" s="2641"/>
      <c r="W74" s="2641"/>
      <c r="X74" s="2641"/>
      <c r="Y74" s="2641"/>
      <c r="Z74" s="2641"/>
      <c r="AA74" s="2641"/>
      <c r="AB74" s="2641"/>
      <c r="AC74" s="2641"/>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1"/>
      <c r="S75" s="2641"/>
      <c r="T75" s="2641"/>
      <c r="U75" s="2641"/>
      <c r="V75" s="2641"/>
      <c r="W75" s="2641"/>
      <c r="X75" s="2641"/>
      <c r="Y75" s="2641"/>
      <c r="Z75" s="2641"/>
      <c r="AA75" s="2641"/>
      <c r="AB75" s="2641"/>
      <c r="AC75" s="2641"/>
    </row>
    <row r="76" spans="1:29" s="108" customFormat="1" ht="15.75" thickBot="1">
      <c r="A76" s="528"/>
      <c r="B76" s="492"/>
      <c r="C76" s="509"/>
      <c r="D76" s="485"/>
      <c r="E76" s="485"/>
      <c r="F76" s="485"/>
      <c r="G76" s="485"/>
      <c r="H76" s="485"/>
      <c r="I76" s="485"/>
      <c r="J76" s="485"/>
      <c r="K76" s="485"/>
      <c r="L76" s="485"/>
      <c r="M76" s="486"/>
      <c r="N76" s="2733"/>
      <c r="O76" s="2733"/>
      <c r="P76" s="2741"/>
      <c r="Q76" s="2718"/>
      <c r="R76" s="2641"/>
      <c r="S76" s="2641"/>
      <c r="T76" s="2641"/>
      <c r="U76" s="2641"/>
      <c r="V76" s="2641"/>
      <c r="W76" s="2641"/>
      <c r="X76" s="2641"/>
      <c r="Y76" s="2641"/>
      <c r="Z76" s="2641"/>
      <c r="AA76" s="2641"/>
      <c r="AB76" s="2641"/>
      <c r="AC76" s="2641"/>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1676</v>
      </c>
      <c r="B79" s="477" t="s">
        <v>1835</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1836</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1722</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1838</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1840</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1841</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3320</v>
      </c>
      <c r="C1" s="1224" t="s">
        <v>1644</v>
      </c>
      <c r="D1" s="1225"/>
      <c r="E1" s="3412"/>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687" t="s">
        <v>1753</v>
      </c>
      <c r="S4" s="3688"/>
      <c r="T4" s="3687" t="s">
        <v>1754</v>
      </c>
      <c r="U4" s="3688"/>
      <c r="V4" s="3712" t="s">
        <v>1755</v>
      </c>
      <c r="W4" s="3712"/>
      <c r="X4" s="1355"/>
      <c r="Y4" s="3687" t="s">
        <v>1757</v>
      </c>
      <c r="Z4" s="3688"/>
      <c r="AA4" s="3682" t="s">
        <v>1753</v>
      </c>
      <c r="AB4" s="3683" t="s">
        <v>1754</v>
      </c>
      <c r="AC4" s="3682" t="s">
        <v>1755</v>
      </c>
    </row>
    <row r="5" spans="1:29" ht="15">
      <c r="A5" s="358"/>
      <c r="B5" s="359"/>
      <c r="C5" s="3693" t="s">
        <v>1655</v>
      </c>
      <c r="D5" s="3694"/>
      <c r="E5" s="3691" t="s">
        <v>1656</v>
      </c>
      <c r="F5" s="3692"/>
      <c r="G5" s="3693" t="s">
        <v>1657</v>
      </c>
      <c r="H5" s="3694"/>
      <c r="I5" s="3693" t="s">
        <v>1658</v>
      </c>
      <c r="J5" s="3694"/>
      <c r="K5" s="559"/>
      <c r="L5" s="2694"/>
      <c r="M5" s="2695"/>
      <c r="N5" s="2695"/>
      <c r="O5" s="2695"/>
      <c r="P5" s="3706"/>
      <c r="Q5" s="3707"/>
      <c r="R5" s="3689"/>
      <c r="S5" s="3690"/>
      <c r="T5" s="3689"/>
      <c r="U5" s="3690"/>
      <c r="V5" s="3712"/>
      <c r="W5" s="3712"/>
      <c r="X5" s="1355"/>
      <c r="Y5" s="3689"/>
      <c r="Z5" s="3690"/>
      <c r="AA5" s="3683"/>
      <c r="AB5" s="3683"/>
      <c r="AC5" s="3683"/>
    </row>
    <row r="6" spans="1:29" ht="15.75" thickBot="1">
      <c r="A6" s="360"/>
      <c r="B6" s="361"/>
      <c r="C6" s="3695" t="s">
        <v>1659</v>
      </c>
      <c r="D6" s="3696"/>
      <c r="E6" s="3697" t="s">
        <v>1659</v>
      </c>
      <c r="F6" s="3698"/>
      <c r="G6" s="3695" t="s">
        <v>1659</v>
      </c>
      <c r="H6" s="3696"/>
      <c r="I6" s="3695" t="s">
        <v>1659</v>
      </c>
      <c r="J6" s="3696"/>
      <c r="K6" s="559" t="s">
        <v>1660</v>
      </c>
      <c r="L6" s="2694"/>
      <c r="M6" s="2695"/>
      <c r="N6" s="2695"/>
      <c r="O6" s="2695"/>
      <c r="P6" s="3708"/>
      <c r="Q6" s="3709"/>
      <c r="R6" s="3689"/>
      <c r="S6" s="3690"/>
      <c r="T6" s="3710"/>
      <c r="U6" s="3711"/>
      <c r="V6" s="3712"/>
      <c r="W6" s="3712"/>
      <c r="X6" s="1355"/>
      <c r="Y6" s="3710"/>
      <c r="Z6" s="3711"/>
      <c r="AA6" s="3684"/>
      <c r="AB6" s="3684"/>
      <c r="AC6" s="3684"/>
    </row>
    <row r="7" spans="1:29" s="108" customFormat="1" ht="15.75" thickBot="1">
      <c r="A7" s="362" t="s">
        <v>1661</v>
      </c>
      <c r="B7" s="363"/>
      <c r="C7" s="364">
        <f>'数据-取费表'!B2</f>
        <v>45421</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685" t="s">
        <v>1662</v>
      </c>
      <c r="Q7" s="3713"/>
      <c r="R7" s="701" t="s">
        <v>14</v>
      </c>
      <c r="S7" s="702">
        <f t="shared" ref="S7:S14" si="0">F7</f>
        <v>0</v>
      </c>
      <c r="T7" s="701" t="s">
        <v>14</v>
      </c>
      <c r="U7" s="702">
        <f t="shared" ref="U7:U14" si="1">H7</f>
        <v>0</v>
      </c>
      <c r="V7" s="701" t="s">
        <v>14</v>
      </c>
      <c r="W7" s="702">
        <f t="shared" ref="W7:W14" si="2">J7</f>
        <v>0</v>
      </c>
      <c r="X7" s="703"/>
      <c r="Y7" s="3685" t="s">
        <v>1662</v>
      </c>
      <c r="Z7" s="3686"/>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85" t="s">
        <v>1665</v>
      </c>
      <c r="Q8" s="3686"/>
      <c r="R8" s="701" t="s">
        <v>14</v>
      </c>
      <c r="S8" s="702">
        <f t="shared" si="0"/>
        <v>100</v>
      </c>
      <c r="T8" s="701" t="s">
        <v>14</v>
      </c>
      <c r="U8" s="702">
        <f t="shared" si="1"/>
        <v>100</v>
      </c>
      <c r="V8" s="701" t="s">
        <v>14</v>
      </c>
      <c r="W8" s="702">
        <f t="shared" si="2"/>
        <v>100</v>
      </c>
      <c r="X8" s="703"/>
      <c r="Y8" s="3685" t="s">
        <v>1665</v>
      </c>
      <c r="Z8" s="3686"/>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717" t="s">
        <v>1668</v>
      </c>
      <c r="Q9" s="1343" t="str">
        <f t="shared" ref="Q9:Q14" si="6">B9</f>
        <v>用途</v>
      </c>
      <c r="R9" s="701" t="s">
        <v>14</v>
      </c>
      <c r="S9" s="702">
        <f t="shared" si="0"/>
        <v>100</v>
      </c>
      <c r="T9" s="701" t="s">
        <v>14</v>
      </c>
      <c r="U9" s="702">
        <f t="shared" si="1"/>
        <v>100</v>
      </c>
      <c r="V9" s="701" t="s">
        <v>14</v>
      </c>
      <c r="W9" s="702">
        <f t="shared" si="2"/>
        <v>100</v>
      </c>
      <c r="X9" s="703"/>
      <c r="Y9" s="3629" t="s">
        <v>1669</v>
      </c>
      <c r="Z9" s="52" t="str">
        <f t="shared" ref="Z9:Z14" si="7">Q9</f>
        <v>用途</v>
      </c>
      <c r="AA9" s="704">
        <f t="shared" si="3"/>
        <v>1</v>
      </c>
      <c r="AB9" s="704">
        <f t="shared" si="4"/>
        <v>1</v>
      </c>
      <c r="AC9" s="704">
        <f t="shared" si="5"/>
        <v>1</v>
      </c>
    </row>
    <row r="10" spans="1:29" s="378" customFormat="1" ht="27">
      <c r="A10" s="374"/>
      <c r="B10" s="375" t="s">
        <v>1670</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1672</v>
      </c>
      <c r="B14" s="61" t="s">
        <v>1815</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719" t="s">
        <v>1673</v>
      </c>
      <c r="Q14" s="1352" t="str">
        <f t="shared" si="6"/>
        <v>交通便捷度</v>
      </c>
      <c r="R14" s="705" t="s">
        <v>14</v>
      </c>
      <c r="S14" s="706">
        <f t="shared" si="0"/>
        <v>100</v>
      </c>
      <c r="T14" s="705" t="s">
        <v>14</v>
      </c>
      <c r="U14" s="706">
        <f t="shared" si="1"/>
        <v>100</v>
      </c>
      <c r="V14" s="705" t="s">
        <v>14</v>
      </c>
      <c r="W14" s="706">
        <f t="shared" si="2"/>
        <v>100</v>
      </c>
      <c r="X14" s="1355"/>
      <c r="Y14" s="3719"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720"/>
      <c r="Q15" s="1352"/>
      <c r="R15" s="705"/>
      <c r="S15" s="706"/>
      <c r="T15" s="705"/>
      <c r="U15" s="706"/>
      <c r="V15" s="705"/>
      <c r="W15" s="706"/>
      <c r="X15" s="1355"/>
      <c r="Y15" s="3720"/>
      <c r="Z15" s="1356"/>
      <c r="AA15" s="1353">
        <v>1</v>
      </c>
      <c r="AB15" s="1353">
        <v>1</v>
      </c>
      <c r="AC15" s="1353">
        <v>1</v>
      </c>
    </row>
    <row r="16" spans="1:29" ht="42.75">
      <c r="A16" s="379"/>
      <c r="B16" s="402" t="s">
        <v>1794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720"/>
      <c r="Q17" s="1352"/>
      <c r="R17" s="705"/>
      <c r="S17" s="706"/>
      <c r="T17" s="705"/>
      <c r="U17" s="706"/>
      <c r="V17" s="705"/>
      <c r="W17" s="706"/>
      <c r="X17" s="1355"/>
      <c r="Y17" s="3720"/>
      <c r="Z17" s="1356"/>
      <c r="AA17" s="1353">
        <v>1</v>
      </c>
      <c r="AB17" s="1353">
        <v>1</v>
      </c>
      <c r="AC17" s="1353">
        <v>1</v>
      </c>
    </row>
    <row r="18" spans="1:29" ht="28.5">
      <c r="A18" s="379"/>
      <c r="B18" s="1131" t="s">
        <v>1795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720"/>
      <c r="Q19" s="1352"/>
      <c r="R19" s="705"/>
      <c r="S19" s="706"/>
      <c r="T19" s="705"/>
      <c r="U19" s="706"/>
      <c r="V19" s="705"/>
      <c r="W19" s="706"/>
      <c r="X19" s="1355"/>
      <c r="Y19" s="3720"/>
      <c r="Z19" s="1356"/>
      <c r="AA19" s="1353">
        <v>1</v>
      </c>
      <c r="AB19" s="1353">
        <v>1</v>
      </c>
      <c r="AC19" s="1353">
        <v>1</v>
      </c>
    </row>
    <row r="20" spans="1:29" ht="57">
      <c r="A20" s="379"/>
      <c r="B20" s="402" t="s">
        <v>1816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720"/>
      <c r="Q21" s="1352"/>
      <c r="R21" s="705"/>
      <c r="S21" s="706"/>
      <c r="T21" s="705"/>
      <c r="U21" s="706"/>
      <c r="V21" s="705"/>
      <c r="W21" s="706"/>
      <c r="X21" s="1355"/>
      <c r="Y21" s="3720"/>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743"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724" t="s">
        <v>1678</v>
      </c>
      <c r="Q32" s="1352">
        <f t="shared" si="11"/>
        <v>111</v>
      </c>
      <c r="R32" s="705" t="s">
        <v>14</v>
      </c>
      <c r="S32" s="706">
        <f t="shared" si="12"/>
        <v>100</v>
      </c>
      <c r="T32" s="705" t="s">
        <v>14</v>
      </c>
      <c r="U32" s="706">
        <f t="shared" si="13"/>
        <v>100</v>
      </c>
      <c r="V32" s="705" t="s">
        <v>14</v>
      </c>
      <c r="W32" s="706">
        <f t="shared" si="14"/>
        <v>100</v>
      </c>
      <c r="X32" s="1355"/>
      <c r="Y32" s="3724"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3"/>
      <c r="M35" s="2704"/>
      <c r="N35" s="2695"/>
      <c r="O35" s="2704"/>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1775</v>
      </c>
      <c r="B36" s="438"/>
      <c r="C36" s="1160" t="e">
        <f>R37</f>
        <v>#DIV/0!</v>
      </c>
      <c r="D36" s="2317" t="s">
        <v>2120</v>
      </c>
      <c r="E36" s="1161" t="e">
        <f>R36</f>
        <v>#DIV/0!</v>
      </c>
      <c r="F36" s="2318"/>
      <c r="G36" s="1160" t="e">
        <f>T36</f>
        <v>#DIV/0!</v>
      </c>
      <c r="H36" s="2318"/>
      <c r="I36" s="1161" t="e">
        <f>V36</f>
        <v>#DIV/0!</v>
      </c>
      <c r="J36" s="2318"/>
      <c r="K36" s="2320">
        <f>F36+H36+J36</f>
        <v>0</v>
      </c>
      <c r="L36" s="2703"/>
      <c r="M36" s="2704"/>
      <c r="N36" s="2695"/>
      <c r="O36" s="2704"/>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3"/>
      <c r="M37" s="2704"/>
      <c r="N37" s="2704"/>
      <c r="O37" s="2704"/>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1780</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1661</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1"/>
      <c r="R47" s="2641"/>
      <c r="S47" s="2641"/>
      <c r="T47" s="2641"/>
      <c r="U47" s="2641"/>
      <c r="V47" s="2641"/>
      <c r="W47" s="2641"/>
      <c r="X47" s="2641"/>
      <c r="Y47" s="2641"/>
      <c r="Z47" s="2641"/>
      <c r="AA47" s="2641"/>
      <c r="AB47" s="2641"/>
      <c r="AC47" s="2641"/>
      <c r="AD47" s="2641"/>
    </row>
    <row r="48" spans="1:30" s="108" customFormat="1" ht="15.75" thickBot="1">
      <c r="A48" s="464" t="s">
        <v>1698</v>
      </c>
      <c r="B48" s="465"/>
      <c r="C48" s="466"/>
      <c r="D48" s="467"/>
      <c r="E48" s="467"/>
      <c r="F48" s="467"/>
      <c r="G48" s="467"/>
      <c r="H48" s="467"/>
      <c r="I48" s="467"/>
      <c r="J48" s="467"/>
      <c r="K48" s="467"/>
      <c r="L48" s="467"/>
      <c r="M48" s="468"/>
      <c r="N48" s="467"/>
      <c r="O48" s="469"/>
      <c r="P48" s="2718"/>
      <c r="Q48" s="2718"/>
      <c r="R48" s="2641"/>
      <c r="S48" s="2641"/>
      <c r="T48" s="2641"/>
      <c r="U48" s="2641"/>
      <c r="V48" s="2641"/>
      <c r="W48" s="2641"/>
      <c r="X48" s="2641"/>
      <c r="Y48" s="2641"/>
      <c r="Z48" s="2641"/>
      <c r="AA48" s="2641"/>
      <c r="AB48" s="2641"/>
      <c r="AC48" s="2641"/>
      <c r="AD48" s="2641"/>
    </row>
    <row r="49" spans="1:30" s="108" customFormat="1" ht="15">
      <c r="A49" s="470" t="s">
        <v>1663</v>
      </c>
      <c r="B49" s="459"/>
      <c r="C49" s="471" t="s">
        <v>1758</v>
      </c>
      <c r="D49" s="472"/>
      <c r="E49" s="472"/>
      <c r="F49" s="472"/>
      <c r="G49" s="472"/>
      <c r="H49" s="472"/>
      <c r="I49" s="472"/>
      <c r="J49" s="472"/>
      <c r="K49" s="472"/>
      <c r="L49" s="473"/>
      <c r="M49" s="474"/>
      <c r="N49" s="2731"/>
      <c r="O49" s="2731"/>
      <c r="P49" s="2756"/>
      <c r="Q49" s="2718"/>
      <c r="R49" s="2641"/>
      <c r="S49" s="2641"/>
      <c r="T49" s="2641"/>
      <c r="U49" s="2641"/>
      <c r="V49" s="2641"/>
      <c r="W49" s="2641"/>
      <c r="X49" s="2641"/>
      <c r="Y49" s="2641"/>
      <c r="Z49" s="2641"/>
      <c r="AA49" s="2641"/>
      <c r="AB49" s="2641"/>
      <c r="AC49" s="2641"/>
      <c r="AD49" s="2641"/>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1"/>
      <c r="S50" s="2641"/>
      <c r="T50" s="2641"/>
      <c r="U50" s="2641"/>
      <c r="V50" s="2641"/>
      <c r="W50" s="2641"/>
      <c r="X50" s="2641"/>
      <c r="Y50" s="2641"/>
      <c r="Z50" s="2641"/>
      <c r="AA50" s="2641"/>
      <c r="AB50" s="2641"/>
      <c r="AC50" s="2641"/>
      <c r="AD50" s="2641"/>
    </row>
    <row r="51" spans="1:30">
      <c r="A51" s="476" t="s">
        <v>1701</v>
      </c>
      <c r="B51" s="477" t="s">
        <v>1667</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1670</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1845</v>
      </c>
      <c r="C63" s="527" t="s">
        <v>1703</v>
      </c>
      <c r="D63" s="527" t="s">
        <v>1704</v>
      </c>
      <c r="E63" s="527" t="s">
        <v>1705</v>
      </c>
      <c r="F63" s="527" t="s">
        <v>1706</v>
      </c>
      <c r="G63" s="527" t="s">
        <v>1707</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1795</v>
      </c>
      <c r="C65" s="608" t="s">
        <v>1781</v>
      </c>
      <c r="D65" s="608" t="s">
        <v>1782</v>
      </c>
      <c r="E65" s="608" t="s">
        <v>1783</v>
      </c>
      <c r="F65" s="608" t="s">
        <v>1784</v>
      </c>
      <c r="G65" s="608" t="s">
        <v>1785</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1715</v>
      </c>
      <c r="C67" s="527" t="s">
        <v>1703</v>
      </c>
      <c r="D67" s="527" t="s">
        <v>1704</v>
      </c>
      <c r="E67" s="527" t="s">
        <v>1705</v>
      </c>
      <c r="F67" s="527" t="s">
        <v>1706</v>
      </c>
      <c r="G67" s="527" t="s">
        <v>1707</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1834</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1"/>
      <c r="S71" s="2641"/>
      <c r="T71" s="2641"/>
      <c r="U71" s="2641"/>
      <c r="V71" s="2641"/>
      <c r="W71" s="2641"/>
      <c r="X71" s="2641"/>
      <c r="Y71" s="2641"/>
      <c r="Z71" s="2641"/>
      <c r="AA71" s="2641"/>
      <c r="AB71" s="2641"/>
      <c r="AC71" s="2641"/>
      <c r="AD71" s="2641"/>
    </row>
    <row r="72" spans="1:30" s="108" customFormat="1" ht="15.75" thickBot="1">
      <c r="A72" s="528"/>
      <c r="B72" s="492"/>
      <c r="C72" s="509"/>
      <c r="D72" s="485"/>
      <c r="E72" s="485"/>
      <c r="F72" s="485"/>
      <c r="G72" s="485"/>
      <c r="H72" s="485"/>
      <c r="I72" s="485"/>
      <c r="J72" s="485"/>
      <c r="K72" s="485"/>
      <c r="L72" s="485"/>
      <c r="M72" s="486"/>
      <c r="N72" s="2733"/>
      <c r="O72" s="2733"/>
      <c r="P72" s="2757"/>
      <c r="Q72" s="2718"/>
      <c r="R72" s="2641"/>
      <c r="S72" s="2641"/>
      <c r="T72" s="2641"/>
      <c r="U72" s="2641"/>
      <c r="V72" s="2641"/>
      <c r="W72" s="2641"/>
      <c r="X72" s="2641"/>
      <c r="Y72" s="2641"/>
      <c r="Z72" s="2641"/>
      <c r="AA72" s="2641"/>
      <c r="AB72" s="2641"/>
      <c r="AC72" s="2641"/>
      <c r="AD72" s="2641"/>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1"/>
      <c r="S73" s="2641"/>
      <c r="T73" s="2641"/>
      <c r="U73" s="2641"/>
      <c r="V73" s="2641"/>
      <c r="W73" s="2641"/>
      <c r="X73" s="2641"/>
      <c r="Y73" s="2641"/>
      <c r="Z73" s="2641"/>
      <c r="AA73" s="2641"/>
      <c r="AB73" s="2641"/>
      <c r="AC73" s="2641"/>
      <c r="AD73" s="2641"/>
    </row>
    <row r="74" spans="1:30" s="108" customFormat="1" ht="15.75" thickBot="1">
      <c r="A74" s="528"/>
      <c r="B74" s="492"/>
      <c r="C74" s="509"/>
      <c r="D74" s="485"/>
      <c r="E74" s="485"/>
      <c r="F74" s="485"/>
      <c r="G74" s="485"/>
      <c r="H74" s="485"/>
      <c r="I74" s="485"/>
      <c r="J74" s="485"/>
      <c r="K74" s="485"/>
      <c r="L74" s="485"/>
      <c r="M74" s="486"/>
      <c r="N74" s="2733"/>
      <c r="O74" s="2733"/>
      <c r="P74" s="2757"/>
      <c r="Q74" s="2718"/>
      <c r="R74" s="2641"/>
      <c r="S74" s="2641"/>
      <c r="T74" s="2641"/>
      <c r="U74" s="2641"/>
      <c r="V74" s="2641"/>
      <c r="W74" s="2641"/>
      <c r="X74" s="2641"/>
      <c r="Y74" s="2641"/>
      <c r="Z74" s="2641"/>
      <c r="AA74" s="2641"/>
      <c r="AB74" s="2641"/>
      <c r="AC74" s="2641"/>
      <c r="AD74" s="2641"/>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1676</v>
      </c>
      <c r="B77" s="477" t="s">
        <v>1722</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1838</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1846</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1848</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687" t="s">
        <v>1753</v>
      </c>
      <c r="S4" s="3688"/>
      <c r="T4" s="3687" t="s">
        <v>1754</v>
      </c>
      <c r="U4" s="3688"/>
      <c r="V4" s="3712" t="s">
        <v>1755</v>
      </c>
      <c r="W4" s="3712"/>
      <c r="X4" s="1355"/>
      <c r="Y4" s="3687" t="s">
        <v>1757</v>
      </c>
      <c r="Z4" s="3688"/>
      <c r="AA4" s="3682" t="s">
        <v>1753</v>
      </c>
      <c r="AB4" s="3683" t="s">
        <v>1754</v>
      </c>
      <c r="AC4" s="3682" t="s">
        <v>1755</v>
      </c>
    </row>
    <row r="5" spans="1:30" ht="15">
      <c r="A5" s="358"/>
      <c r="B5" s="359"/>
      <c r="C5" s="3693" t="s">
        <v>1655</v>
      </c>
      <c r="D5" s="3694"/>
      <c r="E5" s="3691" t="s">
        <v>1656</v>
      </c>
      <c r="F5" s="3692"/>
      <c r="G5" s="3693" t="s">
        <v>1657</v>
      </c>
      <c r="H5" s="3694"/>
      <c r="I5" s="3693" t="s">
        <v>1658</v>
      </c>
      <c r="J5" s="3694"/>
      <c r="K5" s="559"/>
      <c r="L5" s="2694"/>
      <c r="M5" s="2695"/>
      <c r="N5" s="2695"/>
      <c r="O5" s="2695"/>
      <c r="P5" s="3706"/>
      <c r="Q5" s="3707"/>
      <c r="R5" s="3689"/>
      <c r="S5" s="3690"/>
      <c r="T5" s="3689"/>
      <c r="U5" s="3690"/>
      <c r="V5" s="3712"/>
      <c r="W5" s="3712"/>
      <c r="X5" s="1355"/>
      <c r="Y5" s="3689"/>
      <c r="Z5" s="3690"/>
      <c r="AA5" s="3683"/>
      <c r="AB5" s="3683"/>
      <c r="AC5" s="3683"/>
    </row>
    <row r="6" spans="1:30" ht="15.75" thickBot="1">
      <c r="A6" s="360"/>
      <c r="B6" s="361"/>
      <c r="C6" s="3695" t="s">
        <v>1659</v>
      </c>
      <c r="D6" s="3696"/>
      <c r="E6" s="3697" t="s">
        <v>1659</v>
      </c>
      <c r="F6" s="3698"/>
      <c r="G6" s="3695" t="s">
        <v>1659</v>
      </c>
      <c r="H6" s="3696"/>
      <c r="I6" s="3695" t="s">
        <v>1659</v>
      </c>
      <c r="J6" s="3696"/>
      <c r="K6" s="559" t="s">
        <v>1660</v>
      </c>
      <c r="L6" s="2694"/>
      <c r="M6" s="2695"/>
      <c r="N6" s="2695"/>
      <c r="O6" s="2695"/>
      <c r="P6" s="3708"/>
      <c r="Q6" s="3709"/>
      <c r="R6" s="3689"/>
      <c r="S6" s="3690"/>
      <c r="T6" s="3710"/>
      <c r="U6" s="3711"/>
      <c r="V6" s="3712"/>
      <c r="W6" s="3712"/>
      <c r="X6" s="1355"/>
      <c r="Y6" s="3710"/>
      <c r="Z6" s="3711"/>
      <c r="AA6" s="3684"/>
      <c r="AB6" s="3684"/>
      <c r="AC6" s="3684"/>
    </row>
    <row r="7" spans="1:30" s="108" customFormat="1" ht="15.75" thickBot="1">
      <c r="A7" s="362" t="s">
        <v>1661</v>
      </c>
      <c r="B7" s="363"/>
      <c r="C7" s="364">
        <f>'数据-取费表'!B2</f>
        <v>45421</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685" t="s">
        <v>1662</v>
      </c>
      <c r="Q7" s="3713"/>
      <c r="R7" s="701" t="s">
        <v>14</v>
      </c>
      <c r="S7" s="702">
        <f t="shared" ref="S7:S15" si="0">F7</f>
        <v>0</v>
      </c>
      <c r="T7" s="701" t="s">
        <v>14</v>
      </c>
      <c r="U7" s="702">
        <f t="shared" ref="U7:U15" si="1">H7</f>
        <v>0</v>
      </c>
      <c r="V7" s="701" t="s">
        <v>14</v>
      </c>
      <c r="W7" s="702">
        <f t="shared" ref="W7:W15" si="2">J7</f>
        <v>0</v>
      </c>
      <c r="X7" s="703"/>
      <c r="Y7" s="3685" t="s">
        <v>1662</v>
      </c>
      <c r="Z7" s="3686"/>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85" t="s">
        <v>1665</v>
      </c>
      <c r="Q8" s="3686"/>
      <c r="R8" s="701" t="s">
        <v>14</v>
      </c>
      <c r="S8" s="702">
        <f t="shared" si="0"/>
        <v>0</v>
      </c>
      <c r="T8" s="701" t="s">
        <v>14</v>
      </c>
      <c r="U8" s="702">
        <f t="shared" si="1"/>
        <v>0</v>
      </c>
      <c r="V8" s="701" t="s">
        <v>14</v>
      </c>
      <c r="W8" s="702">
        <f t="shared" si="2"/>
        <v>0</v>
      </c>
      <c r="X8" s="703"/>
      <c r="Y8" s="3685" t="s">
        <v>1665</v>
      </c>
      <c r="Z8" s="3686"/>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717" t="s">
        <v>1668</v>
      </c>
      <c r="Q9" s="1343" t="str">
        <f t="shared" ref="Q9:Q15" si="6">B9</f>
        <v>用途</v>
      </c>
      <c r="R9" s="701" t="s">
        <v>14</v>
      </c>
      <c r="S9" s="702">
        <f t="shared" si="0"/>
        <v>100</v>
      </c>
      <c r="T9" s="701" t="s">
        <v>14</v>
      </c>
      <c r="U9" s="702">
        <f t="shared" si="1"/>
        <v>100</v>
      </c>
      <c r="V9" s="701" t="s">
        <v>14</v>
      </c>
      <c r="W9" s="702">
        <f t="shared" si="2"/>
        <v>100</v>
      </c>
      <c r="X9" s="703"/>
      <c r="Y9" s="3629"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115</v>
      </c>
      <c r="G10" s="414"/>
      <c r="H10" s="127">
        <f>ROUND(100/'数据-取费表'!G16,0)</f>
        <v>115</v>
      </c>
      <c r="I10" s="414"/>
      <c r="J10" s="127">
        <f>ROUND(100/'数据-取费表'!G16,0)</f>
        <v>115</v>
      </c>
      <c r="K10" s="620"/>
      <c r="L10" s="2698"/>
      <c r="M10" s="2699"/>
      <c r="N10" s="2699"/>
      <c r="O10" s="2752"/>
      <c r="P10" s="3717"/>
      <c r="Q10" s="1343" t="str">
        <f t="shared" si="6"/>
        <v>土地使用年限（年）</v>
      </c>
      <c r="R10" s="701" t="s">
        <v>14</v>
      </c>
      <c r="S10" s="702">
        <f t="shared" si="0"/>
        <v>115</v>
      </c>
      <c r="T10" s="701" t="s">
        <v>14</v>
      </c>
      <c r="U10" s="702">
        <f t="shared" si="1"/>
        <v>115</v>
      </c>
      <c r="V10" s="701" t="s">
        <v>14</v>
      </c>
      <c r="W10" s="702">
        <f t="shared" si="2"/>
        <v>115</v>
      </c>
      <c r="X10" s="703"/>
      <c r="Y10" s="3629"/>
      <c r="Z10" s="52" t="str">
        <f t="shared" si="7"/>
        <v>土地使用年限（年）</v>
      </c>
      <c r="AA10" s="704">
        <f t="shared" si="3"/>
        <v>0.86956521739130432</v>
      </c>
      <c r="AB10" s="704">
        <f t="shared" si="4"/>
        <v>0.86956521739130432</v>
      </c>
      <c r="AC10" s="704">
        <f t="shared" si="5"/>
        <v>0.86956521739130432</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717"/>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c r="A15" s="391" t="s">
        <v>1672</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719" t="s">
        <v>1673</v>
      </c>
      <c r="Q15" s="1352" t="str">
        <f t="shared" si="6"/>
        <v>居住社区成熟度</v>
      </c>
      <c r="R15" s="705" t="s">
        <v>14</v>
      </c>
      <c r="S15" s="706">
        <f t="shared" si="0"/>
        <v>100</v>
      </c>
      <c r="T15" s="705" t="s">
        <v>14</v>
      </c>
      <c r="U15" s="706">
        <f t="shared" si="1"/>
        <v>100</v>
      </c>
      <c r="V15" s="705" t="s">
        <v>14</v>
      </c>
      <c r="W15" s="706">
        <f t="shared" si="2"/>
        <v>100</v>
      </c>
      <c r="X15" s="1355"/>
      <c r="Y15" s="3719"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720"/>
      <c r="Q16" s="1352"/>
      <c r="R16" s="705"/>
      <c r="S16" s="706"/>
      <c r="T16" s="705"/>
      <c r="U16" s="706"/>
      <c r="V16" s="705"/>
      <c r="W16" s="706"/>
      <c r="X16" s="1355"/>
      <c r="Y16" s="3720"/>
      <c r="Z16" s="1356"/>
      <c r="AA16" s="1353">
        <v>1</v>
      </c>
      <c r="AB16" s="1353">
        <v>1</v>
      </c>
      <c r="AC16" s="1353">
        <v>1</v>
      </c>
    </row>
    <row r="17" spans="1:29" ht="71.25">
      <c r="A17" s="379"/>
      <c r="B17" s="402" t="s">
        <v>1759</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720"/>
      <c r="Q18" s="1352"/>
      <c r="R18" s="705"/>
      <c r="S18" s="706"/>
      <c r="T18" s="705"/>
      <c r="U18" s="706"/>
      <c r="V18" s="705"/>
      <c r="W18" s="706"/>
      <c r="X18" s="1355"/>
      <c r="Y18" s="3720"/>
      <c r="Z18" s="1356"/>
      <c r="AA18" s="1353">
        <v>1</v>
      </c>
      <c r="AB18" s="1353">
        <v>1</v>
      </c>
      <c r="AC18" s="1353">
        <v>1</v>
      </c>
    </row>
    <row r="19" spans="1:29" ht="71.25">
      <c r="A19" s="379"/>
      <c r="B19" s="402" t="s">
        <v>1793</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720"/>
      <c r="Q20" s="1352"/>
      <c r="R20" s="705"/>
      <c r="S20" s="706"/>
      <c r="T20" s="705"/>
      <c r="U20" s="706"/>
      <c r="V20" s="705"/>
      <c r="W20" s="706"/>
      <c r="X20" s="1355"/>
      <c r="Y20" s="3720"/>
      <c r="Z20" s="1356"/>
      <c r="AA20" s="1353">
        <v>1</v>
      </c>
      <c r="AB20" s="1353">
        <v>1</v>
      </c>
      <c r="AC20" s="1353">
        <v>1</v>
      </c>
    </row>
    <row r="21" spans="1:29" ht="85.5">
      <c r="A21" s="379"/>
      <c r="B21" s="402" t="s">
        <v>1815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720"/>
      <c r="Q22" s="1352"/>
      <c r="R22" s="705"/>
      <c r="S22" s="706"/>
      <c r="T22" s="705"/>
      <c r="U22" s="706"/>
      <c r="V22" s="705"/>
      <c r="W22" s="706"/>
      <c r="X22" s="1355"/>
      <c r="Y22" s="3720"/>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720"/>
      <c r="Q24" s="1352"/>
      <c r="R24" s="705"/>
      <c r="S24" s="706"/>
      <c r="T24" s="705"/>
      <c r="U24" s="706"/>
      <c r="V24" s="705"/>
      <c r="W24" s="706"/>
      <c r="X24" s="1355"/>
      <c r="Y24" s="3720"/>
      <c r="Z24" s="1356"/>
      <c r="AA24" s="1353"/>
      <c r="AB24" s="1353"/>
      <c r="AC24" s="1353"/>
    </row>
    <row r="25" spans="1:29" ht="57">
      <c r="A25" s="358"/>
      <c r="B25" s="1131" t="s">
        <v>1854</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720"/>
      <c r="Q26" s="1352"/>
      <c r="R26" s="705"/>
      <c r="S26" s="706"/>
      <c r="T26" s="705"/>
      <c r="U26" s="706"/>
      <c r="V26" s="705"/>
      <c r="W26" s="706"/>
      <c r="X26" s="1355"/>
      <c r="Y26" s="3720"/>
      <c r="Z26" s="1356"/>
      <c r="AA26" s="1353">
        <v>1</v>
      </c>
      <c r="AB26" s="1353">
        <v>1</v>
      </c>
      <c r="AC26" s="1353">
        <v>1</v>
      </c>
    </row>
    <row r="27" spans="1:29" s="108" customFormat="1" ht="42.75">
      <c r="A27" s="597"/>
      <c r="B27" s="1131" t="s">
        <v>1760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720"/>
      <c r="Q28" s="1343"/>
      <c r="R28" s="701"/>
      <c r="S28" s="702"/>
      <c r="T28" s="701"/>
      <c r="U28" s="702"/>
      <c r="V28" s="701"/>
      <c r="W28" s="702"/>
      <c r="X28" s="703"/>
      <c r="Y28" s="3720"/>
      <c r="Z28" s="52"/>
      <c r="AA28" s="1353">
        <v>1</v>
      </c>
      <c r="AB28" s="1353">
        <v>1</v>
      </c>
      <c r="AC28" s="1353">
        <v>1</v>
      </c>
    </row>
    <row r="29" spans="1:29" s="108" customFormat="1" ht="28.5">
      <c r="A29" s="597"/>
      <c r="B29" s="1131" t="s">
        <v>1761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720"/>
      <c r="Q30" s="1343"/>
      <c r="R30" s="701"/>
      <c r="S30" s="702"/>
      <c r="T30" s="701"/>
      <c r="U30" s="702"/>
      <c r="V30" s="701"/>
      <c r="W30" s="702"/>
      <c r="X30" s="703"/>
      <c r="Y30" s="3720"/>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720"/>
      <c r="Q33" s="1352"/>
      <c r="R33" s="705"/>
      <c r="S33" s="706"/>
      <c r="T33" s="705"/>
      <c r="U33" s="706"/>
      <c r="V33" s="705"/>
      <c r="W33" s="706"/>
      <c r="X33" s="1355"/>
      <c r="Y33" s="3720"/>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43" t="s">
        <v>1678</v>
      </c>
      <c r="Q36" s="1352">
        <f t="shared" si="8"/>
        <v>111</v>
      </c>
      <c r="R36" s="705" t="s">
        <v>14</v>
      </c>
      <c r="S36" s="706">
        <f t="shared" si="10"/>
        <v>100</v>
      </c>
      <c r="T36" s="705" t="s">
        <v>14</v>
      </c>
      <c r="U36" s="706">
        <f t="shared" si="11"/>
        <v>100</v>
      </c>
      <c r="V36" s="705" t="s">
        <v>14</v>
      </c>
      <c r="W36" s="706">
        <f t="shared" si="12"/>
        <v>100</v>
      </c>
      <c r="X36" s="1355"/>
      <c r="Y36" s="3724"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724" t="s">
        <v>1678</v>
      </c>
      <c r="Q42" s="1352" t="str">
        <f t="shared" si="14"/>
        <v>工程地质条件</v>
      </c>
      <c r="R42" s="705" t="s">
        <v>14</v>
      </c>
      <c r="S42" s="706">
        <f t="shared" si="10"/>
        <v>100</v>
      </c>
      <c r="T42" s="705" t="s">
        <v>14</v>
      </c>
      <c r="U42" s="706">
        <f t="shared" si="11"/>
        <v>100</v>
      </c>
      <c r="V42" s="705" t="s">
        <v>14</v>
      </c>
      <c r="W42" s="706">
        <f t="shared" si="12"/>
        <v>100</v>
      </c>
      <c r="X42" s="1355"/>
      <c r="Y42" s="3724"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3"/>
      <c r="M46" s="2704"/>
      <c r="N46" s="2695"/>
      <c r="O46" s="2704"/>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1775</v>
      </c>
      <c r="B47" s="631"/>
      <c r="C47" s="440" t="e">
        <f>R48</f>
        <v>#DIV/0!</v>
      </c>
      <c r="D47" s="2317" t="s">
        <v>2120</v>
      </c>
      <c r="E47" s="440" t="e">
        <f>R47</f>
        <v>#DIV/0!</v>
      </c>
      <c r="F47" s="2318"/>
      <c r="G47" s="439" t="e">
        <f>T47</f>
        <v>#DIV/0!</v>
      </c>
      <c r="H47" s="2318"/>
      <c r="I47" s="440" t="e">
        <f>V47</f>
        <v>#DIV/0!</v>
      </c>
      <c r="J47" s="2318"/>
      <c r="K47" s="2320">
        <f>F47+H47+J47</f>
        <v>0</v>
      </c>
      <c r="L47" s="2703"/>
      <c r="M47" s="2704"/>
      <c r="N47" s="2704"/>
      <c r="O47" s="2704"/>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3"/>
      <c r="M48" s="2704"/>
      <c r="N48" s="2704"/>
      <c r="O48" s="2704"/>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1863</v>
      </c>
      <c r="B55" s="633" t="s">
        <v>1864</v>
      </c>
      <c r="C55" s="1983" t="s">
        <v>1865</v>
      </c>
      <c r="D55" s="1984" t="s">
        <v>1866</v>
      </c>
      <c r="E55" s="634" t="s">
        <v>1867</v>
      </c>
      <c r="F55" s="890" t="s">
        <v>1868</v>
      </c>
      <c r="G55" s="3700" t="s">
        <v>1869</v>
      </c>
      <c r="H55" s="3747"/>
      <c r="I55" s="135" t="s">
        <v>1870</v>
      </c>
      <c r="J55" s="1985">
        <f>项目基本情况!F35</f>
        <v>0</v>
      </c>
      <c r="K55" s="1986" t="s">
        <v>1871</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1872</v>
      </c>
      <c r="B56" s="637" t="e">
        <f>C48</f>
        <v>#DIV/0!</v>
      </c>
      <c r="C56" s="638">
        <v>1</v>
      </c>
      <c r="D56" s="944">
        <v>1</v>
      </c>
      <c r="E56" s="638">
        <f>'数据-汇总表'!E8+'数据-汇总表'!E9</f>
        <v>217376</v>
      </c>
      <c r="F56" s="886" t="e">
        <f t="shared" ref="F56:F64" si="15">ROUND(B56*E56/10000,0)</f>
        <v>#DIV/0!</v>
      </c>
      <c r="G56" s="3699"/>
      <c r="H56" s="3717"/>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1873</v>
      </c>
      <c r="B57" s="218" t="e">
        <f>ROUND($C$48*C57*D57,0)</f>
        <v>#DIV/0!</v>
      </c>
      <c r="C57" s="171">
        <f t="shared" ref="C57:C64" si="16">IF($C$55="北京市系数",I57,J57)</f>
        <v>0</v>
      </c>
      <c r="D57" s="945">
        <v>0.25</v>
      </c>
      <c r="E57" s="642"/>
      <c r="F57" s="886" t="e">
        <f t="shared" si="15"/>
        <v>#DIV/0!</v>
      </c>
      <c r="G57" s="2985" t="s">
        <v>1874</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1875</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1876</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1877</v>
      </c>
      <c r="B60" s="218" t="e">
        <f t="shared" si="17"/>
        <v>#DIV/0!</v>
      </c>
      <c r="C60" s="171">
        <f t="shared" si="16"/>
        <v>0</v>
      </c>
      <c r="D60" s="945">
        <v>0.25</v>
      </c>
      <c r="E60" s="217">
        <f>'数据-汇总表'!E11</f>
        <v>0</v>
      </c>
      <c r="F60" s="886" t="e">
        <f t="shared" si="15"/>
        <v>#DIV/0!</v>
      </c>
      <c r="G60" s="1987" t="s">
        <v>1878</v>
      </c>
      <c r="H60" s="887">
        <f>项目基本情况!C37</f>
        <v>0</v>
      </c>
      <c r="I60" s="891">
        <f>SUMIF(修正!A57:A68,H60,修正!E57:E68)</f>
        <v>0</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1879</v>
      </c>
      <c r="B61" s="218" t="e">
        <f t="shared" si="17"/>
        <v>#DIV/0!</v>
      </c>
      <c r="C61" s="171">
        <f t="shared" si="16"/>
        <v>0</v>
      </c>
      <c r="D61" s="945">
        <v>0.25</v>
      </c>
      <c r="E61" s="217">
        <f>'数据-汇总表'!E12</f>
        <v>0</v>
      </c>
      <c r="F61" s="886" t="e">
        <f t="shared" si="15"/>
        <v>#DIV/0!</v>
      </c>
      <c r="G61" s="892" t="s">
        <v>1880</v>
      </c>
      <c r="H61" s="887">
        <f>IF(G61="商业",项目基本情况!B37,IF(G61="办公",项目基本情况!C37,IF(G61="住宅",项目基本情况!D37,项目基本情况!E37)))</f>
        <v>0</v>
      </c>
      <c r="I61" s="891">
        <f>SUMIF(修正!A57:A68,H61,修正!F57:F68)</f>
        <v>0</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1881</v>
      </c>
      <c r="B62" s="218" t="e">
        <f t="shared" si="17"/>
        <v>#DIV/0!</v>
      </c>
      <c r="C62" s="171">
        <f t="shared" si="16"/>
        <v>0</v>
      </c>
      <c r="D62" s="945">
        <v>0.25</v>
      </c>
      <c r="E62" s="217">
        <f>'数据-汇总表'!E13</f>
        <v>0</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1883</v>
      </c>
      <c r="B63" s="218" t="e">
        <f t="shared" si="17"/>
        <v>#DIV/0!</v>
      </c>
      <c r="C63" s="171">
        <f t="shared" si="16"/>
        <v>0</v>
      </c>
      <c r="D63" s="945">
        <v>0.25</v>
      </c>
      <c r="E63" s="217">
        <f>'数据-汇总表'!E14</f>
        <v>0</v>
      </c>
      <c r="F63" s="886" t="e">
        <f t="shared" si="15"/>
        <v>#DIV/0!</v>
      </c>
      <c r="G63" s="1987" t="s">
        <v>1874</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1884</v>
      </c>
      <c r="B64" s="218" t="e">
        <f t="shared" si="17"/>
        <v>#DIV/0!</v>
      </c>
      <c r="C64" s="171">
        <f t="shared" si="16"/>
        <v>0</v>
      </c>
      <c r="D64" s="945">
        <v>0.25</v>
      </c>
      <c r="E64" s="217">
        <f>'数据-汇总表'!E15</f>
        <v>0</v>
      </c>
      <c r="F64" s="886" t="e">
        <f t="shared" si="15"/>
        <v>#DIV/0!</v>
      </c>
      <c r="G64" s="1988" t="s">
        <v>1878</v>
      </c>
      <c r="H64" s="897">
        <f>项目基本情况!C37</f>
        <v>0</v>
      </c>
      <c r="I64" s="893">
        <f>SUMIF(修正!A57:A68,H64,修正!G57:G68)</f>
        <v>0</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1885</v>
      </c>
      <c r="B65" s="644" t="s">
        <v>22</v>
      </c>
      <c r="C65" s="644" t="s">
        <v>23</v>
      </c>
      <c r="D65" s="644" t="s">
        <v>392</v>
      </c>
      <c r="E65" s="644">
        <f>IF(B46="楼面地价",SUM(E56:E64),'数据-汇总表'!D3)</f>
        <v>217376</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04"/>
      <c r="Q67" s="2704"/>
      <c r="R67" s="2704"/>
      <c r="S67" s="2704"/>
      <c r="T67" s="2704"/>
      <c r="U67" s="2704"/>
      <c r="V67" s="2704"/>
      <c r="W67" s="2704"/>
      <c r="X67" s="2704"/>
      <c r="Y67" s="2704"/>
      <c r="Z67" s="2704"/>
      <c r="AA67" s="2704"/>
      <c r="AB67" s="2704"/>
      <c r="AC67" s="2704"/>
    </row>
    <row r="68" spans="1:29" ht="21.75" thickBot="1">
      <c r="A68" s="694" t="s">
        <v>1780</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1886</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5"/>
      <c r="Q69" s="2720"/>
      <c r="R69" s="2720"/>
      <c r="S69" s="2720"/>
      <c r="T69" s="2720"/>
      <c r="U69" s="2720"/>
      <c r="V69" s="2720"/>
      <c r="W69" s="2720"/>
      <c r="X69" s="2720"/>
      <c r="Y69" s="2720"/>
      <c r="Z69" s="2720"/>
      <c r="AA69" s="2720"/>
      <c r="AB69" s="2720"/>
      <c r="AC69" s="2720"/>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1"/>
      <c r="R70" s="2641"/>
      <c r="S70" s="2641"/>
      <c r="T70" s="2641"/>
      <c r="U70" s="2641"/>
      <c r="V70" s="2641"/>
      <c r="W70" s="2641"/>
      <c r="X70" s="2641"/>
      <c r="Y70" s="2641"/>
      <c r="Z70" s="2641"/>
      <c r="AA70" s="2641"/>
      <c r="AB70" s="2641"/>
      <c r="AC70" s="2641"/>
    </row>
    <row r="71" spans="1:29" s="108" customFormat="1" ht="15.75" thickBot="1">
      <c r="A71" s="464" t="s">
        <v>1698</v>
      </c>
      <c r="B71" s="465"/>
      <c r="C71" s="466"/>
      <c r="D71" s="467"/>
      <c r="E71" s="467"/>
      <c r="F71" s="467"/>
      <c r="G71" s="467"/>
      <c r="H71" s="467"/>
      <c r="I71" s="467"/>
      <c r="J71" s="467"/>
      <c r="K71" s="467"/>
      <c r="L71" s="467"/>
      <c r="M71" s="468"/>
      <c r="N71" s="467"/>
      <c r="O71" s="943"/>
      <c r="P71" s="2718"/>
      <c r="Q71" s="2718"/>
      <c r="R71" s="2641"/>
      <c r="S71" s="2641"/>
      <c r="T71" s="2641"/>
      <c r="U71" s="2641"/>
      <c r="V71" s="2641"/>
      <c r="W71" s="2641"/>
      <c r="X71" s="2641"/>
      <c r="Y71" s="2641"/>
      <c r="Z71" s="2641"/>
      <c r="AA71" s="2641"/>
      <c r="AB71" s="2641"/>
      <c r="AC71" s="2641"/>
    </row>
    <row r="72" spans="1:29" s="108" customFormat="1" ht="15">
      <c r="A72" s="470" t="s">
        <v>1663</v>
      </c>
      <c r="B72" s="459"/>
      <c r="C72" s="471" t="s">
        <v>1758</v>
      </c>
      <c r="D72" s="472"/>
      <c r="E72" s="472"/>
      <c r="F72" s="472"/>
      <c r="G72" s="472"/>
      <c r="H72" s="472"/>
      <c r="I72" s="472"/>
      <c r="J72" s="472"/>
      <c r="K72" s="472"/>
      <c r="L72" s="473"/>
      <c r="M72" s="474"/>
      <c r="N72" s="2731"/>
      <c r="O72" s="2731"/>
      <c r="P72" s="2756"/>
      <c r="Q72" s="2718"/>
      <c r="R72" s="2641"/>
      <c r="S72" s="2641"/>
      <c r="T72" s="2641"/>
      <c r="U72" s="2641"/>
      <c r="V72" s="2641"/>
      <c r="W72" s="2641"/>
      <c r="X72" s="2641"/>
      <c r="Y72" s="2641"/>
      <c r="Z72" s="2641"/>
      <c r="AA72" s="2641"/>
      <c r="AB72" s="2641"/>
      <c r="AC72" s="2641"/>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1"/>
      <c r="S73" s="2641"/>
      <c r="T73" s="2641"/>
      <c r="U73" s="2641"/>
      <c r="V73" s="2641"/>
      <c r="W73" s="2641"/>
      <c r="X73" s="2641"/>
      <c r="Y73" s="2641"/>
      <c r="Z73" s="2641"/>
      <c r="AA73" s="2641"/>
      <c r="AB73" s="2641"/>
      <c r="AC73" s="2641"/>
    </row>
    <row r="74" spans="1:29">
      <c r="A74" s="476" t="s">
        <v>1701</v>
      </c>
      <c r="B74" s="477" t="s">
        <v>1667</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1670</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1672</v>
      </c>
      <c r="B87" s="477" t="s">
        <v>1702</v>
      </c>
      <c r="C87" s="522" t="s">
        <v>1703</v>
      </c>
      <c r="D87" s="522" t="s">
        <v>1704</v>
      </c>
      <c r="E87" s="522" t="s">
        <v>1705</v>
      </c>
      <c r="F87" s="522" t="s">
        <v>1706</v>
      </c>
      <c r="G87" s="522" t="s">
        <v>1707</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1888</v>
      </c>
      <c r="C89" s="527" t="s">
        <v>1703</v>
      </c>
      <c r="D89" s="527" t="s">
        <v>1704</v>
      </c>
      <c r="E89" s="527" t="s">
        <v>1705</v>
      </c>
      <c r="F89" s="527" t="s">
        <v>1706</v>
      </c>
      <c r="G89" s="527" t="s">
        <v>1707</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1803</v>
      </c>
      <c r="C91" s="527" t="s">
        <v>1703</v>
      </c>
      <c r="D91" s="527" t="s">
        <v>1704</v>
      </c>
      <c r="E91" s="527" t="s">
        <v>1705</v>
      </c>
      <c r="F91" s="527" t="s">
        <v>1706</v>
      </c>
      <c r="G91" s="527" t="s">
        <v>1707</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1708</v>
      </c>
      <c r="C93" s="527" t="s">
        <v>1703</v>
      </c>
      <c r="D93" s="527" t="s">
        <v>1704</v>
      </c>
      <c r="E93" s="527" t="s">
        <v>1705</v>
      </c>
      <c r="F93" s="527" t="s">
        <v>1706</v>
      </c>
      <c r="G93" s="527" t="s">
        <v>1707</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31"/>
      <c r="O95" s="2731"/>
      <c r="P95" s="2757"/>
      <c r="Q95" s="2718"/>
      <c r="R95" s="2641"/>
      <c r="S95" s="2641"/>
      <c r="T95" s="2641"/>
      <c r="U95" s="2641"/>
      <c r="V95" s="2641"/>
      <c r="W95" s="2641"/>
      <c r="X95" s="2641"/>
      <c r="Y95" s="2641"/>
      <c r="Z95" s="2641"/>
      <c r="AA95" s="2641"/>
      <c r="AB95" s="2641"/>
      <c r="AC95" s="264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1"/>
      <c r="S96" s="2641"/>
      <c r="T96" s="2641"/>
      <c r="U96" s="2641"/>
      <c r="V96" s="2641"/>
      <c r="W96" s="2641"/>
      <c r="X96" s="2641"/>
      <c r="Y96" s="2641"/>
      <c r="Z96" s="2641"/>
      <c r="AA96" s="2641"/>
      <c r="AB96" s="2641"/>
      <c r="AC96" s="2641"/>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31"/>
      <c r="O97" s="2731"/>
      <c r="P97" s="2757"/>
      <c r="Q97" s="2718"/>
      <c r="R97" s="2641"/>
      <c r="S97" s="2641"/>
      <c r="T97" s="2641"/>
      <c r="U97" s="2641"/>
      <c r="V97" s="2641"/>
      <c r="W97" s="2641"/>
      <c r="X97" s="2641"/>
      <c r="Y97" s="2641"/>
      <c r="Z97" s="2641"/>
      <c r="AA97" s="2641"/>
      <c r="AB97" s="2641"/>
      <c r="AC97" s="264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1"/>
      <c r="S98" s="2641"/>
      <c r="T98" s="2641"/>
      <c r="U98" s="2641"/>
      <c r="V98" s="2641"/>
      <c r="W98" s="2641"/>
      <c r="X98" s="2641"/>
      <c r="Y98" s="2641"/>
      <c r="Z98" s="2641"/>
      <c r="AA98" s="2641"/>
      <c r="AB98" s="2641"/>
      <c r="AC98" s="2641"/>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1797</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1855</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1896</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1897</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1898</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1899</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1751</v>
      </c>
      <c r="B4" s="356"/>
      <c r="C4" s="3700" t="s">
        <v>1752</v>
      </c>
      <c r="D4" s="3701"/>
      <c r="E4" s="3702" t="s">
        <v>1753</v>
      </c>
      <c r="F4" s="3703"/>
      <c r="G4" s="3700" t="s">
        <v>1754</v>
      </c>
      <c r="H4" s="3701"/>
      <c r="I4" s="3700" t="s">
        <v>1755</v>
      </c>
      <c r="J4" s="3701"/>
      <c r="K4" s="559" t="s">
        <v>1756</v>
      </c>
      <c r="L4" s="2694"/>
      <c r="M4" s="2695"/>
      <c r="N4" s="2695"/>
      <c r="O4" s="2695"/>
      <c r="P4" s="3704" t="s">
        <v>1757</v>
      </c>
      <c r="Q4" s="3705"/>
      <c r="R4" s="3687" t="s">
        <v>1753</v>
      </c>
      <c r="S4" s="3688"/>
      <c r="T4" s="3687" t="s">
        <v>1754</v>
      </c>
      <c r="U4" s="3688"/>
      <c r="V4" s="3712" t="s">
        <v>1755</v>
      </c>
      <c r="W4" s="3712"/>
      <c r="X4" s="1355"/>
      <c r="Y4" s="3687" t="s">
        <v>1757</v>
      </c>
      <c r="Z4" s="3688"/>
      <c r="AA4" s="3682" t="s">
        <v>1753</v>
      </c>
      <c r="AB4" s="3683" t="s">
        <v>1754</v>
      </c>
      <c r="AC4" s="3682" t="s">
        <v>1755</v>
      </c>
    </row>
    <row r="5" spans="1:29" ht="15">
      <c r="A5" s="358"/>
      <c r="B5" s="359"/>
      <c r="C5" s="3693" t="s">
        <v>1655</v>
      </c>
      <c r="D5" s="3694"/>
      <c r="E5" s="3691" t="s">
        <v>1656</v>
      </c>
      <c r="F5" s="3692"/>
      <c r="G5" s="3693" t="s">
        <v>1657</v>
      </c>
      <c r="H5" s="3694"/>
      <c r="I5" s="3693" t="s">
        <v>1658</v>
      </c>
      <c r="J5" s="3694"/>
      <c r="K5" s="559"/>
      <c r="L5" s="2694"/>
      <c r="M5" s="2695"/>
      <c r="N5" s="2695"/>
      <c r="O5" s="2695"/>
      <c r="P5" s="3706"/>
      <c r="Q5" s="3707"/>
      <c r="R5" s="3689"/>
      <c r="S5" s="3690"/>
      <c r="T5" s="3689"/>
      <c r="U5" s="3690"/>
      <c r="V5" s="3712"/>
      <c r="W5" s="3712"/>
      <c r="X5" s="1355"/>
      <c r="Y5" s="3689"/>
      <c r="Z5" s="3690"/>
      <c r="AA5" s="3683"/>
      <c r="AB5" s="3683"/>
      <c r="AC5" s="3683"/>
    </row>
    <row r="6" spans="1:29" ht="15.75" thickBot="1">
      <c r="A6" s="360"/>
      <c r="B6" s="361"/>
      <c r="C6" s="3748" t="s">
        <v>1901</v>
      </c>
      <c r="D6" s="3749"/>
      <c r="E6" s="3750" t="s">
        <v>1901</v>
      </c>
      <c r="F6" s="3751"/>
      <c r="G6" s="3748" t="s">
        <v>1901</v>
      </c>
      <c r="H6" s="3749"/>
      <c r="I6" s="3748" t="s">
        <v>1901</v>
      </c>
      <c r="J6" s="3749"/>
      <c r="K6" s="559" t="s">
        <v>1660</v>
      </c>
      <c r="L6" s="2694"/>
      <c r="M6" s="2695"/>
      <c r="N6" s="2695"/>
      <c r="O6" s="2695"/>
      <c r="P6" s="3708"/>
      <c r="Q6" s="3709"/>
      <c r="R6" s="3689"/>
      <c r="S6" s="3690"/>
      <c r="T6" s="3710"/>
      <c r="U6" s="3711"/>
      <c r="V6" s="3712"/>
      <c r="W6" s="3712"/>
      <c r="X6" s="1355"/>
      <c r="Y6" s="3710"/>
      <c r="Z6" s="3711"/>
      <c r="AA6" s="3684"/>
      <c r="AB6" s="3684"/>
      <c r="AC6" s="3684"/>
    </row>
    <row r="7" spans="1:29" s="108" customFormat="1" ht="15.75" thickBot="1">
      <c r="A7" s="362" t="s">
        <v>1661</v>
      </c>
      <c r="B7" s="363"/>
      <c r="C7" s="364">
        <f>'数据-取费表'!B2</f>
        <v>45421</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685" t="s">
        <v>1662</v>
      </c>
      <c r="Q7" s="3713"/>
      <c r="R7" s="701" t="s">
        <v>14</v>
      </c>
      <c r="S7" s="702">
        <f t="shared" ref="S7:S15" si="0">F7</f>
        <v>0</v>
      </c>
      <c r="T7" s="701" t="s">
        <v>14</v>
      </c>
      <c r="U7" s="702">
        <f t="shared" ref="U7:U15" si="1">H7</f>
        <v>0</v>
      </c>
      <c r="V7" s="701" t="s">
        <v>14</v>
      </c>
      <c r="W7" s="702">
        <f t="shared" ref="W7:W15" si="2">J7</f>
        <v>0</v>
      </c>
      <c r="X7" s="703"/>
      <c r="Y7" s="3685" t="s">
        <v>1662</v>
      </c>
      <c r="Z7" s="3686"/>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85" t="s">
        <v>1665</v>
      </c>
      <c r="Q8" s="3686"/>
      <c r="R8" s="701" t="s">
        <v>14</v>
      </c>
      <c r="S8" s="702">
        <f t="shared" si="0"/>
        <v>0</v>
      </c>
      <c r="T8" s="701" t="s">
        <v>14</v>
      </c>
      <c r="U8" s="702">
        <f t="shared" si="1"/>
        <v>0</v>
      </c>
      <c r="V8" s="701" t="s">
        <v>14</v>
      </c>
      <c r="W8" s="702">
        <f t="shared" si="2"/>
        <v>0</v>
      </c>
      <c r="X8" s="703"/>
      <c r="Y8" s="3685" t="s">
        <v>1665</v>
      </c>
      <c r="Z8" s="3686"/>
      <c r="AA8" s="704" t="e">
        <f t="shared" ref="AA8:AA40" si="3">D8/F8</f>
        <v>#DIV/0!</v>
      </c>
      <c r="AB8" s="704" t="e">
        <f t="shared" ref="AB8:AB40" si="4">D8/H8</f>
        <v>#DIV/0!</v>
      </c>
      <c r="AC8" s="704" t="e">
        <f t="shared" ref="AC8:AC40" si="5">D8/J8</f>
        <v>#DIV/0!</v>
      </c>
    </row>
    <row r="9" spans="1:29" s="108" customFormat="1">
      <c r="A9" s="369" t="s">
        <v>1666</v>
      </c>
      <c r="B9" s="63" t="s">
        <v>1667</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717" t="s">
        <v>1668</v>
      </c>
      <c r="Q9" s="1343" t="str">
        <f t="shared" ref="Q9:Q15" si="6">B9</f>
        <v>用途</v>
      </c>
      <c r="R9" s="701" t="s">
        <v>14</v>
      </c>
      <c r="S9" s="702">
        <f t="shared" si="0"/>
        <v>100</v>
      </c>
      <c r="T9" s="701" t="s">
        <v>14</v>
      </c>
      <c r="U9" s="702">
        <f t="shared" si="1"/>
        <v>100</v>
      </c>
      <c r="V9" s="701" t="s">
        <v>14</v>
      </c>
      <c r="W9" s="702">
        <f t="shared" si="2"/>
        <v>100</v>
      </c>
      <c r="X9" s="703"/>
      <c r="Y9" s="3629"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115</v>
      </c>
      <c r="G10" s="383"/>
      <c r="H10" s="127">
        <f>ROUND(100/'数据-取费表'!G16,0)</f>
        <v>115</v>
      </c>
      <c r="I10" s="383"/>
      <c r="J10" s="127">
        <f>ROUND(100/'数据-取费表'!G16,0)</f>
        <v>115</v>
      </c>
      <c r="K10" s="620"/>
      <c r="L10" s="2698"/>
      <c r="M10" s="2699"/>
      <c r="N10" s="2699"/>
      <c r="O10" s="2752"/>
      <c r="P10" s="3717"/>
      <c r="Q10" s="1343" t="str">
        <f t="shared" si="6"/>
        <v>土地使用年限（年）</v>
      </c>
      <c r="R10" s="701" t="s">
        <v>14</v>
      </c>
      <c r="S10" s="702">
        <f t="shared" si="0"/>
        <v>115</v>
      </c>
      <c r="T10" s="701" t="s">
        <v>14</v>
      </c>
      <c r="U10" s="702">
        <f t="shared" si="1"/>
        <v>115</v>
      </c>
      <c r="V10" s="701" t="s">
        <v>14</v>
      </c>
      <c r="W10" s="702">
        <f t="shared" si="2"/>
        <v>115</v>
      </c>
      <c r="X10" s="703"/>
      <c r="Y10" s="3629"/>
      <c r="Z10" s="52" t="str">
        <f t="shared" si="7"/>
        <v>土地使用年限（年）</v>
      </c>
      <c r="AA10" s="704">
        <f t="shared" si="3"/>
        <v>0.86956521739130432</v>
      </c>
      <c r="AB10" s="704">
        <f t="shared" si="4"/>
        <v>0.86956521739130432</v>
      </c>
      <c r="AC10" s="704">
        <f t="shared" si="5"/>
        <v>0.86956521739130432</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1672</v>
      </c>
      <c r="B15" s="577" t="s">
        <v>1902</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719" t="s">
        <v>1673</v>
      </c>
      <c r="Q15" s="1352" t="str">
        <f t="shared" si="6"/>
        <v>产业集聚程度</v>
      </c>
      <c r="R15" s="705" t="s">
        <v>14</v>
      </c>
      <c r="S15" s="706">
        <f t="shared" si="0"/>
        <v>100</v>
      </c>
      <c r="T15" s="705" t="s">
        <v>14</v>
      </c>
      <c r="U15" s="706">
        <f t="shared" si="1"/>
        <v>100</v>
      </c>
      <c r="V15" s="705" t="s">
        <v>14</v>
      </c>
      <c r="W15" s="706">
        <f t="shared" si="2"/>
        <v>100</v>
      </c>
      <c r="X15" s="1355"/>
      <c r="Y15" s="3719" t="s">
        <v>1673</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720"/>
      <c r="Q16" s="1352"/>
      <c r="R16" s="705"/>
      <c r="S16" s="706"/>
      <c r="T16" s="705"/>
      <c r="U16" s="706"/>
      <c r="V16" s="705"/>
      <c r="W16" s="706"/>
      <c r="X16" s="1355"/>
      <c r="Y16" s="3720"/>
      <c r="Z16" s="1356"/>
      <c r="AA16" s="1353">
        <v>1</v>
      </c>
      <c r="AB16" s="1353">
        <v>1</v>
      </c>
      <c r="AC16" s="1353">
        <v>1</v>
      </c>
    </row>
    <row r="17" spans="1:29" ht="85.5">
      <c r="A17" s="379"/>
      <c r="B17" s="579" t="s">
        <v>1815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720"/>
      <c r="Q18" s="1352"/>
      <c r="R18" s="705"/>
      <c r="S18" s="706"/>
      <c r="T18" s="705"/>
      <c r="U18" s="706"/>
      <c r="V18" s="705"/>
      <c r="W18" s="706"/>
      <c r="X18" s="1355"/>
      <c r="Y18" s="3720"/>
      <c r="Z18" s="1356"/>
      <c r="AA18" s="1353">
        <v>1</v>
      </c>
      <c r="AB18" s="1353">
        <v>1</v>
      </c>
      <c r="AC18" s="1353">
        <v>1</v>
      </c>
    </row>
    <row r="19" spans="1:29" ht="15">
      <c r="A19" s="379"/>
      <c r="B19" s="579" t="s">
        <v>1853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720"/>
      <c r="Q20" s="1352"/>
      <c r="R20" s="705"/>
      <c r="S20" s="706"/>
      <c r="T20" s="705"/>
      <c r="U20" s="706"/>
      <c r="V20" s="705"/>
      <c r="W20" s="706"/>
      <c r="X20" s="1355"/>
      <c r="Y20" s="3720"/>
      <c r="Z20" s="1356"/>
      <c r="AA20" s="1353"/>
      <c r="AB20" s="1353"/>
      <c r="AC20" s="1353"/>
    </row>
    <row r="21" spans="1:29" ht="71.25">
      <c r="A21" s="358"/>
      <c r="B21" s="579" t="s">
        <v>1903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720"/>
      <c r="Q22" s="1352"/>
      <c r="R22" s="705"/>
      <c r="S22" s="706"/>
      <c r="T22" s="705"/>
      <c r="U22" s="706"/>
      <c r="V22" s="705"/>
      <c r="W22" s="706"/>
      <c r="X22" s="1355"/>
      <c r="Y22" s="3720"/>
      <c r="Z22" s="1356"/>
      <c r="AA22" s="1353">
        <v>1</v>
      </c>
      <c r="AB22" s="1353">
        <v>1</v>
      </c>
      <c r="AC22" s="1353">
        <v>1</v>
      </c>
    </row>
    <row r="23" spans="1:29" s="108" customFormat="1" ht="42.75">
      <c r="A23" s="597"/>
      <c r="B23" s="581" t="s">
        <v>1760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720"/>
      <c r="Q24" s="1343"/>
      <c r="R24" s="701"/>
      <c r="S24" s="702"/>
      <c r="T24" s="701"/>
      <c r="U24" s="702"/>
      <c r="V24" s="701"/>
      <c r="W24" s="702"/>
      <c r="X24" s="703"/>
      <c r="Y24" s="3720"/>
      <c r="Z24" s="52"/>
      <c r="AA24" s="704">
        <v>1</v>
      </c>
      <c r="AB24" s="704">
        <v>1</v>
      </c>
      <c r="AC24" s="704">
        <v>1</v>
      </c>
    </row>
    <row r="25" spans="1:29" s="108" customFormat="1" ht="28.5">
      <c r="A25" s="597"/>
      <c r="B25" s="581" t="s">
        <v>1761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720"/>
      <c r="Q26" s="1343"/>
      <c r="R26" s="701"/>
      <c r="S26" s="702"/>
      <c r="T26" s="701"/>
      <c r="U26" s="702"/>
      <c r="V26" s="701"/>
      <c r="W26" s="702"/>
      <c r="X26" s="703"/>
      <c r="Y26" s="3720"/>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720"/>
      <c r="Q29" s="1352"/>
      <c r="R29" s="705"/>
      <c r="S29" s="706"/>
      <c r="T29" s="705"/>
      <c r="U29" s="706"/>
      <c r="V29" s="705"/>
      <c r="W29" s="706"/>
      <c r="X29" s="1355"/>
      <c r="Y29" s="3720"/>
      <c r="Z29" s="1356"/>
      <c r="AA29" s="1353">
        <v>1</v>
      </c>
      <c r="AB29" s="1353">
        <v>1</v>
      </c>
      <c r="AC29" s="1353">
        <v>1</v>
      </c>
    </row>
    <row r="30" spans="1:29" ht="15">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43" t="s">
        <v>1678</v>
      </c>
      <c r="Q32" s="1352">
        <f t="shared" si="8"/>
        <v>111</v>
      </c>
      <c r="R32" s="705" t="s">
        <v>14</v>
      </c>
      <c r="S32" s="706">
        <f t="shared" si="10"/>
        <v>100</v>
      </c>
      <c r="T32" s="705" t="s">
        <v>14</v>
      </c>
      <c r="U32" s="706">
        <f t="shared" si="11"/>
        <v>100</v>
      </c>
      <c r="V32" s="705" t="s">
        <v>14</v>
      </c>
      <c r="W32" s="706">
        <f t="shared" si="12"/>
        <v>100</v>
      </c>
      <c r="X32" s="1355"/>
      <c r="Y32" s="3724" t="s">
        <v>1678</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1857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1859</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1860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724" t="s">
        <v>1678</v>
      </c>
      <c r="Q37" s="1352" t="str">
        <f t="shared" si="14"/>
        <v>工程地质条件</v>
      </c>
      <c r="R37" s="705" t="s">
        <v>14</v>
      </c>
      <c r="S37" s="706">
        <f t="shared" si="10"/>
        <v>100</v>
      </c>
      <c r="T37" s="705" t="s">
        <v>14</v>
      </c>
      <c r="U37" s="706">
        <f t="shared" si="11"/>
        <v>100</v>
      </c>
      <c r="V37" s="705" t="s">
        <v>14</v>
      </c>
      <c r="W37" s="706">
        <f t="shared" si="12"/>
        <v>100</v>
      </c>
      <c r="X37" s="1355"/>
      <c r="Y37" s="3724" t="s">
        <v>1678</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1826</v>
      </c>
      <c r="B41" s="1982" t="s">
        <v>1904</v>
      </c>
      <c r="C41" s="630" t="s">
        <v>0</v>
      </c>
      <c r="D41" s="432"/>
      <c r="E41" s="433"/>
      <c r="F41" s="434"/>
      <c r="G41" s="435"/>
      <c r="H41" s="436"/>
      <c r="I41" s="433"/>
      <c r="J41" s="436"/>
      <c r="K41" s="714"/>
      <c r="L41" s="2703"/>
      <c r="M41" s="2695"/>
      <c r="N41" s="2695"/>
      <c r="O41" s="2704"/>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1775</v>
      </c>
      <c r="B42" s="631"/>
      <c r="C42" s="440" t="e">
        <f>R43</f>
        <v>#DIV/0!</v>
      </c>
      <c r="D42" s="2317" t="s">
        <v>2120</v>
      </c>
      <c r="E42" s="440" t="e">
        <f>R42</f>
        <v>#DIV/0!</v>
      </c>
      <c r="F42" s="2318"/>
      <c r="G42" s="439" t="e">
        <f>T42</f>
        <v>#DIV/0!</v>
      </c>
      <c r="H42" s="2318"/>
      <c r="I42" s="440" t="e">
        <f>V42</f>
        <v>#DIV/0!</v>
      </c>
      <c r="J42" s="2318"/>
      <c r="K42" s="2320">
        <f>F42+H42+J42</f>
        <v>0</v>
      </c>
      <c r="L42" s="2703"/>
      <c r="M42" s="2695"/>
      <c r="N42" s="2695"/>
      <c r="O42" s="2704"/>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3"/>
      <c r="M43" s="2695"/>
      <c r="N43" s="2695"/>
      <c r="O43" s="2704"/>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1863</v>
      </c>
      <c r="B50" s="633" t="s">
        <v>1864</v>
      </c>
      <c r="C50" s="1983" t="s">
        <v>1865</v>
      </c>
      <c r="D50" s="1984" t="s">
        <v>1866</v>
      </c>
      <c r="E50" s="634" t="s">
        <v>1867</v>
      </c>
      <c r="F50" s="635" t="s">
        <v>1868</v>
      </c>
      <c r="G50" s="3700" t="s">
        <v>1869</v>
      </c>
      <c r="H50" s="3747"/>
      <c r="I50" s="1356" t="s">
        <v>1905</v>
      </c>
      <c r="J50" s="1356">
        <f>项目基本情况!F35</f>
        <v>0</v>
      </c>
      <c r="K50" s="1986" t="s">
        <v>1871</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1872</v>
      </c>
      <c r="B51" s="637" t="e">
        <f>C43</f>
        <v>#DIV/0!</v>
      </c>
      <c r="C51" s="638">
        <v>1</v>
      </c>
      <c r="D51" s="944">
        <v>1</v>
      </c>
      <c r="E51" s="638">
        <f>'数据-汇总表'!E8+'数据-汇总表'!E9</f>
        <v>217376</v>
      </c>
      <c r="F51" s="639" t="e">
        <f t="shared" ref="F51:F60" si="15">ROUND(B51*E51/10000,0)</f>
        <v>#DIV/0!</v>
      </c>
      <c r="G51" s="3699"/>
      <c r="H51" s="3717"/>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1873</v>
      </c>
      <c r="B52" s="218" t="e">
        <f>ROUND($C$43*C52*D52,0)</f>
        <v>#DIV/0!</v>
      </c>
      <c r="C52" s="171">
        <f t="shared" ref="C52:C60" si="16">IF($C$50="北京市系数",I52,J52)</f>
        <v>0</v>
      </c>
      <c r="D52" s="945">
        <v>0.25</v>
      </c>
      <c r="E52" s="642"/>
      <c r="F52" s="639" t="e">
        <f t="shared" si="15"/>
        <v>#DIV/0!</v>
      </c>
      <c r="G52" s="2985" t="s">
        <v>1874</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1875</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1876</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1877</v>
      </c>
      <c r="B56" s="218" t="e">
        <f t="shared" si="17"/>
        <v>#DIV/0!</v>
      </c>
      <c r="C56" s="171">
        <f t="shared" si="16"/>
        <v>0</v>
      </c>
      <c r="D56" s="945">
        <v>0.25</v>
      </c>
      <c r="E56" s="217">
        <f>'数据-汇总表'!E11</f>
        <v>0</v>
      </c>
      <c r="F56" s="639" t="e">
        <f t="shared" si="15"/>
        <v>#DIV/0!</v>
      </c>
      <c r="G56" s="1987" t="s">
        <v>1878</v>
      </c>
      <c r="H56" s="887">
        <f>项目基本情况!C37</f>
        <v>0</v>
      </c>
      <c r="I56" s="773">
        <f>SUMIF(修正!A57:A68,H56,修正!E57:E68)</f>
        <v>0</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1879</v>
      </c>
      <c r="B57" s="218" t="e">
        <f t="shared" si="17"/>
        <v>#DIV/0!</v>
      </c>
      <c r="C57" s="171">
        <f t="shared" si="16"/>
        <v>0</v>
      </c>
      <c r="D57" s="945">
        <v>0.25</v>
      </c>
      <c r="E57" s="217">
        <f>'数据-汇总表'!E12</f>
        <v>0</v>
      </c>
      <c r="F57" s="639" t="e">
        <f t="shared" si="15"/>
        <v>#DIV/0!</v>
      </c>
      <c r="G57" s="892" t="s">
        <v>1880</v>
      </c>
      <c r="H57" s="887">
        <f>IF(G57="商业",项目基本情况!B37,IF(G57="办公",项目基本情况!C37,IF(G57="住宅",项目基本情况!D37,项目基本情况!E37)))</f>
        <v>0</v>
      </c>
      <c r="I57" s="773">
        <f>SUMIF(修正!A57:A68,H57,修正!F57:F68)</f>
        <v>0</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1881</v>
      </c>
      <c r="B58" s="218" t="e">
        <f t="shared" si="17"/>
        <v>#DIV/0!</v>
      </c>
      <c r="C58" s="171">
        <f t="shared" si="16"/>
        <v>0</v>
      </c>
      <c r="D58" s="945">
        <v>0.25</v>
      </c>
      <c r="E58" s="217">
        <f>'数据-汇总表'!E13</f>
        <v>0</v>
      </c>
      <c r="F58" s="639" t="e">
        <f t="shared" si="15"/>
        <v>#DIV/0!</v>
      </c>
      <c r="G58" s="892" t="s">
        <v>1882</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1883</v>
      </c>
      <c r="B59" s="218" t="e">
        <f t="shared" si="17"/>
        <v>#DIV/0!</v>
      </c>
      <c r="C59" s="171">
        <f t="shared" si="16"/>
        <v>0</v>
      </c>
      <c r="D59" s="945">
        <v>0.25</v>
      </c>
      <c r="E59" s="217">
        <f>'数据-汇总表'!E14</f>
        <v>0</v>
      </c>
      <c r="F59" s="639" t="e">
        <f t="shared" si="15"/>
        <v>#DIV/0!</v>
      </c>
      <c r="G59" s="1987" t="s">
        <v>1874</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1884</v>
      </c>
      <c r="B60" s="218" t="e">
        <f t="shared" si="17"/>
        <v>#DIV/0!</v>
      </c>
      <c r="C60" s="171">
        <f t="shared" si="16"/>
        <v>0</v>
      </c>
      <c r="D60" s="945">
        <v>0.25</v>
      </c>
      <c r="E60" s="217">
        <f>'数据-汇总表'!E15</f>
        <v>0</v>
      </c>
      <c r="F60" s="639" t="e">
        <f t="shared" si="15"/>
        <v>#DIV/0!</v>
      </c>
      <c r="G60" s="1988" t="s">
        <v>1878</v>
      </c>
      <c r="H60" s="897">
        <f>项目基本情况!C37</f>
        <v>0</v>
      </c>
      <c r="I60" s="773">
        <f>SUMIF(修正!A57:A68,H60,修正!G57:G68)</f>
        <v>0</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1885</v>
      </c>
      <c r="B61" s="644" t="s">
        <v>22</v>
      </c>
      <c r="C61" s="644" t="s">
        <v>23</v>
      </c>
      <c r="D61" s="644" t="s">
        <v>392</v>
      </c>
      <c r="E61" s="644">
        <f>IF(B41="楼面地价",SUM(E51:E60),'数据-汇总表'!D3)</f>
        <v>108355.49</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04"/>
      <c r="Q63" s="2704"/>
      <c r="R63" s="2704"/>
      <c r="S63" s="2704"/>
      <c r="T63" s="2704"/>
      <c r="U63" s="2704"/>
      <c r="V63" s="2704"/>
      <c r="W63" s="2704"/>
      <c r="X63" s="2704"/>
      <c r="Y63" s="2704"/>
      <c r="Z63" s="2704"/>
      <c r="AA63" s="2704"/>
      <c r="AB63" s="2704"/>
      <c r="AC63" s="2704"/>
      <c r="AD63" s="2704"/>
      <c r="AE63" s="2704"/>
    </row>
    <row r="64" spans="1:31" ht="21.75" thickBot="1">
      <c r="A64" s="694" t="s">
        <v>1780</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1886</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1906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1"/>
      <c r="R66" s="2641"/>
      <c r="S66" s="2641"/>
      <c r="T66" s="2641"/>
      <c r="U66" s="2641"/>
      <c r="V66" s="2641"/>
      <c r="W66" s="2641"/>
      <c r="X66" s="2641"/>
      <c r="Y66" s="2641"/>
      <c r="Z66" s="2641"/>
      <c r="AA66" s="2641"/>
      <c r="AB66" s="2641"/>
      <c r="AC66" s="2641"/>
      <c r="AD66" s="2641"/>
      <c r="AE66" s="2641"/>
    </row>
    <row r="67" spans="1:31" s="108" customFormat="1" ht="15.75" thickBot="1">
      <c r="A67" s="464" t="s">
        <v>1698</v>
      </c>
      <c r="B67" s="465"/>
      <c r="C67" s="466"/>
      <c r="D67" s="467"/>
      <c r="E67" s="467"/>
      <c r="F67" s="467"/>
      <c r="G67" s="467"/>
      <c r="H67" s="467"/>
      <c r="I67" s="467"/>
      <c r="J67" s="467"/>
      <c r="K67" s="467"/>
      <c r="L67" s="467"/>
      <c r="M67" s="468"/>
      <c r="N67" s="468"/>
      <c r="O67" s="469"/>
      <c r="P67" s="2718"/>
      <c r="Q67" s="2718"/>
      <c r="R67" s="2641"/>
      <c r="S67" s="2641"/>
      <c r="T67" s="2641"/>
      <c r="U67" s="2641"/>
      <c r="V67" s="2641"/>
      <c r="W67" s="2641"/>
      <c r="X67" s="2641"/>
      <c r="Y67" s="2641"/>
      <c r="Z67" s="2641"/>
      <c r="AA67" s="2641"/>
      <c r="AB67" s="2641"/>
      <c r="AC67" s="2641"/>
      <c r="AD67" s="2641"/>
      <c r="AE67" s="2641"/>
    </row>
    <row r="68" spans="1:31" s="108" customFormat="1" ht="15">
      <c r="A68" s="470" t="s">
        <v>1663</v>
      </c>
      <c r="B68" s="459"/>
      <c r="C68" s="471" t="s">
        <v>1758</v>
      </c>
      <c r="D68" s="472"/>
      <c r="E68" s="472"/>
      <c r="F68" s="472"/>
      <c r="G68" s="472"/>
      <c r="H68" s="472"/>
      <c r="I68" s="472"/>
      <c r="J68" s="472"/>
      <c r="K68" s="472"/>
      <c r="L68" s="473"/>
      <c r="M68" s="474"/>
      <c r="N68" s="2731"/>
      <c r="O68" s="2731"/>
      <c r="P68" s="2756"/>
      <c r="Q68" s="2718"/>
      <c r="R68" s="2641"/>
      <c r="S68" s="2641"/>
      <c r="T68" s="2641"/>
      <c r="U68" s="2641"/>
      <c r="V68" s="2641"/>
      <c r="W68" s="2641"/>
      <c r="X68" s="2641"/>
      <c r="Y68" s="2641"/>
      <c r="Z68" s="2641"/>
      <c r="AA68" s="2641"/>
      <c r="AB68" s="2641"/>
      <c r="AC68" s="2641"/>
      <c r="AD68" s="2641"/>
      <c r="AE68" s="2641"/>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1"/>
      <c r="S69" s="2641"/>
      <c r="T69" s="2641"/>
      <c r="U69" s="2641"/>
      <c r="V69" s="2641"/>
      <c r="W69" s="2641"/>
      <c r="X69" s="2641"/>
      <c r="Y69" s="2641"/>
      <c r="Z69" s="2641"/>
      <c r="AA69" s="2641"/>
      <c r="AB69" s="2641"/>
      <c r="AC69" s="2641"/>
      <c r="AD69" s="2641"/>
      <c r="AE69" s="2641"/>
    </row>
    <row r="70" spans="1:31">
      <c r="A70" s="476" t="s">
        <v>1701</v>
      </c>
      <c r="B70" s="477" t="s">
        <v>1667</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1670</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1672</v>
      </c>
      <c r="B83" s="477" t="s">
        <v>1811</v>
      </c>
      <c r="C83" s="522" t="s">
        <v>1703</v>
      </c>
      <c r="D83" s="522" t="s">
        <v>1704</v>
      </c>
      <c r="E83" s="522" t="s">
        <v>1705</v>
      </c>
      <c r="F83" s="522" t="s">
        <v>1706</v>
      </c>
      <c r="G83" s="522" t="s">
        <v>1707</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1708</v>
      </c>
      <c r="C85" s="527" t="s">
        <v>1703</v>
      </c>
      <c r="D85" s="527" t="s">
        <v>1704</v>
      </c>
      <c r="E85" s="527" t="s">
        <v>1705</v>
      </c>
      <c r="F85" s="527" t="s">
        <v>1706</v>
      </c>
      <c r="G85" s="527" t="s">
        <v>1707</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31"/>
      <c r="O87" s="2731"/>
      <c r="P87" s="2757"/>
      <c r="Q87" s="2718"/>
      <c r="R87" s="2641"/>
      <c r="S87" s="2641"/>
      <c r="T87" s="2641"/>
      <c r="U87" s="2641"/>
      <c r="V87" s="2641"/>
      <c r="W87" s="2641"/>
      <c r="X87" s="2641"/>
      <c r="Y87" s="2641"/>
      <c r="Z87" s="2641"/>
      <c r="AA87" s="2641"/>
      <c r="AB87" s="2641"/>
      <c r="AC87" s="2641"/>
      <c r="AD87" s="2641"/>
      <c r="AE87" s="264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1"/>
      <c r="S88" s="2641"/>
      <c r="T88" s="2641"/>
      <c r="U88" s="2641"/>
      <c r="V88" s="2641"/>
      <c r="W88" s="2641"/>
      <c r="X88" s="2641"/>
      <c r="Y88" s="2641"/>
      <c r="Z88" s="2641"/>
      <c r="AA88" s="2641"/>
      <c r="AB88" s="2641"/>
      <c r="AC88" s="2641"/>
      <c r="AD88" s="2641"/>
      <c r="AE88" s="2641"/>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31"/>
      <c r="O89" s="2731"/>
      <c r="P89" s="2757"/>
      <c r="Q89" s="2718"/>
      <c r="R89" s="2641"/>
      <c r="S89" s="2641"/>
      <c r="T89" s="2641"/>
      <c r="U89" s="2641"/>
      <c r="V89" s="2641"/>
      <c r="W89" s="2641"/>
      <c r="X89" s="2641"/>
      <c r="Y89" s="2641"/>
      <c r="Z89" s="2641"/>
      <c r="AA89" s="2641"/>
      <c r="AB89" s="2641"/>
      <c r="AC89" s="2641"/>
      <c r="AD89" s="2641"/>
      <c r="AE89" s="264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1"/>
      <c r="S90" s="2641"/>
      <c r="T90" s="2641"/>
      <c r="U90" s="2641"/>
      <c r="V90" s="2641"/>
      <c r="W90" s="2641"/>
      <c r="X90" s="2641"/>
      <c r="Y90" s="2641"/>
      <c r="Z90" s="2641"/>
      <c r="AA90" s="2641"/>
      <c r="AB90" s="2641"/>
      <c r="AC90" s="2641"/>
      <c r="AD90" s="2641"/>
      <c r="AE90" s="2641"/>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1797</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1855</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1896</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1898</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1899</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2065</v>
      </c>
      <c r="C1" s="3755" t="s">
        <v>2066</v>
      </c>
      <c r="D1" s="3756"/>
      <c r="E1" s="3756"/>
      <c r="F1" s="3756"/>
      <c r="G1" s="3756"/>
      <c r="H1" s="3756"/>
      <c r="I1" s="3756"/>
      <c r="J1" s="3756"/>
      <c r="K1" s="3756"/>
      <c r="L1" s="3756"/>
      <c r="M1" s="3756"/>
      <c r="N1" s="3756"/>
      <c r="O1" s="3756"/>
      <c r="P1" s="3756"/>
      <c r="Q1" s="3756"/>
      <c r="R1" s="3756"/>
      <c r="S1" s="3757"/>
      <c r="T1" s="983" t="s">
        <v>2067</v>
      </c>
    </row>
    <row r="2" spans="1:45" s="655" customFormat="1">
      <c r="A2" s="984"/>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2075</v>
      </c>
      <c r="B17" s="2149" t="s">
        <v>2076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2077</v>
      </c>
      <c r="E19" s="1340"/>
      <c r="F19" s="1340"/>
      <c r="G19" s="1340"/>
      <c r="H19" s="1059"/>
      <c r="I19" s="159"/>
      <c r="J19" s="159"/>
      <c r="K19" s="159"/>
      <c r="L19" s="159"/>
      <c r="M19" s="159"/>
      <c r="N19" s="159"/>
      <c r="O19" s="159"/>
      <c r="P19" s="159"/>
      <c r="Q19" s="159"/>
      <c r="R19" s="718"/>
      <c r="S19" s="129"/>
    </row>
    <row r="20" spans="1:45" ht="16.5" thickBot="1">
      <c r="A20" s="662" t="s">
        <v>2078</v>
      </c>
      <c r="B20" s="294" t="e">
        <f ca="1">IF(D20="——",S22,S22-F20)</f>
        <v>#REF!</v>
      </c>
      <c r="C20" s="159"/>
      <c r="D20" s="2151"/>
      <c r="E20" s="1341"/>
      <c r="F20" s="983" t="e">
        <f ca="1">SUMIF(INDIRECT("'"&amp;H20&amp;"'"&amp;"!A:A"),"承租人权益价值",INDIRECT("'"&amp;H20&amp;"'"&amp;"!c:c"))</f>
        <v>#REF!</v>
      </c>
      <c r="G20" s="983" t="s">
        <v>2079</v>
      </c>
      <c r="H20" s="2152"/>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2063</v>
      </c>
      <c r="B1" s="2147"/>
      <c r="C1" s="2147"/>
      <c r="D1" s="2147"/>
      <c r="E1" s="2147"/>
      <c r="F1" s="2772"/>
      <c r="G1" s="2772"/>
      <c r="H1" s="2772"/>
      <c r="I1" s="2772"/>
      <c r="J1" s="2772"/>
      <c r="K1" s="2772"/>
      <c r="L1" s="2772"/>
      <c r="M1" s="2772"/>
      <c r="N1" s="2772"/>
      <c r="O1" s="2772"/>
      <c r="P1" s="2772"/>
    </row>
    <row r="2" spans="1:16" ht="15.75">
      <c r="A2" s="2145" t="s">
        <v>2055</v>
      </c>
      <c r="B2" s="2582">
        <f ca="1">SUMIF(B6:B13,"&lt;&gt;#ref!",B6:B13)</f>
        <v>29563</v>
      </c>
      <c r="C2" s="2145" t="s">
        <v>2056</v>
      </c>
      <c r="D2" s="2145" t="s">
        <v>2057</v>
      </c>
      <c r="E2" s="2592">
        <f ca="1">SUMIF(E6:E13,"&lt;&gt;#ref!",E6:E13)</f>
        <v>217376</v>
      </c>
      <c r="F2" s="2772"/>
      <c r="G2" s="2772"/>
      <c r="H2" s="2772"/>
      <c r="I2" s="2772"/>
      <c r="J2" s="2772"/>
      <c r="K2" s="2772"/>
      <c r="L2" s="2772"/>
      <c r="M2" s="2772"/>
      <c r="N2" s="2772"/>
      <c r="O2" s="2772"/>
      <c r="P2" s="2772"/>
    </row>
    <row r="3" spans="1:16" ht="15.75">
      <c r="A3" s="2145" t="s">
        <v>2058</v>
      </c>
      <c r="B3" s="2582">
        <f ca="1">ROUND(B2*10000/E2,0)</f>
        <v>1360</v>
      </c>
      <c r="C3" s="2145" t="s">
        <v>2064</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8" t="s">
        <v>2059</v>
      </c>
      <c r="B5" s="2590" t="s">
        <v>2060</v>
      </c>
      <c r="C5" s="2146"/>
      <c r="D5" s="2772"/>
      <c r="E5" s="2591" t="s">
        <v>2061</v>
      </c>
      <c r="F5" s="2772"/>
      <c r="G5" s="2772"/>
      <c r="H5" s="2772"/>
      <c r="I5" s="2772"/>
      <c r="J5" s="2772"/>
      <c r="K5" s="2772"/>
      <c r="L5" s="2772"/>
      <c r="M5" s="2772"/>
      <c r="N5" s="2772"/>
      <c r="O5" s="2772"/>
      <c r="P5" s="2772"/>
    </row>
    <row r="6" spans="1:16" ht="15.75">
      <c r="A6" s="2589" t="s">
        <v>2062</v>
      </c>
      <c r="B6" s="2582">
        <f ca="1">SUMIF(INDIRECT("'"&amp;A6&amp;"'"&amp;"!A:A"),"总价",INDIRECT("'"&amp;A6&amp;"'"&amp;"!B:B"))</f>
        <v>29563</v>
      </c>
      <c r="C6" s="2145" t="s">
        <v>2056</v>
      </c>
      <c r="D6" s="2772"/>
      <c r="E6" s="2592">
        <f ca="1">SUMIF(INDIRECT("'"&amp;A6&amp;"'"&amp;"!C:C"),"建筑面积",INDIRECT("'"&amp;A6&amp;"'"&amp;"!D:D"))</f>
        <v>217376</v>
      </c>
      <c r="F6" s="2772"/>
      <c r="G6" s="2772"/>
      <c r="H6" s="2772"/>
      <c r="I6" s="2772"/>
      <c r="J6" s="2772"/>
      <c r="K6" s="2772"/>
      <c r="L6" s="2772"/>
      <c r="M6" s="2772"/>
      <c r="N6" s="2772"/>
      <c r="O6" s="2772"/>
      <c r="P6" s="2772"/>
    </row>
    <row r="7" spans="1:16" ht="15.75">
      <c r="A7" s="2589"/>
      <c r="B7" s="2582" t="e">
        <f ca="1">SUMIF(INDIRECT("'"&amp;A7&amp;"'"&amp;"!A:A"),"总价",INDIRECT("'"&amp;A7&amp;"'"&amp;"!B:B"))</f>
        <v>#REF!</v>
      </c>
      <c r="C7" s="2145" t="s">
        <v>2056</v>
      </c>
      <c r="D7" s="2772"/>
      <c r="E7" s="2592" t="e">
        <f t="shared" ref="E7:E13" ca="1" si="0">SUMIF(INDIRECT("'"&amp;A7&amp;"'"&amp;"!C:C"),"建筑面积",INDIRECT("'"&amp;A7&amp;"'"&amp;"!D:D"))</f>
        <v>#REF!</v>
      </c>
      <c r="F7" s="2772"/>
      <c r="G7" s="2772"/>
      <c r="H7" s="2772"/>
      <c r="I7" s="2772"/>
      <c r="J7" s="2772"/>
      <c r="K7" s="2772"/>
      <c r="L7" s="2772"/>
      <c r="M7" s="2772"/>
      <c r="N7" s="2772"/>
      <c r="O7" s="2772"/>
      <c r="P7" s="2772"/>
    </row>
    <row r="8" spans="1:16" ht="15.75">
      <c r="A8" s="2589"/>
      <c r="B8" s="2582" t="e">
        <f t="shared" ref="B8:B13" ca="1" si="1">SUMIF(INDIRECT("'"&amp;A8&amp;"'"&amp;"!A:A"),"总价",INDIRECT("'"&amp;A8&amp;"'"&amp;"!B:B"))</f>
        <v>#REF!</v>
      </c>
      <c r="C8" s="2145" t="s">
        <v>2056</v>
      </c>
      <c r="D8" s="2772"/>
      <c r="E8" s="2592" t="e">
        <f t="shared" ca="1" si="0"/>
        <v>#REF!</v>
      </c>
      <c r="F8" s="2772"/>
      <c r="G8" s="2772"/>
      <c r="H8" s="2772"/>
      <c r="I8" s="2772"/>
      <c r="J8" s="2772"/>
      <c r="K8" s="2772"/>
      <c r="L8" s="2772"/>
      <c r="M8" s="2772"/>
      <c r="N8" s="2772"/>
      <c r="O8" s="2772"/>
      <c r="P8" s="2772"/>
    </row>
    <row r="9" spans="1:16" ht="15.75">
      <c r="A9" s="2589"/>
      <c r="B9" s="2582" t="e">
        <f t="shared" ca="1" si="1"/>
        <v>#REF!</v>
      </c>
      <c r="C9" s="2145" t="s">
        <v>2056</v>
      </c>
      <c r="D9" s="2772"/>
      <c r="E9" s="2592" t="e">
        <f t="shared" ca="1" si="0"/>
        <v>#REF!</v>
      </c>
      <c r="F9" s="2772"/>
      <c r="G9" s="2772"/>
      <c r="H9" s="2772"/>
      <c r="I9" s="2772"/>
      <c r="J9" s="2772"/>
      <c r="K9" s="2772"/>
      <c r="L9" s="2772"/>
      <c r="M9" s="2772"/>
      <c r="N9" s="2772"/>
      <c r="O9" s="2772"/>
      <c r="P9" s="2772"/>
    </row>
    <row r="10" spans="1:16" ht="15.75">
      <c r="A10" s="2589"/>
      <c r="B10" s="2582" t="e">
        <f t="shared" ca="1" si="1"/>
        <v>#REF!</v>
      </c>
      <c r="C10" s="2145" t="s">
        <v>2056</v>
      </c>
      <c r="D10" s="2772"/>
      <c r="E10" s="2592" t="e">
        <f t="shared" ca="1" si="0"/>
        <v>#REF!</v>
      </c>
      <c r="F10" s="2772"/>
      <c r="G10" s="2772"/>
      <c r="H10" s="2772"/>
      <c r="I10" s="2772"/>
      <c r="J10" s="2772"/>
      <c r="K10" s="2772"/>
      <c r="L10" s="2772"/>
      <c r="M10" s="2772"/>
      <c r="N10" s="2772"/>
      <c r="O10" s="2772"/>
      <c r="P10" s="2772"/>
    </row>
    <row r="11" spans="1:16" ht="15.75">
      <c r="A11" s="2589"/>
      <c r="B11" s="2582" t="e">
        <f t="shared" ca="1" si="1"/>
        <v>#REF!</v>
      </c>
      <c r="C11" s="2145" t="s">
        <v>2056</v>
      </c>
      <c r="D11" s="2772"/>
      <c r="E11" s="2592" t="e">
        <f t="shared" ca="1" si="0"/>
        <v>#REF!</v>
      </c>
      <c r="F11" s="2772"/>
      <c r="G11" s="2772"/>
      <c r="H11" s="2772"/>
      <c r="I11" s="2772"/>
      <c r="J11" s="2772"/>
      <c r="K11" s="2772"/>
      <c r="L11" s="2772"/>
      <c r="M11" s="2772"/>
      <c r="N11" s="2772"/>
      <c r="O11" s="2772"/>
      <c r="P11" s="2772"/>
    </row>
    <row r="12" spans="1:16" ht="15.75">
      <c r="A12" s="2589"/>
      <c r="B12" s="2582" t="e">
        <f t="shared" ca="1" si="1"/>
        <v>#REF!</v>
      </c>
      <c r="C12" s="2145" t="s">
        <v>2056</v>
      </c>
      <c r="D12" s="2772"/>
      <c r="E12" s="2592" t="e">
        <f t="shared" ca="1" si="0"/>
        <v>#REF!</v>
      </c>
      <c r="F12" s="2772"/>
      <c r="G12" s="2772"/>
      <c r="H12" s="2772"/>
      <c r="I12" s="2772"/>
      <c r="J12" s="2772"/>
      <c r="K12" s="2772"/>
      <c r="L12" s="2772"/>
      <c r="M12" s="2772"/>
      <c r="N12" s="2772"/>
      <c r="O12" s="2772"/>
      <c r="P12" s="2772"/>
    </row>
    <row r="13" spans="1:16" ht="15.75">
      <c r="A13" s="2589"/>
      <c r="B13" s="2582" t="e">
        <f t="shared" ca="1" si="1"/>
        <v>#REF!</v>
      </c>
      <c r="C13" s="2145" t="s">
        <v>2056</v>
      </c>
      <c r="D13" s="2772"/>
      <c r="E13" s="2592"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zoomScale="80" zoomScaleNormal="80" zoomScaleSheetLayoutView="70" workbookViewId="0">
      <selection activeCell="E28" sqref="E2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1908</v>
      </c>
      <c r="B1" s="197"/>
      <c r="C1" s="201" t="s">
        <v>1909</v>
      </c>
      <c r="D1" s="342">
        <f>SUM(D33:D34,D37:D42)</f>
        <v>217376</v>
      </c>
      <c r="E1" s="1995"/>
      <c r="F1" s="1995"/>
      <c r="G1" s="1995"/>
      <c r="H1" s="1995"/>
      <c r="I1" s="1995"/>
      <c r="J1" s="1995"/>
      <c r="K1" s="1119"/>
      <c r="L1" s="1996" t="s">
        <v>1910</v>
      </c>
      <c r="M1" s="863">
        <f>SUMPRODUCT((区片价!B5:B9=I2)*(区片价!C3:G3=E2)*(区片价!C5:G9))</f>
        <v>0</v>
      </c>
      <c r="N1" s="866">
        <f>SUMPRODUCT((因素修正幅度!B5:B9=I2)*(因素修正幅度!C3:G3=E2)*(因素修正幅度!C5:G9))</f>
        <v>0</v>
      </c>
      <c r="O1" s="1997"/>
      <c r="P1" s="1997"/>
      <c r="Q1" s="1119"/>
      <c r="R1" s="1212" t="s">
        <v>1911</v>
      </c>
      <c r="S1" s="1212" t="s">
        <v>1912</v>
      </c>
      <c r="T1" s="1212" t="s">
        <v>1913</v>
      </c>
      <c r="U1" s="1212" t="s">
        <v>1914</v>
      </c>
      <c r="V1" s="1212" t="s">
        <v>1915</v>
      </c>
      <c r="W1" s="1216"/>
      <c r="X1" s="1216"/>
      <c r="Y1" s="1216"/>
      <c r="Z1" s="1216"/>
      <c r="AA1" s="1216"/>
      <c r="AB1" s="1216"/>
      <c r="AC1" s="1217"/>
      <c r="AD1" s="1218"/>
      <c r="AE1" s="1218"/>
      <c r="AF1" s="1218"/>
      <c r="AG1" s="1218"/>
      <c r="AH1" s="1218"/>
      <c r="AI1" s="1218"/>
      <c r="AJ1" s="1219"/>
    </row>
    <row r="2" spans="1:36" ht="15.75">
      <c r="A2" s="201" t="s">
        <v>1916</v>
      </c>
      <c r="B2" s="204">
        <f>C30</f>
        <v>29563</v>
      </c>
      <c r="C2" s="1999" t="s">
        <v>1917</v>
      </c>
      <c r="D2" s="2000" t="s">
        <v>1918</v>
      </c>
      <c r="E2" s="3401" t="s">
        <v>3</v>
      </c>
      <c r="F2" s="2000" t="s">
        <v>1919</v>
      </c>
      <c r="G2" s="2001" t="str">
        <f>IF(E2="商业",项目基本情况!B37,IF(E2="办公",项目基本情况!C37,IF(E2="住宅",项目基本情况!D37,IF(E2="工业",项目基本情况!E37,项目基本情况!F37))))</f>
        <v>七级</v>
      </c>
      <c r="H2" s="2000" t="s">
        <v>1920</v>
      </c>
      <c r="I2" s="2001" t="str">
        <f>IF(E2="商业",项目基本情况!B38,IF(E2="办公",项目基本情况!C38,IF(E2="住宅",项目基本情况!D38,IF(E2="工业",项目基本情况!E38,项目基本情况!F38))))</f>
        <v>Ⅶ-BDA南</v>
      </c>
      <c r="J2" s="2002"/>
      <c r="K2" s="1119"/>
      <c r="L2" s="2003" t="s">
        <v>1921</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2488</v>
      </c>
      <c r="U2" s="1213"/>
      <c r="V2" s="3340">
        <f>ROUND(T2*U2/10000,0)</f>
        <v>0</v>
      </c>
      <c r="W2" s="1216"/>
      <c r="X2" s="1216"/>
      <c r="Y2" s="1216"/>
      <c r="Z2" s="1216"/>
      <c r="AA2" s="1216"/>
      <c r="AB2" s="1216"/>
      <c r="AC2" s="1217"/>
      <c r="AD2" s="1218"/>
      <c r="AE2" s="1218"/>
      <c r="AF2" s="1218"/>
      <c r="AG2" s="1218"/>
      <c r="AH2" s="1218"/>
      <c r="AI2" s="1218"/>
      <c r="AJ2" s="1219"/>
    </row>
    <row r="3" spans="1:36" ht="15.75">
      <c r="A3" s="203" t="s">
        <v>1922</v>
      </c>
      <c r="B3" s="204">
        <f>ROUND(B2*10000/D1,0)</f>
        <v>1360</v>
      </c>
      <c r="C3" s="1999" t="s">
        <v>1923</v>
      </c>
      <c r="D3" s="2000" t="s">
        <v>1924</v>
      </c>
      <c r="E3" s="3399" t="s">
        <v>2465</v>
      </c>
      <c r="F3" s="2004" t="s">
        <v>4946</v>
      </c>
      <c r="G3" s="752">
        <f>IF(F3="宗地容积率",'数据-汇总表'!I4,IF(F3="估价对象容积率",'数据-汇总表'!I6,'数据-汇总表'!I7))</f>
        <v>2.0099999999999998</v>
      </c>
      <c r="H3" s="170" t="s">
        <v>1925</v>
      </c>
      <c r="I3" s="775"/>
      <c r="J3" s="2002" t="s">
        <v>1926</v>
      </c>
      <c r="K3" s="1119"/>
      <c r="L3" s="2003" t="s">
        <v>1927</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1961</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1928</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1658</v>
      </c>
      <c r="U4" s="1213"/>
      <c r="V4" s="334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1929</v>
      </c>
      <c r="C5" s="753">
        <f>ROUND(IF(E2="商业",C6*C7*C17+C20,(IF(E2="住宅",C6*C13*C17+C20,IF(E2="办公",C6*C12*C17+C20,C6+C20)))),0)</f>
        <v>1695</v>
      </c>
      <c r="D5" s="1339">
        <f>ROUND(C6*C17+C20,0)</f>
        <v>1695</v>
      </c>
      <c r="E5" s="1339"/>
      <c r="F5" s="2007"/>
      <c r="G5" s="2008"/>
      <c r="H5" s="2008"/>
      <c r="I5" s="2008"/>
      <c r="J5" s="2009"/>
      <c r="K5" s="2010"/>
      <c r="L5" s="2003" t="s">
        <v>1930</v>
      </c>
      <c r="M5" s="864">
        <f>SUMPRODUCT((区片价!B87:B126=I2)*(区片价!C3:G3=E2)*(区片价!C87:G126))</f>
        <v>0</v>
      </c>
      <c r="N5" s="866">
        <f>SUMPRODUCT((因素修正幅度!B87:B126=I2)*(因素修正幅度!C3:G3=E2)*(因素修正幅度!C87:G126))</f>
        <v>0</v>
      </c>
      <c r="O5" s="1119"/>
      <c r="P5" s="1119"/>
      <c r="Q5" s="1119"/>
      <c r="R5" s="1212">
        <v>4</v>
      </c>
      <c r="S5" s="3340">
        <f>ROUND(SUMPRODUCT((B106:B110=R5)*(C105:N105=G2)*(C106:N110)),4)</f>
        <v>0.88239999999999996</v>
      </c>
      <c r="T5" s="3340">
        <f t="shared" si="0"/>
        <v>1462</v>
      </c>
      <c r="U5" s="1213"/>
      <c r="V5" s="3340">
        <f t="shared" si="1"/>
        <v>0</v>
      </c>
      <c r="W5" s="1216"/>
      <c r="X5" s="1216"/>
      <c r="Y5" s="1216"/>
      <c r="Z5" s="1216"/>
      <c r="AA5" s="1216"/>
      <c r="AB5" s="1216"/>
      <c r="AC5" s="2011"/>
      <c r="AD5" s="2012"/>
      <c r="AE5" s="2012"/>
      <c r="AF5" s="2012"/>
      <c r="AG5" s="2012"/>
      <c r="AH5" s="2012"/>
      <c r="AI5" s="2012"/>
      <c r="AJ5" s="2013"/>
    </row>
    <row r="6" spans="1:36" ht="15.75" thickBot="1">
      <c r="A6" s="2015" t="s">
        <v>1931</v>
      </c>
      <c r="B6" s="2016" t="s">
        <v>1932</v>
      </c>
      <c r="C6" s="754">
        <f>SUMIF(L1:L12,G2,M1:M12)</f>
        <v>1770</v>
      </c>
      <c r="D6" s="2017"/>
      <c r="E6" s="2018"/>
      <c r="F6" s="2018"/>
      <c r="G6" s="2019"/>
      <c r="H6" s="2019"/>
      <c r="I6" s="2019"/>
      <c r="J6" s="2020"/>
      <c r="K6" s="1384"/>
      <c r="L6" s="2003" t="s">
        <v>1933</v>
      </c>
      <c r="M6" s="864">
        <f>SUMPRODUCT((区片价!B127:B189=I2)*(区片价!C3:G3=E2)*(区片价!C127:G189))</f>
        <v>0</v>
      </c>
      <c r="N6" s="866">
        <f>SUMPRODUCT((因素修正幅度!B127:B189=I2)*(因素修正幅度!C3:G3=E2)*(因素修正幅度!C127:G189))</f>
        <v>0</v>
      </c>
      <c r="O6" s="1119"/>
      <c r="P6" s="1119"/>
      <c r="Q6" s="1119"/>
      <c r="R6" s="1212">
        <v>5</v>
      </c>
      <c r="S6" s="3340">
        <f>ROUND(SUMPRODUCT((B106:B110=R6)*(C105:N105=G2)*(C106:N110)),4)</f>
        <v>0.84799999999999998</v>
      </c>
      <c r="T6" s="3340">
        <f t="shared" si="0"/>
        <v>1405</v>
      </c>
      <c r="U6" s="1213"/>
      <c r="V6" s="3340">
        <f t="shared" si="1"/>
        <v>0</v>
      </c>
      <c r="W6" s="1216"/>
      <c r="X6" s="1216"/>
      <c r="Y6" s="1216"/>
      <c r="Z6" s="1216"/>
      <c r="AA6" s="1216"/>
      <c r="AB6" s="1216"/>
      <c r="AC6" s="2011"/>
      <c r="AD6" s="2012"/>
      <c r="AE6" s="2012"/>
      <c r="AF6" s="2012"/>
      <c r="AG6" s="2012"/>
      <c r="AH6" s="2012"/>
      <c r="AI6" s="2012"/>
      <c r="AJ6" s="2013"/>
    </row>
    <row r="7" spans="1:36" ht="24.75" thickBot="1">
      <c r="A7" s="3283" t="s">
        <v>3223</v>
      </c>
      <c r="B7" s="2021" t="s">
        <v>1934</v>
      </c>
      <c r="C7" s="755">
        <f>IF(C8="不临65条商业街",1,ROUND(1+(1.6*E8+1.2*E9+0.8*E10+0.4*E11)*C9,4))</f>
        <v>1</v>
      </c>
      <c r="D7" s="2022" t="s">
        <v>1935</v>
      </c>
      <c r="E7" s="776"/>
      <c r="F7" s="2023"/>
      <c r="G7" s="2024"/>
      <c r="H7" s="2024"/>
      <c r="I7" s="2024"/>
      <c r="J7" s="2025"/>
      <c r="K7" s="1384"/>
      <c r="L7" s="2003" t="s">
        <v>1936</v>
      </c>
      <c r="M7" s="864">
        <f>SUMPRODUCT((区片价!B190:B233=I2)*(区片价!C3:G3=E2)*(区片价!C190:G233))</f>
        <v>1770</v>
      </c>
      <c r="N7" s="866">
        <f>SUMPRODUCT((因素修正幅度!B190:B233=I2)*(因素修正幅度!C3:G3=E2)*(因素修正幅度!C190:G233))</f>
        <v>0.05</v>
      </c>
      <c r="O7" s="1119"/>
      <c r="P7" s="1119"/>
      <c r="Q7" s="1119"/>
      <c r="R7" s="1212">
        <v>6</v>
      </c>
      <c r="S7" s="3398"/>
      <c r="T7" s="3340">
        <f t="shared" si="0"/>
        <v>0</v>
      </c>
      <c r="U7" s="1213"/>
      <c r="V7" s="3340">
        <f t="shared" si="1"/>
        <v>0</v>
      </c>
      <c r="W7" s="1358" t="s">
        <v>1937</v>
      </c>
      <c r="X7" s="1214" t="str">
        <f>G2</f>
        <v>七级</v>
      </c>
      <c r="Y7" s="1214" t="s">
        <v>1938</v>
      </c>
      <c r="Z7" s="1215">
        <f>G3</f>
        <v>2.0099999999999998</v>
      </c>
      <c r="AA7" s="1216"/>
      <c r="AB7" s="1216"/>
      <c r="AC7" s="1217"/>
      <c r="AD7" s="1218"/>
      <c r="AE7" s="1218"/>
      <c r="AF7" s="1218"/>
      <c r="AG7" s="1218"/>
      <c r="AH7" s="1218"/>
      <c r="AI7" s="1218"/>
      <c r="AJ7" s="1219"/>
    </row>
    <row r="8" spans="1:36" ht="25.5">
      <c r="A8" s="3278"/>
      <c r="B8" s="170" t="s">
        <v>1939</v>
      </c>
      <c r="C8" s="2026" t="s">
        <v>3376</v>
      </c>
      <c r="D8" s="756" t="s">
        <v>112</v>
      </c>
      <c r="E8" s="757" t="e">
        <f>ROUND(C11/E7,4)</f>
        <v>#DIV/0!</v>
      </c>
      <c r="F8" s="2027" t="s">
        <v>1940</v>
      </c>
      <c r="G8" s="2028"/>
      <c r="H8" s="2028"/>
      <c r="I8" s="2028"/>
      <c r="J8" s="2029"/>
      <c r="K8" s="1119"/>
      <c r="L8" s="2003" t="s">
        <v>1941</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762" t="s">
        <v>1942</v>
      </c>
      <c r="X8" s="3763"/>
      <c r="Y8" s="1220" t="s">
        <v>1943</v>
      </c>
      <c r="Z8" s="1220" t="s">
        <v>1944</v>
      </c>
      <c r="AA8" s="1220" t="s">
        <v>1945</v>
      </c>
      <c r="AB8" s="1220" t="s">
        <v>1946</v>
      </c>
      <c r="AC8" s="1220" t="s">
        <v>1947</v>
      </c>
      <c r="AD8" s="1220" t="s">
        <v>1948</v>
      </c>
      <c r="AE8" s="1220" t="s">
        <v>1949</v>
      </c>
      <c r="AF8" s="1220" t="s">
        <v>1950</v>
      </c>
      <c r="AG8" s="1220" t="s">
        <v>1951</v>
      </c>
      <c r="AH8" s="1220" t="s">
        <v>1952</v>
      </c>
      <c r="AI8" s="1220" t="s">
        <v>1953</v>
      </c>
      <c r="AJ8" s="1220" t="s">
        <v>1954</v>
      </c>
    </row>
    <row r="9" spans="1:36" ht="15">
      <c r="A9" s="3278"/>
      <c r="B9" s="170" t="s">
        <v>1955</v>
      </c>
      <c r="C9" s="758">
        <f>SUMIF(修正!C71:C138,C8,修正!E71:E138)</f>
        <v>0</v>
      </c>
      <c r="D9" s="171" t="s">
        <v>113</v>
      </c>
      <c r="E9" s="171" t="e">
        <f>ROUND(C11/E7,4)</f>
        <v>#DIV/0!</v>
      </c>
      <c r="F9" s="2027" t="s">
        <v>1956</v>
      </c>
      <c r="G9" s="2028"/>
      <c r="H9" s="2028"/>
      <c r="I9" s="2028"/>
      <c r="J9" s="2029"/>
      <c r="K9" s="1119"/>
      <c r="L9" s="2003" t="s">
        <v>1957</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764"/>
      <c r="X9" s="3341" t="s">
        <v>3254</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1958</v>
      </c>
      <c r="C10" s="171">
        <f>SUMIF(修正!C71:C138,C8,修正!F71:F138)</f>
        <v>0</v>
      </c>
      <c r="D10" s="171" t="s">
        <v>114</v>
      </c>
      <c r="E10" s="171" t="e">
        <f>ROUND(C11/E7,4)</f>
        <v>#DIV/0!</v>
      </c>
      <c r="F10" s="2027" t="s">
        <v>1959</v>
      </c>
      <c r="G10" s="2028"/>
      <c r="H10" s="2028"/>
      <c r="I10" s="2028"/>
      <c r="J10" s="2029"/>
      <c r="K10" s="1119"/>
      <c r="L10" s="2003" t="s">
        <v>1960</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764"/>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30" t="s">
        <v>1961</v>
      </c>
      <c r="C11" s="759">
        <f>C10/4</f>
        <v>0</v>
      </c>
      <c r="D11" s="759" t="s">
        <v>115</v>
      </c>
      <c r="E11" s="759" t="e">
        <f>ROUND(C11/E7,4)</f>
        <v>#DIV/0!</v>
      </c>
      <c r="F11" s="2031" t="s">
        <v>1962</v>
      </c>
      <c r="G11" s="2032"/>
      <c r="H11" s="2032"/>
      <c r="I11" s="2032"/>
      <c r="J11" s="2033"/>
      <c r="K11" s="1119"/>
      <c r="L11" s="2003" t="s">
        <v>1963</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3224</v>
      </c>
      <c r="B12" s="3284" t="s">
        <v>3225</v>
      </c>
      <c r="C12" s="3285"/>
      <c r="D12" s="3286" t="s">
        <v>3226</v>
      </c>
      <c r="E12" s="3287" t="s">
        <v>3227</v>
      </c>
      <c r="F12" s="3288"/>
      <c r="G12" s="3289"/>
      <c r="H12" s="3289"/>
      <c r="I12" s="3289"/>
      <c r="J12" s="3290"/>
      <c r="K12" s="1119"/>
      <c r="L12" s="2039" t="s">
        <v>1966</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3228</v>
      </c>
      <c r="B13" s="2034" t="s">
        <v>1964</v>
      </c>
      <c r="C13" s="755">
        <f>ROUND(C16*D16*E16*F16*G16*H16*I16*J16,4)</f>
        <v>0</v>
      </c>
      <c r="D13" s="2035" t="s">
        <v>1965</v>
      </c>
      <c r="E13" s="2036"/>
      <c r="F13" s="2036"/>
      <c r="G13" s="2037"/>
      <c r="H13" s="2037"/>
      <c r="I13" s="2037"/>
      <c r="J13" s="2038"/>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40" t="s">
        <v>1967</v>
      </c>
      <c r="C14" s="2041" t="s">
        <v>1968</v>
      </c>
      <c r="D14" s="1350" t="s">
        <v>1969</v>
      </c>
      <c r="E14" s="27" t="s">
        <v>1970</v>
      </c>
      <c r="F14" s="3291" t="s">
        <v>3229</v>
      </c>
      <c r="G14" s="3291" t="s">
        <v>3229</v>
      </c>
      <c r="H14" s="3291" t="s">
        <v>3229</v>
      </c>
      <c r="I14" s="3291" t="s">
        <v>3229</v>
      </c>
      <c r="J14" s="3291" t="s">
        <v>3229</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2"/>
      <c r="C15" s="2043"/>
      <c r="D15" s="2044"/>
      <c r="E15" s="2045"/>
      <c r="F15" s="3292" t="s">
        <v>3230</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1971</v>
      </c>
      <c r="C16" s="3297"/>
      <c r="D16" s="3297"/>
      <c r="E16" s="3297"/>
      <c r="F16" s="3297">
        <v>1</v>
      </c>
      <c r="G16" s="3297">
        <v>1</v>
      </c>
      <c r="H16" s="3297">
        <v>1</v>
      </c>
      <c r="I16" s="3297">
        <v>1</v>
      </c>
      <c r="J16" s="3298">
        <v>1</v>
      </c>
      <c r="K16" s="1119"/>
      <c r="L16" s="1997"/>
      <c r="M16" s="1997"/>
      <c r="N16" s="1997"/>
      <c r="O16" s="1997"/>
      <c r="P16" s="1997"/>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3231</v>
      </c>
      <c r="B17" s="3300" t="s">
        <v>3232</v>
      </c>
      <c r="C17" s="3310">
        <f>ROUND(IF(OR(E2="工业",E2="公共服务"),1,IF(AND(E18=0,E19=0),1,IF(AND(E18=J24,E19=G19),0.8,IF(E19=0,1+E17*(-0.2),1+E17*G17*(-0.2))))),4)</f>
        <v>1</v>
      </c>
      <c r="D17" s="3301" t="s">
        <v>3233</v>
      </c>
      <c r="E17" s="3310">
        <f>ROUND(G18/I18,2)</f>
        <v>0</v>
      </c>
      <c r="F17" s="3301" t="s">
        <v>3236</v>
      </c>
      <c r="G17" s="3310" t="e">
        <f>ROUND(E19/G19,2)</f>
        <v>#DIV/0!</v>
      </c>
      <c r="H17" s="3310"/>
      <c r="I17" s="3310"/>
      <c r="J17" s="331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2"/>
      <c r="B18" s="2989"/>
      <c r="C18" s="3307"/>
      <c r="D18" s="3302" t="s">
        <v>3234</v>
      </c>
      <c r="E18" s="3308"/>
      <c r="F18" s="3303" t="s">
        <v>3237</v>
      </c>
      <c r="G18" s="3307">
        <f>ROUND(1-(1/(POWER(1+G24,E18))),4)</f>
        <v>0</v>
      </c>
      <c r="H18" s="3303" t="s">
        <v>3239</v>
      </c>
      <c r="I18" s="3307">
        <f>ROUND(1-(1/(POWER(1+G24,J24))),4)</f>
        <v>0.91279999999999994</v>
      </c>
      <c r="J18" s="331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4"/>
      <c r="B19" s="3315"/>
      <c r="C19" s="3316"/>
      <c r="D19" s="3316" t="s">
        <v>3235</v>
      </c>
      <c r="E19" s="3317"/>
      <c r="F19" s="3318" t="s">
        <v>3238</v>
      </c>
      <c r="G19" s="3317"/>
      <c r="H19" s="3316"/>
      <c r="I19" s="3316"/>
      <c r="J19" s="331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769" t="s">
        <v>3240</v>
      </c>
      <c r="B20" s="167" t="s">
        <v>1976</v>
      </c>
      <c r="C20" s="3304">
        <f>ROUND(IF(F21="与级别开发程度一致",0,(G21-E21)/C21),0)</f>
        <v>-75</v>
      </c>
      <c r="D20" s="3320" t="s">
        <v>1980</v>
      </c>
      <c r="E20" s="3321"/>
      <c r="F20" s="3775" t="s">
        <v>1977</v>
      </c>
      <c r="G20" s="3776"/>
      <c r="H20" s="3305" t="s">
        <v>3377</v>
      </c>
      <c r="I20" s="3305" t="s">
        <v>3378</v>
      </c>
      <c r="J20" s="3306" t="s">
        <v>3379</v>
      </c>
      <c r="K20" s="2047" t="s">
        <v>3380</v>
      </c>
      <c r="L20" s="2047" t="s">
        <v>3381</v>
      </c>
      <c r="M20" s="2047" t="s">
        <v>43</v>
      </c>
      <c r="N20" s="2047" t="s">
        <v>43</v>
      </c>
      <c r="O20" s="2048" t="s">
        <v>3382</v>
      </c>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26.25" thickBot="1">
      <c r="A21" s="3770"/>
      <c r="B21" s="2164" t="s">
        <v>1979</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4947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1982</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1983</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1984</v>
      </c>
      <c r="E23" s="761">
        <v>44197</v>
      </c>
      <c r="F23" s="2054" t="s">
        <v>1985</v>
      </c>
      <c r="G23" s="762">
        <f>'数据-取费表'!B2</f>
        <v>45421</v>
      </c>
      <c r="H23" s="3322" t="s">
        <v>3242</v>
      </c>
      <c r="I23" s="3323" t="str">
        <f>IF(H23="季度增幅（自定义）",SUMIF(N25:N28,E2,O25:O28),"")</f>
        <v/>
      </c>
      <c r="J23" s="3425" t="s">
        <v>3241</v>
      </c>
      <c r="K23" s="1125"/>
      <c r="L23" s="2055" t="s">
        <v>1986</v>
      </c>
      <c r="M23" s="1328">
        <f>ROUND(SUMIF(地价!B2:G2,E2,地价!B16:G16),0)</f>
        <v>318</v>
      </c>
      <c r="N23" s="2056" t="s">
        <v>1987</v>
      </c>
      <c r="O23" s="763">
        <f>ROUNDDOWN(DATEDIF(E23,G23,"M")/3,0)</f>
        <v>13</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1988</v>
      </c>
      <c r="C24" s="764">
        <f>ROUND(POWER(1+G24,J24-I24)*(POWER(1+G24,I24)-1)/(POWER(1+G24,J24)-1),4)</f>
        <v>0.88759999999999994</v>
      </c>
      <c r="D24" s="2060" t="s">
        <v>1989</v>
      </c>
      <c r="E24" s="1335">
        <f>存贷款利率!E24/100</f>
        <v>4.3499999999999997E-2</v>
      </c>
      <c r="F24" s="2060" t="s">
        <v>1981</v>
      </c>
      <c r="G24" s="768">
        <f>SUMIF(M30:Q30,E2,M33:Q33)</f>
        <v>0.05</v>
      </c>
      <c r="H24" s="2060" t="s">
        <v>1990</v>
      </c>
      <c r="I24" s="769">
        <f>SUMIF('数据-取费表'!C6:C15,E2,'数据-取费表'!F6:F15)/COUNTIF('数据-取费表'!C6:C15,E2)</f>
        <v>34.06</v>
      </c>
      <c r="J24" s="770">
        <f>IF(E2="住宅",70,IF(E2="商业",40,50))</f>
        <v>50</v>
      </c>
      <c r="K24" s="1125"/>
      <c r="L24" s="2061" t="s">
        <v>1991</v>
      </c>
      <c r="M24" s="1329">
        <f>ROUND(SUMPRODUCT((地价!A4:A16=YEAR(G23)&amp;"-"&amp;ROUNDUP(MONTH(G23)/3,0))*(地价!B2:G2=E2)*(地价!B4:G16)),0)</f>
        <v>0</v>
      </c>
      <c r="N24" s="2062" t="s">
        <v>1992</v>
      </c>
      <c r="O24" s="2063" t="s">
        <v>1993</v>
      </c>
      <c r="P24" s="2064" t="s">
        <v>1994</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3321</v>
      </c>
      <c r="C25" s="771">
        <f>IF(B25="容积率修正",IF(G3&lt;10,D26,J26),C27)</f>
        <v>0.82099999999999995</v>
      </c>
      <c r="D25" s="2067"/>
      <c r="E25" s="2067"/>
      <c r="F25" s="2067"/>
      <c r="G25" s="2067"/>
      <c r="H25" s="2067"/>
      <c r="I25" s="2067"/>
      <c r="J25" s="2068"/>
      <c r="K25" s="1125"/>
      <c r="L25" s="2767"/>
      <c r="M25" s="2767"/>
      <c r="N25" s="2069" t="s">
        <v>1995</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1996</v>
      </c>
      <c r="B26" s="2070" t="s">
        <v>1997</v>
      </c>
      <c r="C26" s="3324" t="s">
        <v>3243</v>
      </c>
      <c r="D26" s="1352">
        <f>IF(E26=G26,F26,IF(G3&lt;10,ROUND(F26+(H26-F26)*(G3-E26)/(G26-E26),4),"——"))</f>
        <v>0.82099999999999995</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3324" t="s">
        <v>3244</v>
      </c>
      <c r="J26" s="772" t="str">
        <f>IF(G3&gt;=10,D115,"——")</f>
        <v>——</v>
      </c>
      <c r="K26" s="1125"/>
      <c r="L26" s="2767"/>
      <c r="M26" s="2767"/>
      <c r="N26" s="2069" t="s">
        <v>1998</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1999</v>
      </c>
      <c r="B27" s="2071" t="s">
        <v>2000</v>
      </c>
      <c r="C27" s="841">
        <f>ROUND(IF(I3&lt;6,SUMPRODUCT((B106:B110=I3)*(C105:N105=G2)*(C106:N110)),SUMIF(C105:N105,G2,C112:N112)),4)</f>
        <v>0</v>
      </c>
      <c r="D27" s="2046"/>
      <c r="E27" s="2046"/>
      <c r="F27" s="2072"/>
      <c r="G27" s="2073"/>
      <c r="H27" s="2074"/>
      <c r="I27" s="2075"/>
      <c r="J27" s="2076"/>
      <c r="K27" s="1119"/>
      <c r="L27" s="1997"/>
      <c r="M27" s="1997"/>
      <c r="N27" s="2069" t="s">
        <v>2001</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2002</v>
      </c>
      <c r="C28" s="760">
        <f>SUMIF(A47:A101,E2,B47:B101)</f>
        <v>1.0251999999999999</v>
      </c>
      <c r="D28" s="2052"/>
      <c r="E28" s="2077"/>
      <c r="F28" s="2077"/>
      <c r="G28" s="2077"/>
      <c r="H28" s="2077"/>
      <c r="I28" s="2077"/>
      <c r="J28" s="2078"/>
      <c r="K28" s="1125"/>
      <c r="L28" s="2767"/>
      <c r="M28" s="2767"/>
      <c r="N28" s="2079" t="s">
        <v>2003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2004</v>
      </c>
      <c r="C29" s="765"/>
      <c r="D29" s="2024"/>
      <c r="E29" s="2024"/>
      <c r="F29" s="2081"/>
      <c r="G29" s="2024"/>
      <c r="H29" s="2024"/>
      <c r="I29" s="2024"/>
      <c r="J29" s="2025"/>
      <c r="K29" s="1119"/>
      <c r="L29" s="1997"/>
      <c r="M29" s="1997"/>
      <c r="N29" s="2764" t="s">
        <v>2005</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2006</v>
      </c>
      <c r="C30" s="2321">
        <f>IF(B25="容积率修正",E33+SUM(E37:E42),SUM(V2:V16)+SUM(E37:E42))</f>
        <v>29563</v>
      </c>
      <c r="D30" s="2083"/>
      <c r="E30" s="2046"/>
      <c r="F30" s="2084"/>
      <c r="G30" s="2046"/>
      <c r="H30" s="2046"/>
      <c r="I30" s="2046"/>
      <c r="J30" s="2085"/>
      <c r="K30" s="1119"/>
      <c r="L30" s="3330" t="s">
        <v>1918</v>
      </c>
      <c r="M30" s="3331" t="s">
        <v>1972</v>
      </c>
      <c r="N30" s="3331" t="s">
        <v>1973</v>
      </c>
      <c r="O30" s="3331" t="s">
        <v>1974</v>
      </c>
      <c r="P30" s="3331" t="s">
        <v>1975</v>
      </c>
      <c r="Q30" s="3334" t="s">
        <v>3248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2007</v>
      </c>
      <c r="C31" s="766">
        <f>E34+SUM(I37:I42)</f>
        <v>0</v>
      </c>
      <c r="D31" s="2087"/>
      <c r="E31" s="2088"/>
      <c r="F31" s="2089"/>
      <c r="G31" s="2088"/>
      <c r="H31" s="2088"/>
      <c r="I31" s="2088"/>
      <c r="J31" s="2090"/>
      <c r="K31" s="1119"/>
      <c r="L31" s="3332" t="s">
        <v>1978</v>
      </c>
      <c r="M31" s="2000">
        <v>0.25</v>
      </c>
      <c r="N31" s="2000">
        <v>0.2</v>
      </c>
      <c r="O31" s="2000">
        <v>0.15</v>
      </c>
      <c r="P31" s="2000">
        <v>0.1</v>
      </c>
      <c r="Q31" s="332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2008</v>
      </c>
      <c r="C32" s="2093" t="s">
        <v>2009</v>
      </c>
      <c r="D32" s="2093" t="s">
        <v>2010</v>
      </c>
      <c r="E32" s="2094" t="s">
        <v>2011</v>
      </c>
      <c r="F32" s="2095"/>
      <c r="G32" s="2037"/>
      <c r="H32" s="2037"/>
      <c r="I32" s="2037"/>
      <c r="J32" s="2038"/>
      <c r="K32" s="1119"/>
      <c r="L32" s="3333" t="s">
        <v>1981</v>
      </c>
      <c r="M32" s="2550">
        <f>ROUND($E$24*(1+M31),3)</f>
        <v>5.3999999999999999E-2</v>
      </c>
      <c r="N32" s="2550">
        <f>ROUND($E$24*(1+N31),3)</f>
        <v>5.1999999999999998E-2</v>
      </c>
      <c r="O32" s="2550">
        <f>ROUND($E$24*(1+O31),3)</f>
        <v>0.05</v>
      </c>
      <c r="P32" s="2550">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2012</v>
      </c>
      <c r="C33" s="175">
        <f>ROUND(C5*C22*C23*C24*C25*C28,0)</f>
        <v>1360</v>
      </c>
      <c r="D33" s="2098">
        <f>面积表!D18+面积表!E18+面积表!F18</f>
        <v>217376</v>
      </c>
      <c r="E33" s="773">
        <f>ROUND(C33*D33/10000,0)</f>
        <v>29563</v>
      </c>
      <c r="F33" s="3325" t="s">
        <v>3246</v>
      </c>
      <c r="G33" s="2099"/>
      <c r="H33" s="2099"/>
      <c r="I33" s="2099"/>
      <c r="J33" s="2100"/>
      <c r="K33" s="1119"/>
      <c r="L33" s="3328" t="s">
        <v>3249</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2013</v>
      </c>
      <c r="C34" s="187">
        <f>ROUND(IF(E2="工业",C33*M42,IF(B25="楼层修正",SUM(V2:V16)*M41*10000/D34,C33*M41)),0)</f>
        <v>204</v>
      </c>
      <c r="D34" s="2103"/>
      <c r="E34" s="773">
        <f>ROUND(IF(B25="楼层修正",SUM(V2:V16)*M40,C34*D34/10000),0)</f>
        <v>0</v>
      </c>
      <c r="F34" s="2104" t="s">
        <v>2014</v>
      </c>
      <c r="G34" s="2105"/>
      <c r="H34" s="2105"/>
      <c r="I34" s="2105"/>
      <c r="J34" s="2106"/>
      <c r="K34" s="1119"/>
      <c r="L34" s="3328" t="s">
        <v>3250</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2015</v>
      </c>
      <c r="C35" s="3326" t="s">
        <v>3247</v>
      </c>
      <c r="D35" s="2037"/>
      <c r="E35" s="2109"/>
      <c r="F35" s="2109"/>
      <c r="G35" s="2035" t="s">
        <v>2016</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2009</v>
      </c>
      <c r="D36" s="447" t="s">
        <v>2010</v>
      </c>
      <c r="E36" s="447" t="s">
        <v>2011</v>
      </c>
      <c r="F36" s="342" t="s">
        <v>2017</v>
      </c>
      <c r="G36" s="2112" t="s">
        <v>2009</v>
      </c>
      <c r="H36" s="2112" t="s">
        <v>2010</v>
      </c>
      <c r="I36" s="2112" t="s">
        <v>2011</v>
      </c>
      <c r="J36" s="243"/>
      <c r="K36" s="3336" t="s">
        <v>3251</v>
      </c>
      <c r="L36" s="3426">
        <f ca="1">'数据-取费表'!B40</f>
        <v>3.4500000000000003E-2</v>
      </c>
      <c r="M36" s="3337">
        <f ca="1">ROUND($L$36*(1+M31),3)</f>
        <v>4.2999999999999997E-2</v>
      </c>
      <c r="N36" s="3337">
        <f ca="1">ROUND($L$36*(1+N31),3)</f>
        <v>4.1000000000000002E-2</v>
      </c>
      <c r="O36" s="3337">
        <f ca="1">ROUND($L$36*(1+O31),3)</f>
        <v>0.04</v>
      </c>
      <c r="P36" s="3337">
        <f ca="1">ROUND($L$36*(1+P31),3)</f>
        <v>3.7999999999999999E-2</v>
      </c>
      <c r="Q36" s="333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2018</v>
      </c>
      <c r="C37" s="175">
        <f>ROUND(D5*C22*C23*C24*C28*F37,0)</f>
        <v>994</v>
      </c>
      <c r="D37" s="2098"/>
      <c r="E37" s="171">
        <f>ROUND(C37*D37/10000,0)</f>
        <v>0</v>
      </c>
      <c r="F37" s="171">
        <f>SUMIF(修正!A57:A68,G2,修正!B57:B68)</f>
        <v>0.6</v>
      </c>
      <c r="G37" s="171">
        <f>ROUND(IF(E2="工业",C37*$M$42,C37*$M$41),0)</f>
        <v>149</v>
      </c>
      <c r="H37" s="171">
        <f>D37</f>
        <v>0</v>
      </c>
      <c r="I37" s="171">
        <f>ROUND(G37*H37/10000,0)</f>
        <v>0</v>
      </c>
      <c r="J37" s="2991"/>
      <c r="K37" s="3338" t="s">
        <v>3252</v>
      </c>
      <c r="L37" s="3336">
        <f ca="1">L36+K38</f>
        <v>3.95E-2</v>
      </c>
      <c r="M37" s="3337">
        <f ca="1">ROUND($L$37*(1+M31),3)</f>
        <v>4.9000000000000002E-2</v>
      </c>
      <c r="N37" s="3337">
        <f t="shared" ref="N37:Q37" ca="1" si="3">ROUND($L$37*(1+N31),3)</f>
        <v>4.7E-2</v>
      </c>
      <c r="O37" s="3337">
        <f t="shared" ca="1" si="3"/>
        <v>4.4999999999999998E-2</v>
      </c>
      <c r="P37" s="3337">
        <f t="shared" ca="1" si="3"/>
        <v>4.2999999999999997E-2</v>
      </c>
      <c r="Q37" s="333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2019</v>
      </c>
      <c r="C38" s="175">
        <f>ROUND(D5*C22*C23*C24*C28*F38,0)</f>
        <v>497</v>
      </c>
      <c r="D38" s="2098"/>
      <c r="E38" s="171">
        <f t="shared" ref="E38:E42" si="4">ROUND(C38*D38/10000,0)</f>
        <v>0</v>
      </c>
      <c r="F38" s="171">
        <f>SUMIF(修正!A57:A68,G2,修正!C57:C68)</f>
        <v>0.3</v>
      </c>
      <c r="G38" s="171">
        <f>ROUND(IF(E2="工业",C38*$M$42,C38*$M$41),0)</f>
        <v>75</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774"/>
      <c r="B39" s="2041" t="s">
        <v>3245</v>
      </c>
      <c r="C39" s="175">
        <f>ROUND(D5*C22*C23*C24*C28*F39,0)</f>
        <v>414</v>
      </c>
      <c r="D39" s="2098"/>
      <c r="E39" s="171">
        <f t="shared" si="4"/>
        <v>0</v>
      </c>
      <c r="F39" s="171">
        <f>SUMIF(修正!A57:A68,G2,修正!D57:D68)</f>
        <v>0.25</v>
      </c>
      <c r="G39" s="171">
        <f>ROUND(IF(E2="工业",C39*$M$42,C39*$M$41),0)</f>
        <v>62</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2020</v>
      </c>
      <c r="C40" s="171">
        <f>ROUND(D5*C22*C23*C24*C28*F40,0)</f>
        <v>414</v>
      </c>
      <c r="D40" s="2098"/>
      <c r="E40" s="171">
        <f t="shared" si="4"/>
        <v>0</v>
      </c>
      <c r="F40" s="175">
        <f>SUMIF(修正!A57:A68,G2,修正!E57:E68)</f>
        <v>0.25</v>
      </c>
      <c r="G40" s="171">
        <f>ROUND(IF(E2="工业",C40*$M$42,C40*$M$41),0)</f>
        <v>62</v>
      </c>
      <c r="H40" s="171">
        <f t="shared" si="5"/>
        <v>0</v>
      </c>
      <c r="I40" s="171">
        <f t="shared" si="6"/>
        <v>0</v>
      </c>
      <c r="J40" s="2114"/>
      <c r="L40" s="2116" t="s">
        <v>2021</v>
      </c>
      <c r="M40" s="2117"/>
      <c r="Z40" s="1120"/>
      <c r="AA40" s="1120"/>
      <c r="AB40" s="1120"/>
      <c r="AC40" s="1120"/>
      <c r="AD40" s="1120"/>
      <c r="AE40" s="1120"/>
      <c r="AF40" s="1120"/>
      <c r="AG40" s="1120"/>
      <c r="AH40" s="1120"/>
      <c r="AI40" s="1120"/>
      <c r="AJ40" s="1120"/>
    </row>
    <row r="41" spans="1:37" s="1119" customFormat="1">
      <c r="A41" s="2115"/>
      <c r="B41" s="2041" t="s">
        <v>2022</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9" t="s">
        <v>3253</v>
      </c>
      <c r="M41" s="2118">
        <v>0.25</v>
      </c>
      <c r="Z41" s="1120"/>
      <c r="AA41" s="1120"/>
      <c r="AB41" s="1120"/>
      <c r="AC41" s="1120"/>
      <c r="AD41" s="1120"/>
      <c r="AE41" s="1120"/>
      <c r="AF41" s="1120"/>
      <c r="AG41" s="1120"/>
      <c r="AH41" s="1120"/>
      <c r="AI41" s="1120"/>
      <c r="AJ41" s="1120"/>
    </row>
    <row r="42" spans="1:37" s="1119" customFormat="1" ht="13.5" thickBot="1">
      <c r="A42" s="2101"/>
      <c r="B42" s="2119" t="s">
        <v>2023</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1975</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v>
      </c>
      <c r="D44" s="171" t="s">
        <v>1981</v>
      </c>
      <c r="E44" s="2153">
        <f>G24</f>
        <v>0.05</v>
      </c>
      <c r="F44" s="171" t="s">
        <v>1990</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2024</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2025</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2026</v>
      </c>
      <c r="B49" s="1351" t="s">
        <v>2027</v>
      </c>
      <c r="C49" s="1351" t="s">
        <v>2028</v>
      </c>
      <c r="D49" s="1351" t="s">
        <v>2029</v>
      </c>
      <c r="E49" s="743" t="s">
        <v>2030</v>
      </c>
      <c r="F49" s="2131" t="s">
        <v>2031</v>
      </c>
      <c r="G49" s="1351" t="s">
        <v>310</v>
      </c>
      <c r="H49" s="2132" t="s">
        <v>2032</v>
      </c>
      <c r="I49" s="1351" t="s">
        <v>2033</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38.25">
      <c r="A50" s="2130" t="s">
        <v>2034</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2035</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8" t="s">
        <v>3255</v>
      </c>
      <c r="B52" s="2134">
        <f>估价对象房地状况!C19</f>
        <v>0</v>
      </c>
      <c r="C52" s="2044"/>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2036</v>
      </c>
      <c r="B53" s="2135" t="s">
        <v>2037</v>
      </c>
      <c r="C53" s="2044"/>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2038</v>
      </c>
      <c r="B54" s="2134">
        <f>估价对象房地状况!C24</f>
        <v>0</v>
      </c>
      <c r="C54" s="2044"/>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2039</v>
      </c>
      <c r="B55" s="2136" t="s">
        <v>2040</v>
      </c>
      <c r="C55" s="2044"/>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2041</v>
      </c>
      <c r="B56" s="1326" t="str">
        <f>估价对象房地状况!C21</f>
        <v>估价对象所在区域公共配套设施齐备情况</v>
      </c>
      <c r="C56" s="2044"/>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2042</v>
      </c>
      <c r="B57" s="2134" t="str">
        <f>估价对象房地状况!C22</f>
        <v>估价对象所在区域基础设施水平</v>
      </c>
      <c r="C57" s="2044"/>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2043</v>
      </c>
      <c r="B58" s="2139" t="str">
        <f>估价对象房地状况!C20</f>
        <v>区域自然环境：；人文环境；综合评价环境状况一般</v>
      </c>
      <c r="C58" s="2044"/>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2044</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2026</v>
      </c>
      <c r="B60" s="1351"/>
      <c r="C60" s="1351" t="s">
        <v>2028</v>
      </c>
      <c r="D60" s="1351" t="s">
        <v>2029</v>
      </c>
      <c r="E60" s="743" t="s">
        <v>2030</v>
      </c>
      <c r="F60" s="2131" t="s">
        <v>2045</v>
      </c>
      <c r="G60" s="1351" t="s">
        <v>310</v>
      </c>
      <c r="H60" s="2132" t="s">
        <v>2032</v>
      </c>
      <c r="I60" s="1351" t="s">
        <v>2033</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38.25">
      <c r="A61" s="2130" t="s">
        <v>2046</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2035</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8" t="s">
        <v>3255</v>
      </c>
      <c r="B63" s="2134">
        <f>估价对象房地状况!C19</f>
        <v>0</v>
      </c>
      <c r="C63" s="2044"/>
      <c r="D63" s="1065">
        <f t="shared" si="12"/>
        <v>0</v>
      </c>
      <c r="E63" s="745"/>
      <c r="F63" s="1814"/>
      <c r="G63" s="1063"/>
      <c r="H63" s="1066" t="str">
        <f t="shared" si="13"/>
        <v>——</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2036</v>
      </c>
      <c r="B64" s="2135" t="s">
        <v>2037</v>
      </c>
      <c r="C64" s="2044"/>
      <c r="D64" s="1065">
        <f t="shared" si="12"/>
        <v>0</v>
      </c>
      <c r="E64" s="745"/>
      <c r="F64" s="1814"/>
      <c r="G64" s="1063"/>
      <c r="H64" s="1066" t="str">
        <f t="shared" si="13"/>
        <v>——</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2038</v>
      </c>
      <c r="B65" s="2134">
        <f>估价对象房地状况!C24</f>
        <v>0</v>
      </c>
      <c r="C65" s="2044"/>
      <c r="D65" s="1065">
        <f t="shared" si="12"/>
        <v>0</v>
      </c>
      <c r="E65" s="745"/>
      <c r="F65" s="1814"/>
      <c r="G65" s="1063"/>
      <c r="H65" s="1066" t="str">
        <f t="shared" si="13"/>
        <v>——</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2039</v>
      </c>
      <c r="B66" s="2136" t="s">
        <v>2040</v>
      </c>
      <c r="C66" s="2044"/>
      <c r="D66" s="1065">
        <f t="shared" si="12"/>
        <v>0</v>
      </c>
      <c r="E66" s="745"/>
      <c r="F66" s="1814"/>
      <c r="G66" s="1063"/>
      <c r="H66" s="1066" t="str">
        <f t="shared" si="13"/>
        <v>——</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2041</v>
      </c>
      <c r="B67" s="1326" t="str">
        <f>估价对象房地状况!C21</f>
        <v>估价对象所在区域公共配套设施齐备情况</v>
      </c>
      <c r="C67" s="2044"/>
      <c r="D67" s="1065">
        <f t="shared" si="12"/>
        <v>0</v>
      </c>
      <c r="E67" s="745"/>
      <c r="F67" s="1814"/>
      <c r="G67" s="1063"/>
      <c r="H67" s="1066" t="str">
        <f t="shared" si="13"/>
        <v>——</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2042</v>
      </c>
      <c r="B68" s="1326" t="str">
        <f>估价对象房地状况!C22</f>
        <v>估价对象所在区域基础设施水平</v>
      </c>
      <c r="C68" s="2044"/>
      <c r="D68" s="1065">
        <f t="shared" si="12"/>
        <v>0</v>
      </c>
      <c r="E68" s="745"/>
      <c r="F68" s="1814"/>
      <c r="G68" s="1063"/>
      <c r="H68" s="1066" t="str">
        <f t="shared" si="13"/>
        <v>——</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2043</v>
      </c>
      <c r="B69" s="2140" t="str">
        <f>估价对象房地状况!C20</f>
        <v>区域自然环境：；人文环境；综合评价环境状况一般</v>
      </c>
      <c r="C69" s="2044"/>
      <c r="D69" s="1065">
        <f t="shared" si="12"/>
        <v>0</v>
      </c>
      <c r="E69" s="746"/>
      <c r="F69" s="1814"/>
      <c r="G69" s="1063"/>
      <c r="H69" s="1066" t="str">
        <f t="shared" si="13"/>
        <v>——</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2047</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2026</v>
      </c>
      <c r="B71" s="1351"/>
      <c r="C71" s="1351" t="s">
        <v>2028</v>
      </c>
      <c r="D71" s="1351" t="s">
        <v>2029</v>
      </c>
      <c r="E71" s="743" t="s">
        <v>2030</v>
      </c>
      <c r="F71" s="2131" t="s">
        <v>2045</v>
      </c>
      <c r="G71" s="1351" t="s">
        <v>310</v>
      </c>
      <c r="H71" s="2132" t="s">
        <v>2032</v>
      </c>
      <c r="I71" s="1351" t="s">
        <v>2033</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51">
      <c r="A72" s="2130" t="s">
        <v>2048</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2035</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8" t="s">
        <v>3255</v>
      </c>
      <c r="B74" s="2134">
        <f>估价对象房地状况!C19</f>
        <v>0</v>
      </c>
      <c r="C74" s="2044"/>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2049</v>
      </c>
      <c r="B75" s="2134">
        <f>估价对象房地状况!C24</f>
        <v>0</v>
      </c>
      <c r="C75" s="2044"/>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2041</v>
      </c>
      <c r="B76" s="1326" t="str">
        <f>估价对象房地状况!C21</f>
        <v>估价对象所在区域公共配套设施齐备情况</v>
      </c>
      <c r="C76" s="2044"/>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2042</v>
      </c>
      <c r="B77" s="1326" t="str">
        <f>估价对象房地状况!C22</f>
        <v>估价对象所在区域基础设施水平</v>
      </c>
      <c r="C77" s="2044"/>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2039</v>
      </c>
      <c r="B78" s="2136" t="s">
        <v>2040</v>
      </c>
      <c r="C78" s="2044"/>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2043</v>
      </c>
      <c r="B79" s="2133" t="str">
        <f>估价对象房地状况!C20</f>
        <v>区域自然环境：；人文环境；综合评价环境状况一般</v>
      </c>
      <c r="C79" s="2044"/>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8"/>
      <c r="AA79" s="2053"/>
      <c r="AG79" s="1121"/>
      <c r="AK79" s="2053"/>
    </row>
    <row r="80" spans="1:37" ht="24.75" thickBot="1">
      <c r="A80" s="2138" t="s">
        <v>2050</v>
      </c>
      <c r="B80" s="2142"/>
      <c r="C80" s="2044"/>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8"/>
      <c r="AA80" s="2053"/>
      <c r="AG80" s="1121"/>
      <c r="AK80" s="2053"/>
    </row>
    <row r="81" spans="1:37" ht="15">
      <c r="A81" s="2126" t="s">
        <v>2051</v>
      </c>
      <c r="B81" s="2127">
        <f>1+E83</f>
        <v>1.0251999999999999</v>
      </c>
      <c r="C81" s="741"/>
      <c r="D81" s="741"/>
      <c r="E81" s="742"/>
      <c r="F81" s="2129"/>
      <c r="G81" s="3"/>
      <c r="H81" s="3"/>
      <c r="I81" s="3"/>
      <c r="J81" s="4"/>
      <c r="K81" s="4"/>
      <c r="L81" s="4"/>
      <c r="M81" s="4"/>
      <c r="N81" s="4"/>
      <c r="Z81" s="1998"/>
      <c r="AA81" s="2053"/>
      <c r="AG81" s="1121"/>
      <c r="AK81" s="2053"/>
    </row>
    <row r="82" spans="1:37" ht="24.75">
      <c r="A82" s="2130" t="s">
        <v>2026</v>
      </c>
      <c r="B82" s="1351"/>
      <c r="C82" s="1351" t="s">
        <v>2028</v>
      </c>
      <c r="D82" s="1351" t="s">
        <v>2029</v>
      </c>
      <c r="E82" s="743" t="s">
        <v>2030</v>
      </c>
      <c r="F82" s="2131" t="s">
        <v>2045</v>
      </c>
      <c r="G82" s="1351" t="s">
        <v>310</v>
      </c>
      <c r="H82" s="2132" t="s">
        <v>2032</v>
      </c>
      <c r="I82" s="1351" t="s">
        <v>2033</v>
      </c>
      <c r="J82" s="552" t="s">
        <v>1703</v>
      </c>
      <c r="K82" s="552" t="s">
        <v>1704</v>
      </c>
      <c r="L82" s="552" t="s">
        <v>1705</v>
      </c>
      <c r="M82" s="552" t="s">
        <v>1706</v>
      </c>
      <c r="N82" s="552" t="s">
        <v>1707</v>
      </c>
      <c r="Z82" s="1998"/>
      <c r="AA82" s="2053"/>
      <c r="AG82" s="1121"/>
      <c r="AK82" s="2053"/>
    </row>
    <row r="83" spans="1:37" ht="38.25">
      <c r="A83" s="2130" t="s">
        <v>2052</v>
      </c>
      <c r="B83" s="2134" t="str">
        <f>估价对象房地状况!G15</f>
        <v>估价对象位于XX开发区，园区建设成熟度XX，产业集聚程度XX</v>
      </c>
      <c r="C83" s="2044" t="s">
        <v>3383</v>
      </c>
      <c r="D83" s="1065">
        <f t="shared" ref="D83:D90" si="22">SUMIF($J$82:$N$82,C83,J83:N83)</f>
        <v>6.4999999999999997E-3</v>
      </c>
      <c r="E83" s="744">
        <f>ROUND(SUM(D83:D90),4)</f>
        <v>2.52E-2</v>
      </c>
      <c r="F83" s="1814">
        <f>IF(E2="工业",SUMIF(L1:L12,G2,N1:N12),"——")</f>
        <v>0.05</v>
      </c>
      <c r="G83" s="1063">
        <v>6.4999999999999997E-3</v>
      </c>
      <c r="H83" s="1066">
        <f t="shared" ref="H83:H90" si="23">IFERROR(ROUNDDOWN($F$83*I83/2,4),"——")</f>
        <v>6.4999999999999997E-3</v>
      </c>
      <c r="I83" s="334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2035</v>
      </c>
      <c r="B84" s="2134" t="str">
        <f>估价对象房地状况!G16</f>
        <v>估价对象周边道路状况、公共交通通达情况、停车便捷程度，综合评价交通便捷度较好</v>
      </c>
      <c r="C84" s="2044" t="s">
        <v>3383</v>
      </c>
      <c r="D84" s="1065">
        <f t="shared" si="22"/>
        <v>7.4999999999999997E-3</v>
      </c>
      <c r="E84" s="747"/>
      <c r="F84" s="1814"/>
      <c r="G84" s="1063">
        <v>7.4999999999999997E-3</v>
      </c>
      <c r="H84" s="1066">
        <f t="shared" si="23"/>
        <v>7.4999999999999997E-3</v>
      </c>
      <c r="I84" s="334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48" t="s">
        <v>3256</v>
      </c>
      <c r="B85" s="2134">
        <f>估价对象房地状况!G17</f>
        <v>0</v>
      </c>
      <c r="C85" s="2044" t="s">
        <v>3383</v>
      </c>
      <c r="D85" s="1065">
        <f t="shared" si="22"/>
        <v>2.5000000000000001E-3</v>
      </c>
      <c r="E85" s="747"/>
      <c r="F85" s="1814"/>
      <c r="G85" s="1063">
        <v>2.5000000000000001E-3</v>
      </c>
      <c r="H85" s="1066">
        <f t="shared" si="23"/>
        <v>2.5000000000000001E-3</v>
      </c>
      <c r="I85" s="334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2049</v>
      </c>
      <c r="B86" s="2134">
        <f>估价对象房地状况!G22</f>
        <v>0</v>
      </c>
      <c r="C86" s="2044" t="s">
        <v>3384</v>
      </c>
      <c r="D86" s="1065">
        <f t="shared" si="22"/>
        <v>0</v>
      </c>
      <c r="E86" s="747"/>
      <c r="F86" s="1814"/>
      <c r="G86" s="1063">
        <v>1.1999999999999999E-3</v>
      </c>
      <c r="H86" s="1066">
        <f t="shared" si="23"/>
        <v>1.1999999999999999E-3</v>
      </c>
      <c r="I86" s="334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2041</v>
      </c>
      <c r="B87" s="1326" t="str">
        <f>估价对象房地状况!G19</f>
        <v>估价对象所在区域公共配套设施齐备情况</v>
      </c>
      <c r="C87" s="2044" t="s">
        <v>3384</v>
      </c>
      <c r="D87" s="1065">
        <f t="shared" si="22"/>
        <v>0</v>
      </c>
      <c r="E87" s="747"/>
      <c r="F87" s="1814"/>
      <c r="G87" s="1063">
        <v>1.5E-3</v>
      </c>
      <c r="H87" s="1066">
        <f t="shared" si="23"/>
        <v>1.5E-3</v>
      </c>
      <c r="I87" s="3346">
        <v>0.06</v>
      </c>
      <c r="J87" s="1064">
        <f t="shared" si="24"/>
        <v>3.0000000000000001E-3</v>
      </c>
      <c r="K87" s="1064">
        <f t="shared" si="25"/>
        <v>1.5E-3</v>
      </c>
      <c r="L87" s="1064">
        <v>0</v>
      </c>
      <c r="M87" s="1064">
        <f t="shared" si="26"/>
        <v>-1.5E-3</v>
      </c>
      <c r="N87" s="1064">
        <f t="shared" si="26"/>
        <v>-3.0000000000000001E-3</v>
      </c>
    </row>
    <row r="88" spans="1:37" ht="25.5">
      <c r="A88" s="2130" t="s">
        <v>2042</v>
      </c>
      <c r="B88" s="1326" t="str">
        <f>估价对象房地状况!G20</f>
        <v>估价对象所在区域基础设施水平</v>
      </c>
      <c r="C88" s="2044" t="s">
        <v>3385</v>
      </c>
      <c r="D88" s="1065">
        <f t="shared" si="22"/>
        <v>6.0000000000000001E-3</v>
      </c>
      <c r="E88" s="747"/>
      <c r="F88" s="1814"/>
      <c r="G88" s="1063">
        <v>3.0000000000000001E-3</v>
      </c>
      <c r="H88" s="1066">
        <f t="shared" si="23"/>
        <v>3.0000000000000001E-3</v>
      </c>
      <c r="I88" s="334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2039</v>
      </c>
      <c r="B89" s="2136" t="s">
        <v>2053</v>
      </c>
      <c r="C89" s="2044" t="s">
        <v>3383</v>
      </c>
      <c r="D89" s="1065">
        <f t="shared" si="22"/>
        <v>1.5E-3</v>
      </c>
      <c r="E89" s="747"/>
      <c r="F89" s="1814"/>
      <c r="G89" s="1063">
        <v>1.5E-3</v>
      </c>
      <c r="H89" s="1066">
        <f t="shared" si="23"/>
        <v>1.5E-3</v>
      </c>
      <c r="I89" s="3346">
        <v>0.06</v>
      </c>
      <c r="J89" s="1064">
        <f t="shared" si="24"/>
        <v>3.0000000000000001E-3</v>
      </c>
      <c r="K89" s="1064">
        <f t="shared" si="25"/>
        <v>1.5E-3</v>
      </c>
      <c r="L89" s="1064">
        <v>0</v>
      </c>
      <c r="M89" s="1064">
        <f t="shared" si="26"/>
        <v>-1.5E-3</v>
      </c>
      <c r="N89" s="1064">
        <f t="shared" si="26"/>
        <v>-3.0000000000000001E-3</v>
      </c>
    </row>
    <row r="90" spans="1:37" ht="39" thickBot="1">
      <c r="A90" s="2138" t="s">
        <v>2054</v>
      </c>
      <c r="B90" s="2143" t="str">
        <f>估价对象房地状况!G18</f>
        <v>该园区内是否有污染型企业，绿化情况，卫生条件，整体环境状况判断</v>
      </c>
      <c r="C90" s="2044" t="s">
        <v>3383</v>
      </c>
      <c r="D90" s="1065">
        <f t="shared" si="22"/>
        <v>1.1999999999999999E-3</v>
      </c>
      <c r="E90" s="748"/>
      <c r="F90" s="1814"/>
      <c r="G90" s="1063">
        <v>1.1999999999999999E-3</v>
      </c>
      <c r="H90" s="1066">
        <f t="shared" si="23"/>
        <v>1.1999999999999999E-3</v>
      </c>
      <c r="I90" s="3347">
        <v>0.05</v>
      </c>
      <c r="J90" s="1064">
        <f t="shared" si="24"/>
        <v>2.3999999999999998E-3</v>
      </c>
      <c r="K90" s="1064">
        <f t="shared" si="25"/>
        <v>1.1999999999999999E-3</v>
      </c>
      <c r="L90" s="1064">
        <v>0</v>
      </c>
      <c r="M90" s="1064">
        <f t="shared" si="26"/>
        <v>-1.1999999999999999E-3</v>
      </c>
      <c r="N90" s="1064">
        <f t="shared" si="26"/>
        <v>-2.3999999999999998E-3</v>
      </c>
    </row>
    <row r="91" spans="1:37" ht="15">
      <c r="A91" s="3356" t="s">
        <v>2598</v>
      </c>
      <c r="B91" s="3357">
        <f>1+E93</f>
        <v>1</v>
      </c>
      <c r="C91" s="3350"/>
      <c r="D91" s="3351"/>
      <c r="E91" s="1814"/>
      <c r="F91" s="1814"/>
      <c r="G91" s="3352"/>
      <c r="H91" s="3353"/>
      <c r="I91" s="3354"/>
      <c r="J91" s="3355"/>
      <c r="K91" s="3355"/>
      <c r="L91" s="3355"/>
      <c r="M91" s="3355"/>
      <c r="N91" s="3355"/>
    </row>
    <row r="92" spans="1:37" ht="24.75">
      <c r="A92" s="3358" t="s">
        <v>3257</v>
      </c>
      <c r="B92" s="3345"/>
      <c r="C92" s="3345" t="s">
        <v>3266</v>
      </c>
      <c r="D92" s="3345" t="s">
        <v>3267</v>
      </c>
      <c r="E92" s="3327" t="s">
        <v>3268</v>
      </c>
      <c r="F92" s="3360" t="s">
        <v>3269</v>
      </c>
      <c r="G92" s="3345" t="s">
        <v>3270</v>
      </c>
      <c r="H92" s="3367" t="s">
        <v>3273</v>
      </c>
      <c r="I92" s="3345" t="s">
        <v>3274</v>
      </c>
      <c r="J92" s="3368" t="s">
        <v>3275</v>
      </c>
      <c r="K92" s="3368" t="s">
        <v>3276</v>
      </c>
      <c r="L92" s="3368" t="s">
        <v>3277</v>
      </c>
      <c r="M92" s="3368" t="s">
        <v>3278</v>
      </c>
      <c r="N92" s="3368" t="s">
        <v>3279</v>
      </c>
    </row>
    <row r="93" spans="1:37" ht="24">
      <c r="A93" s="3348" t="s">
        <v>3258</v>
      </c>
      <c r="B93" s="1306"/>
      <c r="C93" s="2044"/>
      <c r="D93" s="3345">
        <f>SUMIF($J$92:$N$92,C93,J93:N93)</f>
        <v>0</v>
      </c>
      <c r="E93" s="3361">
        <f>ROUND(SUM(D93:D101),4)</f>
        <v>0</v>
      </c>
      <c r="F93" s="1814" t="str">
        <f>IF(E2="公共服务",SUMIF(L1:L12,G2,N1:N12),"——")</f>
        <v>——</v>
      </c>
      <c r="G93" s="3352"/>
      <c r="H93" s="3400" t="str">
        <f>IFERROR(ROUNDDOWN($F$93*I93/2,4),"——")</f>
        <v>——</v>
      </c>
      <c r="I93" s="3346">
        <v>0.25</v>
      </c>
      <c r="J93" s="3324">
        <f t="shared" ref="J93:J101" si="27">K93+$G93</f>
        <v>0</v>
      </c>
      <c r="K93" s="3324">
        <f t="shared" ref="K93:K101" si="28">$L93+$G93</f>
        <v>0</v>
      </c>
      <c r="L93" s="3324">
        <v>0</v>
      </c>
      <c r="M93" s="3324">
        <f t="shared" ref="M93:N101" si="29">L93-$G93</f>
        <v>0</v>
      </c>
      <c r="N93" s="3324">
        <f t="shared" si="29"/>
        <v>0</v>
      </c>
    </row>
    <row r="94" spans="1:37" ht="38.25">
      <c r="A94" s="3358" t="s">
        <v>3259</v>
      </c>
      <c r="B94" s="3349" t="str">
        <f>估价对象房地状况!C18</f>
        <v>估价对象周边道路状况、公共交通通达情况、停车便捷程度，综合评价交通便捷度较好</v>
      </c>
      <c r="C94" s="2044"/>
      <c r="D94" s="3345">
        <f t="shared" ref="D94:D101" si="30">SUMIF($J$60:$N$60,C94,J94:N94)</f>
        <v>0</v>
      </c>
      <c r="E94" s="3362"/>
      <c r="F94" s="1814"/>
      <c r="G94" s="3352"/>
      <c r="H94" s="3400" t="str">
        <f>IFERROR(ROUNDDOWN($F$93*I94/2,4),"——")</f>
        <v>——</v>
      </c>
      <c r="I94" s="3346">
        <v>0.26</v>
      </c>
      <c r="J94" s="3324">
        <f t="shared" si="27"/>
        <v>0</v>
      </c>
      <c r="K94" s="3324">
        <f t="shared" si="28"/>
        <v>0</v>
      </c>
      <c r="L94" s="3324">
        <v>0</v>
      </c>
      <c r="M94" s="3324">
        <f t="shared" si="29"/>
        <v>0</v>
      </c>
      <c r="N94" s="3324">
        <f t="shared" si="29"/>
        <v>0</v>
      </c>
    </row>
    <row r="95" spans="1:37" ht="36">
      <c r="A95" s="3348" t="s">
        <v>3255</v>
      </c>
      <c r="B95" s="3349">
        <f>估价对象房地状况!C19</f>
        <v>0</v>
      </c>
      <c r="C95" s="2044"/>
      <c r="D95" s="3345">
        <f t="shared" si="30"/>
        <v>0</v>
      </c>
      <c r="E95" s="3362"/>
      <c r="F95" s="1814"/>
      <c r="G95" s="3352"/>
      <c r="H95" s="3400" t="str">
        <f t="shared" ref="H95:H101" si="31">IFERROR(ROUNDDOWN($F$93*I95/2,4),"——")</f>
        <v>——</v>
      </c>
      <c r="I95" s="3346">
        <v>0.11</v>
      </c>
      <c r="J95" s="3324">
        <f t="shared" si="27"/>
        <v>0</v>
      </c>
      <c r="K95" s="3324">
        <f t="shared" si="28"/>
        <v>0</v>
      </c>
      <c r="L95" s="3324">
        <v>0</v>
      </c>
      <c r="M95" s="3324">
        <f t="shared" si="29"/>
        <v>0</v>
      </c>
      <c r="N95" s="3324">
        <f t="shared" si="29"/>
        <v>0</v>
      </c>
    </row>
    <row r="96" spans="1:37" ht="36.75">
      <c r="A96" s="3358" t="s">
        <v>3260</v>
      </c>
      <c r="B96" s="3364" t="s">
        <v>3271</v>
      </c>
      <c r="C96" s="2044"/>
      <c r="D96" s="3345">
        <f t="shared" si="30"/>
        <v>0</v>
      </c>
      <c r="E96" s="3362"/>
      <c r="F96" s="1814"/>
      <c r="G96" s="3352"/>
      <c r="H96" s="3400" t="str">
        <f t="shared" si="31"/>
        <v>——</v>
      </c>
      <c r="I96" s="3346">
        <v>0.05</v>
      </c>
      <c r="J96" s="3324">
        <f t="shared" si="27"/>
        <v>0</v>
      </c>
      <c r="K96" s="3324">
        <f t="shared" si="28"/>
        <v>0</v>
      </c>
      <c r="L96" s="3324">
        <v>0</v>
      </c>
      <c r="M96" s="3324">
        <f t="shared" si="29"/>
        <v>0</v>
      </c>
      <c r="N96" s="3324">
        <f t="shared" si="29"/>
        <v>0</v>
      </c>
    </row>
    <row r="97" spans="1:14" ht="24">
      <c r="A97" s="3358" t="s">
        <v>3261</v>
      </c>
      <c r="B97" s="3349">
        <f>估价对象房地状况!C24</f>
        <v>0</v>
      </c>
      <c r="C97" s="2044"/>
      <c r="D97" s="3345">
        <f t="shared" si="30"/>
        <v>0</v>
      </c>
      <c r="E97" s="3362"/>
      <c r="F97" s="1814"/>
      <c r="G97" s="3352"/>
      <c r="H97" s="3400" t="str">
        <f t="shared" si="31"/>
        <v>——</v>
      </c>
      <c r="I97" s="3346">
        <v>0.05</v>
      </c>
      <c r="J97" s="3324">
        <f t="shared" si="27"/>
        <v>0</v>
      </c>
      <c r="K97" s="3324">
        <f t="shared" si="28"/>
        <v>0</v>
      </c>
      <c r="L97" s="3324">
        <v>0</v>
      </c>
      <c r="M97" s="3324">
        <f t="shared" si="29"/>
        <v>0</v>
      </c>
      <c r="N97" s="3324">
        <f t="shared" si="29"/>
        <v>0</v>
      </c>
    </row>
    <row r="98" spans="1:14" ht="24">
      <c r="A98" s="3358" t="s">
        <v>3262</v>
      </c>
      <c r="B98" s="3365" t="s">
        <v>3272</v>
      </c>
      <c r="C98" s="2044"/>
      <c r="D98" s="3345">
        <f t="shared" si="30"/>
        <v>0</v>
      </c>
      <c r="E98" s="3362"/>
      <c r="F98" s="1814"/>
      <c r="G98" s="3352"/>
      <c r="H98" s="3400" t="str">
        <f t="shared" si="31"/>
        <v>——</v>
      </c>
      <c r="I98" s="3346">
        <v>0.06</v>
      </c>
      <c r="J98" s="3324">
        <f t="shared" si="27"/>
        <v>0</v>
      </c>
      <c r="K98" s="3324">
        <f t="shared" si="28"/>
        <v>0</v>
      </c>
      <c r="L98" s="3324">
        <v>0</v>
      </c>
      <c r="M98" s="3324">
        <f t="shared" si="29"/>
        <v>0</v>
      </c>
      <c r="N98" s="3324">
        <f t="shared" si="29"/>
        <v>0</v>
      </c>
    </row>
    <row r="99" spans="1:14" ht="25.5">
      <c r="A99" s="3358" t="s">
        <v>3263</v>
      </c>
      <c r="B99" s="3349" t="str">
        <f>估价对象房地状况!C21</f>
        <v>估价对象所在区域公共配套设施齐备情况</v>
      </c>
      <c r="C99" s="2044"/>
      <c r="D99" s="3345">
        <f t="shared" si="30"/>
        <v>0</v>
      </c>
      <c r="E99" s="3362"/>
      <c r="F99" s="1814"/>
      <c r="G99" s="3352"/>
      <c r="H99" s="3400" t="str">
        <f t="shared" si="31"/>
        <v>——</v>
      </c>
      <c r="I99" s="3346">
        <v>0.06</v>
      </c>
      <c r="J99" s="3324">
        <f t="shared" si="27"/>
        <v>0</v>
      </c>
      <c r="K99" s="3324">
        <f t="shared" si="28"/>
        <v>0</v>
      </c>
      <c r="L99" s="3324">
        <v>0</v>
      </c>
      <c r="M99" s="3324">
        <f t="shared" si="29"/>
        <v>0</v>
      </c>
      <c r="N99" s="3324">
        <f t="shared" si="29"/>
        <v>0</v>
      </c>
    </row>
    <row r="100" spans="1:14" ht="25.5">
      <c r="A100" s="3358" t="s">
        <v>3264</v>
      </c>
      <c r="B100" s="3349" t="str">
        <f>估价对象房地状况!C22</f>
        <v>估价对象所在区域基础设施水平</v>
      </c>
      <c r="C100" s="2044"/>
      <c r="D100" s="3345">
        <f t="shared" si="30"/>
        <v>0</v>
      </c>
      <c r="E100" s="3362"/>
      <c r="F100" s="1814"/>
      <c r="G100" s="3352"/>
      <c r="H100" s="3400" t="str">
        <f t="shared" si="31"/>
        <v>——</v>
      </c>
      <c r="I100" s="3346">
        <v>0.09</v>
      </c>
      <c r="J100" s="3324">
        <f t="shared" si="27"/>
        <v>0</v>
      </c>
      <c r="K100" s="3324">
        <f t="shared" si="28"/>
        <v>0</v>
      </c>
      <c r="L100" s="3324">
        <v>0</v>
      </c>
      <c r="M100" s="3324">
        <f t="shared" si="29"/>
        <v>0</v>
      </c>
      <c r="N100" s="3324">
        <f t="shared" si="29"/>
        <v>0</v>
      </c>
    </row>
    <row r="101" spans="1:14" ht="26.25" thickBot="1">
      <c r="A101" s="3359" t="s">
        <v>3265</v>
      </c>
      <c r="B101" s="3366" t="str">
        <f>估价对象房地状况!C20</f>
        <v>区域自然环境：；人文环境；综合评价环境状况一般</v>
      </c>
      <c r="C101" s="2044"/>
      <c r="D101" s="3345">
        <f t="shared" si="30"/>
        <v>0</v>
      </c>
      <c r="E101" s="3363"/>
      <c r="F101" s="1814"/>
      <c r="G101" s="3352"/>
      <c r="H101" s="3400" t="str">
        <f t="shared" si="31"/>
        <v>——</v>
      </c>
      <c r="I101" s="3347">
        <v>7.0000000000000007E-2</v>
      </c>
      <c r="J101" s="3324">
        <f t="shared" si="27"/>
        <v>0</v>
      </c>
      <c r="K101" s="3324">
        <f t="shared" si="28"/>
        <v>0</v>
      </c>
      <c r="L101" s="3324">
        <v>0</v>
      </c>
      <c r="M101" s="3324">
        <f t="shared" si="29"/>
        <v>0</v>
      </c>
      <c r="N101" s="3324">
        <f t="shared" si="29"/>
        <v>0</v>
      </c>
    </row>
    <row r="103" spans="1:14">
      <c r="A103" s="3771" t="s">
        <v>3280</v>
      </c>
      <c r="B103" s="3771"/>
      <c r="C103" s="3771"/>
      <c r="D103" s="3771"/>
      <c r="E103" s="3771"/>
      <c r="F103" s="3771"/>
      <c r="G103" s="3771"/>
      <c r="H103" s="3771"/>
      <c r="I103" s="3771"/>
      <c r="J103" s="3771"/>
      <c r="K103" s="3369"/>
      <c r="L103" s="3369"/>
      <c r="M103" s="3369"/>
      <c r="N103" s="3369"/>
    </row>
    <row r="104" spans="1:14">
      <c r="A104" s="3772" t="s">
        <v>3281</v>
      </c>
      <c r="B104" s="3772" t="s">
        <v>3282</v>
      </c>
      <c r="C104" s="3370" t="s">
        <v>3283</v>
      </c>
      <c r="D104" s="3371"/>
      <c r="E104" s="3371"/>
      <c r="F104" s="3371"/>
      <c r="G104" s="3371"/>
      <c r="H104" s="3371"/>
      <c r="I104" s="3371"/>
      <c r="J104" s="3372"/>
      <c r="K104" s="3373"/>
      <c r="L104" s="3373"/>
      <c r="M104" s="3373"/>
      <c r="N104" s="3373"/>
    </row>
    <row r="105" spans="1:14">
      <c r="A105" s="3772"/>
      <c r="B105" s="3772"/>
      <c r="C105" s="3374" t="s">
        <v>3284</v>
      </c>
      <c r="D105" s="3374" t="s">
        <v>3285</v>
      </c>
      <c r="E105" s="3374" t="s">
        <v>3286</v>
      </c>
      <c r="F105" s="3374" t="s">
        <v>3287</v>
      </c>
      <c r="G105" s="3374" t="s">
        <v>3288</v>
      </c>
      <c r="H105" s="3374" t="s">
        <v>3289</v>
      </c>
      <c r="I105" s="3374" t="s">
        <v>3290</v>
      </c>
      <c r="J105" s="3374" t="s">
        <v>3291</v>
      </c>
      <c r="K105" s="3374" t="s">
        <v>3292</v>
      </c>
      <c r="L105" s="3374" t="s">
        <v>3293</v>
      </c>
      <c r="M105" s="3374" t="s">
        <v>3294</v>
      </c>
      <c r="N105" s="3374" t="s">
        <v>3295</v>
      </c>
    </row>
    <row r="106" spans="1:14">
      <c r="A106" s="3758" t="s">
        <v>3296</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759"/>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759"/>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759"/>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759"/>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759"/>
      <c r="B111" s="3374" t="s">
        <v>3254</v>
      </c>
      <c r="C111" s="3375">
        <f>$I$3</f>
        <v>0</v>
      </c>
      <c r="D111" s="3375">
        <f t="shared" ref="D111:M111" si="32">$I$3</f>
        <v>0</v>
      </c>
      <c r="E111" s="3375">
        <f t="shared" si="32"/>
        <v>0</v>
      </c>
      <c r="F111" s="3375">
        <f t="shared" si="32"/>
        <v>0</v>
      </c>
      <c r="G111" s="3375">
        <f t="shared" si="32"/>
        <v>0</v>
      </c>
      <c r="H111" s="3375">
        <f t="shared" si="32"/>
        <v>0</v>
      </c>
      <c r="I111" s="3375">
        <f t="shared" si="32"/>
        <v>0</v>
      </c>
      <c r="J111" s="3375">
        <f t="shared" si="32"/>
        <v>0</v>
      </c>
      <c r="K111" s="3375">
        <f t="shared" si="32"/>
        <v>0</v>
      </c>
      <c r="L111" s="3375">
        <f t="shared" si="32"/>
        <v>0</v>
      </c>
      <c r="M111" s="3375">
        <f t="shared" si="32"/>
        <v>0</v>
      </c>
      <c r="N111" s="3375">
        <f>$I$3</f>
        <v>0</v>
      </c>
    </row>
    <row r="112" spans="1:14">
      <c r="A112" s="3760"/>
      <c r="B112" s="3374">
        <v>6</v>
      </c>
      <c r="C112" s="3367">
        <f>(-0.5556*(C111^2)-0.2719*C111+8944)*(10^(-4))</f>
        <v>0.89440000000000008</v>
      </c>
      <c r="D112" s="3367">
        <f>(-0.5556*(D111^2)-0.2719*D111+8944)*(10^(-4))</f>
        <v>0.89440000000000008</v>
      </c>
      <c r="E112" s="3367">
        <f>(-0.7912*(E111^2)-11.3794*E111+8482)*(10^(-4))</f>
        <v>0.84820000000000007</v>
      </c>
      <c r="F112" s="3367">
        <f t="shared" ref="F112:I112" si="33">(-0.7912*(F111^2)-11.3794*F111+8482)*(10^(-4))</f>
        <v>0.84820000000000007</v>
      </c>
      <c r="G112" s="3367">
        <f t="shared" si="33"/>
        <v>0.84820000000000007</v>
      </c>
      <c r="H112" s="3367">
        <f t="shared" si="33"/>
        <v>0.84820000000000007</v>
      </c>
      <c r="I112" s="3367">
        <f t="shared" si="33"/>
        <v>0.84820000000000007</v>
      </c>
      <c r="J112" s="3367">
        <f>(-0.989*(J111^2)-63.78*J111+7771)*(10^(-4))</f>
        <v>0.77710000000000001</v>
      </c>
      <c r="K112" s="3367">
        <f t="shared" ref="K112:N112" si="34">(-0.989*(K111^2)-63.78*K111+7771)*(10^(-4))</f>
        <v>0.77710000000000001</v>
      </c>
      <c r="L112" s="3367">
        <f t="shared" si="34"/>
        <v>0.77710000000000001</v>
      </c>
      <c r="M112" s="3367">
        <f t="shared" si="34"/>
        <v>0.77710000000000001</v>
      </c>
      <c r="N112" s="3367">
        <f t="shared" si="34"/>
        <v>0.77710000000000001</v>
      </c>
    </row>
    <row r="113" spans="1:14">
      <c r="A113" s="3761" t="s">
        <v>3297</v>
      </c>
      <c r="B113" s="3761"/>
      <c r="C113" s="3761"/>
      <c r="D113" s="3761"/>
      <c r="E113" s="3761"/>
      <c r="F113" s="3761"/>
      <c r="G113" s="3761"/>
      <c r="H113" s="3761"/>
      <c r="I113" s="3761"/>
      <c r="J113" s="3761"/>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3298</v>
      </c>
      <c r="B116" s="3395">
        <f>G3</f>
        <v>2.0099999999999998</v>
      </c>
      <c r="C116" s="3379" t="s">
        <v>3299</v>
      </c>
      <c r="D116" s="3380">
        <f>SUMPRODUCT((A118:A122=F116)*(B117:M117=H116)*B118:M122)</f>
        <v>0.625</v>
      </c>
      <c r="E116" s="2000" t="s">
        <v>3300</v>
      </c>
      <c r="F116" s="3381" t="str">
        <f>E2</f>
        <v>工业</v>
      </c>
      <c r="G116" s="2000" t="s">
        <v>3301</v>
      </c>
      <c r="H116" s="3381" t="str">
        <f>G2</f>
        <v>七级</v>
      </c>
      <c r="I116" s="2000"/>
      <c r="J116" s="3382"/>
      <c r="K116" s="3382"/>
      <c r="L116" s="3382"/>
      <c r="M116" s="3382"/>
      <c r="N116" s="3377"/>
    </row>
    <row r="117" spans="1:14">
      <c r="A117" s="3383"/>
      <c r="B117" s="3384" t="s">
        <v>3302</v>
      </c>
      <c r="C117" s="3384" t="s">
        <v>3303</v>
      </c>
      <c r="D117" s="3384" t="s">
        <v>3304</v>
      </c>
      <c r="E117" s="3385" t="s">
        <v>3305</v>
      </c>
      <c r="F117" s="3385" t="s">
        <v>3306</v>
      </c>
      <c r="G117" s="3385" t="s">
        <v>3307</v>
      </c>
      <c r="H117" s="3386" t="s">
        <v>3308</v>
      </c>
      <c r="I117" s="3386" t="s">
        <v>3309</v>
      </c>
      <c r="J117" s="3387" t="s">
        <v>3310</v>
      </c>
      <c r="K117" s="3387" t="s">
        <v>3311</v>
      </c>
      <c r="L117" s="3387" t="s">
        <v>3312</v>
      </c>
      <c r="M117" s="3388" t="s">
        <v>3313</v>
      </c>
      <c r="N117" s="3377"/>
    </row>
    <row r="118" spans="1:14">
      <c r="A118" s="3389" t="s">
        <v>3314</v>
      </c>
      <c r="B118" s="3367">
        <f>ROUND(0.9968-0.011*B116,4)</f>
        <v>0.97470000000000001</v>
      </c>
      <c r="C118" s="3367">
        <f>B118</f>
        <v>0.97470000000000001</v>
      </c>
      <c r="D118" s="3367">
        <f>ROUND(0.949-0.014*B116,4)</f>
        <v>0.92090000000000005</v>
      </c>
      <c r="E118" s="3367">
        <f>D118</f>
        <v>0.92090000000000005</v>
      </c>
      <c r="F118" s="3367">
        <f>E118</f>
        <v>0.92090000000000005</v>
      </c>
      <c r="G118" s="3367">
        <f>F118</f>
        <v>0.92090000000000005</v>
      </c>
      <c r="H118" s="3367">
        <f>G118</f>
        <v>0.92090000000000005</v>
      </c>
      <c r="I118" s="3367">
        <f>ROUND(0.8486-0.018*B116,4)</f>
        <v>0.81240000000000001</v>
      </c>
      <c r="J118" s="3367">
        <f t="shared" ref="J118:M122" si="35">I118</f>
        <v>0.81240000000000001</v>
      </c>
      <c r="K118" s="3367">
        <f t="shared" si="35"/>
        <v>0.81240000000000001</v>
      </c>
      <c r="L118" s="3367">
        <f t="shared" si="35"/>
        <v>0.81240000000000001</v>
      </c>
      <c r="M118" s="3390">
        <f t="shared" si="35"/>
        <v>0.81240000000000001</v>
      </c>
      <c r="N118" s="3377"/>
    </row>
    <row r="119" spans="1:14">
      <c r="A119" s="3389" t="s">
        <v>3315</v>
      </c>
      <c r="B119" s="3367">
        <f>ROUND(0.993-0.0112*B116,4)</f>
        <v>0.97050000000000003</v>
      </c>
      <c r="C119" s="3367">
        <f>B119</f>
        <v>0.97050000000000003</v>
      </c>
      <c r="D119" s="3367">
        <f>ROUND(0.9415-0.0142*B116,4)</f>
        <v>0.91300000000000003</v>
      </c>
      <c r="E119" s="3367">
        <f t="shared" ref="E119:H120" si="36">D119</f>
        <v>0.91300000000000003</v>
      </c>
      <c r="F119" s="3367">
        <f t="shared" si="36"/>
        <v>0.91300000000000003</v>
      </c>
      <c r="G119" s="3367">
        <f t="shared" si="36"/>
        <v>0.91300000000000003</v>
      </c>
      <c r="H119" s="3367">
        <f t="shared" si="36"/>
        <v>0.91300000000000003</v>
      </c>
      <c r="I119" s="3367">
        <f>ROUND(0.838-0.0182*B116,4)</f>
        <v>0.8014</v>
      </c>
      <c r="J119" s="3367">
        <f t="shared" si="35"/>
        <v>0.8014</v>
      </c>
      <c r="K119" s="3367">
        <f t="shared" si="35"/>
        <v>0.8014</v>
      </c>
      <c r="L119" s="3367">
        <f t="shared" si="35"/>
        <v>0.8014</v>
      </c>
      <c r="M119" s="3390">
        <f t="shared" si="35"/>
        <v>0.8014</v>
      </c>
      <c r="N119" s="3377"/>
    </row>
    <row r="120" spans="1:14">
      <c r="A120" s="3389" t="s">
        <v>3316</v>
      </c>
      <c r="B120" s="3367">
        <f>ROUND(0.9448-0.0115*B116,4)</f>
        <v>0.92169999999999996</v>
      </c>
      <c r="C120" s="3367">
        <f>B120</f>
        <v>0.92169999999999996</v>
      </c>
      <c r="D120" s="3367">
        <f>ROUND(0.937-0.0145*B116,4)</f>
        <v>0.90790000000000004</v>
      </c>
      <c r="E120" s="3367">
        <f t="shared" si="36"/>
        <v>0.90790000000000004</v>
      </c>
      <c r="F120" s="3367">
        <f t="shared" si="36"/>
        <v>0.90790000000000004</v>
      </c>
      <c r="G120" s="3367">
        <f t="shared" si="36"/>
        <v>0.90790000000000004</v>
      </c>
      <c r="H120" s="3367">
        <f t="shared" si="36"/>
        <v>0.90790000000000004</v>
      </c>
      <c r="I120" s="3367">
        <f>ROUND(0.7965-0.0185*B116,4)</f>
        <v>0.75929999999999997</v>
      </c>
      <c r="J120" s="3367">
        <f t="shared" si="35"/>
        <v>0.75929999999999997</v>
      </c>
      <c r="K120" s="3367">
        <f t="shared" si="35"/>
        <v>0.75929999999999997</v>
      </c>
      <c r="L120" s="3367">
        <f t="shared" si="35"/>
        <v>0.75929999999999997</v>
      </c>
      <c r="M120" s="3390">
        <f t="shared" si="35"/>
        <v>0.75929999999999997</v>
      </c>
      <c r="N120" s="3377"/>
    </row>
    <row r="121" spans="1:14" ht="13.5" thickBot="1">
      <c r="A121" s="3391" t="s">
        <v>3317</v>
      </c>
      <c r="B121" s="3392">
        <f>ROUND(0.7836-0.012*B116,4)</f>
        <v>0.75949999999999995</v>
      </c>
      <c r="C121" s="3392">
        <f>B121</f>
        <v>0.75949999999999995</v>
      </c>
      <c r="D121" s="3392">
        <f>ROUND(0.753-0.015*B116,4)</f>
        <v>0.72289999999999999</v>
      </c>
      <c r="E121" s="3392">
        <f>D121</f>
        <v>0.72289999999999999</v>
      </c>
      <c r="F121" s="3392">
        <f>E121</f>
        <v>0.72289999999999999</v>
      </c>
      <c r="G121" s="3392">
        <f>ROUND(0.6612-0.018*B116,4)</f>
        <v>0.625</v>
      </c>
      <c r="H121" s="3392">
        <f>G121</f>
        <v>0.625</v>
      </c>
      <c r="I121" s="3392">
        <f>ROUND(0.5905-0.019*B116,4)</f>
        <v>0.55230000000000001</v>
      </c>
      <c r="J121" s="3392">
        <f t="shared" si="35"/>
        <v>0.55230000000000001</v>
      </c>
      <c r="K121" s="3392">
        <f t="shared" si="35"/>
        <v>0.55230000000000001</v>
      </c>
      <c r="L121" s="3392">
        <f t="shared" si="35"/>
        <v>0.55230000000000001</v>
      </c>
      <c r="M121" s="3393">
        <f t="shared" si="35"/>
        <v>0.55230000000000001</v>
      </c>
      <c r="N121" s="3377"/>
    </row>
    <row r="122" spans="1:14">
      <c r="A122" s="3394" t="s">
        <v>2598</v>
      </c>
      <c r="B122" s="3367">
        <f>ROUND(0.9404-0.0106*B116,4)</f>
        <v>0.91910000000000003</v>
      </c>
      <c r="C122" s="3367">
        <f>B122</f>
        <v>0.91910000000000003</v>
      </c>
      <c r="D122" s="3367">
        <f>ROUND(0.8955-0.0135*B116,4)</f>
        <v>0.86839999999999995</v>
      </c>
      <c r="E122" s="3367">
        <f t="shared" ref="E122:H122" si="37">D122</f>
        <v>0.86839999999999995</v>
      </c>
      <c r="F122" s="3367">
        <f t="shared" si="37"/>
        <v>0.86839999999999995</v>
      </c>
      <c r="G122" s="3367">
        <f t="shared" si="37"/>
        <v>0.86839999999999995</v>
      </c>
      <c r="H122" s="3367">
        <f t="shared" si="37"/>
        <v>0.86839999999999995</v>
      </c>
      <c r="I122" s="3367">
        <f>ROUND(0.7632-0.0166*B116,4)</f>
        <v>0.7298</v>
      </c>
      <c r="J122" s="3367">
        <f t="shared" si="35"/>
        <v>0.7298</v>
      </c>
      <c r="K122" s="3367">
        <f t="shared" si="35"/>
        <v>0.7298</v>
      </c>
      <c r="L122" s="3367">
        <f t="shared" si="35"/>
        <v>0.7298</v>
      </c>
      <c r="M122" s="3390">
        <f t="shared" si="35"/>
        <v>0.7298</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2580</v>
      </c>
      <c r="B1" s="3051" t="s">
        <v>2581</v>
      </c>
      <c r="C1" s="3051" t="s">
        <v>2582</v>
      </c>
      <c r="D1" s="3051" t="s">
        <v>2583</v>
      </c>
      <c r="E1" s="3051" t="s">
        <v>2584</v>
      </c>
      <c r="F1" s="3051" t="s">
        <v>2585</v>
      </c>
      <c r="G1" s="3051" t="s">
        <v>2586</v>
      </c>
      <c r="H1" s="3051" t="s">
        <v>2587</v>
      </c>
      <c r="I1" s="3051" t="s">
        <v>2588</v>
      </c>
      <c r="J1" s="3051" t="s">
        <v>2589</v>
      </c>
      <c r="K1" s="3051" t="s">
        <v>2590</v>
      </c>
      <c r="L1" s="3051" t="s">
        <v>2591</v>
      </c>
      <c r="M1" s="3052" t="s">
        <v>2592</v>
      </c>
    </row>
    <row r="2" spans="1:13" ht="19.5" customHeight="1">
      <c r="A2" s="3054" t="s">
        <v>2593</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2594</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2595</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2596</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2597</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2598</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2599</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2600</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2601</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2602</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2603</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2604</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2605</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2606</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2607</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2608</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2609</v>
      </c>
      <c r="B18" s="3076"/>
      <c r="C18" s="3077"/>
      <c r="D18" s="3077"/>
      <c r="E18" s="3076"/>
      <c r="F18" s="3077"/>
      <c r="G18" s="3077"/>
    </row>
    <row r="19" spans="1:13" ht="19.5" customHeight="1" thickBot="1">
      <c r="A19" s="3074" t="s">
        <v>2610</v>
      </c>
      <c r="B19" s="3079" t="s">
        <v>2611</v>
      </c>
      <c r="C19" s="3079" t="s">
        <v>2612</v>
      </c>
      <c r="D19" s="3080"/>
      <c r="E19" s="3074" t="s">
        <v>2613</v>
      </c>
      <c r="F19" s="3081"/>
      <c r="G19" s="3081"/>
    </row>
    <row r="20" spans="1:13" ht="19.5" customHeight="1">
      <c r="A20" s="3784" t="s">
        <v>2593</v>
      </c>
      <c r="B20" s="3777" t="s">
        <v>2614</v>
      </c>
      <c r="C20" s="3082" t="s">
        <v>2425</v>
      </c>
      <c r="D20" s="3083"/>
      <c r="E20" s="3084">
        <v>1</v>
      </c>
      <c r="F20" s="3085" t="s">
        <v>2426</v>
      </c>
      <c r="G20" s="3085"/>
    </row>
    <row r="21" spans="1:13" ht="19.5" customHeight="1">
      <c r="A21" s="3785"/>
      <c r="B21" s="3778"/>
      <c r="C21" s="3086" t="s">
        <v>2427</v>
      </c>
      <c r="D21" s="3087"/>
      <c r="E21" s="3088">
        <v>1</v>
      </c>
      <c r="F21" s="3085" t="s">
        <v>2428</v>
      </c>
      <c r="G21" s="3085"/>
    </row>
    <row r="22" spans="1:13" ht="19.5" customHeight="1">
      <c r="A22" s="3785"/>
      <c r="B22" s="3778"/>
      <c r="C22" s="3086" t="s">
        <v>2429</v>
      </c>
      <c r="D22" s="3087"/>
      <c r="E22" s="3088">
        <v>0.9</v>
      </c>
      <c r="F22" s="3085" t="s">
        <v>2430</v>
      </c>
      <c r="G22" s="3085"/>
    </row>
    <row r="23" spans="1:13" ht="19.5" customHeight="1">
      <c r="A23" s="3785"/>
      <c r="B23" s="3778"/>
      <c r="C23" s="3086" t="s">
        <v>2431</v>
      </c>
      <c r="D23" s="3087"/>
      <c r="E23" s="3088">
        <v>0.9</v>
      </c>
      <c r="F23" s="3085" t="s">
        <v>2432</v>
      </c>
      <c r="G23" s="3085"/>
    </row>
    <row r="24" spans="1:13" ht="19.5" customHeight="1">
      <c r="A24" s="3785"/>
      <c r="B24" s="3778"/>
      <c r="C24" s="3086" t="s">
        <v>2433</v>
      </c>
      <c r="D24" s="3087"/>
      <c r="E24" s="3088">
        <v>0.8</v>
      </c>
      <c r="F24" s="3085" t="s">
        <v>2434</v>
      </c>
      <c r="G24" s="3085"/>
    </row>
    <row r="25" spans="1:13" ht="19.5" customHeight="1" thickBot="1">
      <c r="A25" s="3786"/>
      <c r="B25" s="3779"/>
      <c r="C25" s="3089" t="s">
        <v>2435</v>
      </c>
      <c r="D25" s="3090"/>
      <c r="E25" s="3091">
        <v>0.8</v>
      </c>
      <c r="F25" s="3085" t="s">
        <v>2436</v>
      </c>
      <c r="G25" s="3085"/>
    </row>
    <row r="26" spans="1:13" ht="19.5" customHeight="1" thickBot="1">
      <c r="A26" s="3092" t="s">
        <v>2615</v>
      </c>
      <c r="B26" s="3093" t="s">
        <v>2614</v>
      </c>
      <c r="C26" s="3094" t="s">
        <v>2616</v>
      </c>
      <c r="D26" s="3095"/>
      <c r="E26" s="3096">
        <v>1</v>
      </c>
      <c r="F26" s="3085" t="s">
        <v>2437</v>
      </c>
      <c r="G26" s="3085"/>
    </row>
    <row r="27" spans="1:13" ht="19.5" customHeight="1">
      <c r="A27" s="3780" t="s">
        <v>2617</v>
      </c>
      <c r="B27" s="3777" t="s">
        <v>2598</v>
      </c>
      <c r="C27" s="3082" t="s">
        <v>2438</v>
      </c>
      <c r="D27" s="3083"/>
      <c r="E27" s="3084">
        <v>1</v>
      </c>
      <c r="F27" s="3085" t="s">
        <v>2439</v>
      </c>
      <c r="G27" s="3085"/>
    </row>
    <row r="28" spans="1:13" ht="19.5" customHeight="1">
      <c r="A28" s="3781"/>
      <c r="B28" s="3778"/>
      <c r="C28" s="3086" t="s">
        <v>2440</v>
      </c>
      <c r="D28" s="3087"/>
      <c r="E28" s="3088">
        <v>1</v>
      </c>
      <c r="F28" s="3085" t="s">
        <v>2441</v>
      </c>
      <c r="G28" s="3085"/>
    </row>
    <row r="29" spans="1:13" ht="19.5" customHeight="1">
      <c r="A29" s="3781"/>
      <c r="B29" s="3778"/>
      <c r="C29" s="3086" t="s">
        <v>2442</v>
      </c>
      <c r="D29" s="3087"/>
      <c r="E29" s="3088">
        <v>0.8</v>
      </c>
      <c r="F29" s="3085" t="s">
        <v>2443</v>
      </c>
      <c r="G29" s="3085"/>
    </row>
    <row r="30" spans="1:13" ht="19.5" customHeight="1">
      <c r="A30" s="3781"/>
      <c r="B30" s="3778"/>
      <c r="C30" s="3086" t="s">
        <v>2444</v>
      </c>
      <c r="D30" s="3087"/>
      <c r="E30" s="3088">
        <v>0.8</v>
      </c>
      <c r="F30" s="3085" t="s">
        <v>2445</v>
      </c>
      <c r="G30" s="3085"/>
    </row>
    <row r="31" spans="1:13" ht="19.5" customHeight="1">
      <c r="A31" s="3781"/>
      <c r="B31" s="3778"/>
      <c r="C31" s="3086" t="s">
        <v>2446</v>
      </c>
      <c r="D31" s="3087"/>
      <c r="E31" s="3088">
        <v>0.8</v>
      </c>
      <c r="F31" s="3085" t="s">
        <v>2447</v>
      </c>
      <c r="G31" s="3085"/>
    </row>
    <row r="32" spans="1:13" ht="19.5" customHeight="1">
      <c r="A32" s="3781"/>
      <c r="B32" s="3778"/>
      <c r="C32" s="3086" t="s">
        <v>2448</v>
      </c>
      <c r="D32" s="3087"/>
      <c r="E32" s="3088">
        <v>0.7</v>
      </c>
      <c r="F32" s="3085" t="s">
        <v>2449</v>
      </c>
      <c r="G32" s="3085"/>
    </row>
    <row r="33" spans="1:7" ht="19.5" customHeight="1">
      <c r="A33" s="3781"/>
      <c r="B33" s="3778"/>
      <c r="C33" s="3086" t="s">
        <v>2450</v>
      </c>
      <c r="D33" s="3087"/>
      <c r="E33" s="3088">
        <v>0.8</v>
      </c>
      <c r="F33" s="3085" t="s">
        <v>2451</v>
      </c>
      <c r="G33" s="3085"/>
    </row>
    <row r="34" spans="1:7" ht="19.5" customHeight="1">
      <c r="A34" s="3781"/>
      <c r="B34" s="3778"/>
      <c r="C34" s="3086" t="s">
        <v>2452</v>
      </c>
      <c r="D34" s="3087"/>
      <c r="E34" s="3088">
        <v>0.6</v>
      </c>
      <c r="F34" s="3085" t="s">
        <v>2453</v>
      </c>
      <c r="G34" s="3085"/>
    </row>
    <row r="35" spans="1:7" ht="19.5" customHeight="1">
      <c r="A35" s="3781"/>
      <c r="B35" s="3778"/>
      <c r="C35" s="3086" t="s">
        <v>2454</v>
      </c>
      <c r="D35" s="3087"/>
      <c r="E35" s="3088">
        <v>0.2</v>
      </c>
      <c r="F35" s="3085" t="s">
        <v>2455</v>
      </c>
      <c r="G35" s="3085"/>
    </row>
    <row r="36" spans="1:7" ht="19.5" customHeight="1">
      <c r="A36" s="3781"/>
      <c r="B36" s="3778"/>
      <c r="C36" s="3086" t="s">
        <v>2456</v>
      </c>
      <c r="D36" s="3087"/>
      <c r="E36" s="3088">
        <v>0.2</v>
      </c>
      <c r="F36" s="3085" t="s">
        <v>2457</v>
      </c>
      <c r="G36" s="3085"/>
    </row>
    <row r="37" spans="1:7" ht="19.5" customHeight="1">
      <c r="A37" s="3781"/>
      <c r="B37" s="3783" t="s">
        <v>2618</v>
      </c>
      <c r="C37" s="3086" t="s">
        <v>2458</v>
      </c>
      <c r="D37" s="3087"/>
      <c r="E37" s="3088">
        <v>0.6</v>
      </c>
      <c r="F37" s="3085" t="s">
        <v>2459</v>
      </c>
      <c r="G37" s="3085"/>
    </row>
    <row r="38" spans="1:7" ht="19.5" customHeight="1">
      <c r="A38" s="3781"/>
      <c r="B38" s="3778"/>
      <c r="C38" s="3086" t="s">
        <v>2460</v>
      </c>
      <c r="D38" s="3087"/>
      <c r="E38" s="3088">
        <v>0.6</v>
      </c>
      <c r="F38" s="3085" t="s">
        <v>2461</v>
      </c>
      <c r="G38" s="3085"/>
    </row>
    <row r="39" spans="1:7" ht="19.5" customHeight="1" thickBot="1">
      <c r="A39" s="3782"/>
      <c r="B39" s="3779"/>
      <c r="C39" s="3089" t="s">
        <v>2462</v>
      </c>
      <c r="D39" s="3090"/>
      <c r="E39" s="3091">
        <v>0.6</v>
      </c>
      <c r="F39" s="3085" t="s">
        <v>2463</v>
      </c>
      <c r="G39" s="3085"/>
    </row>
    <row r="40" spans="1:7" ht="19.5" customHeight="1" thickBot="1">
      <c r="A40" s="3092" t="s">
        <v>2595</v>
      </c>
      <c r="B40" s="3093" t="s">
        <v>2595</v>
      </c>
      <c r="C40" s="3094" t="s">
        <v>2619</v>
      </c>
      <c r="D40" s="3095"/>
      <c r="E40" s="3096">
        <v>1</v>
      </c>
      <c r="F40" s="3085" t="s">
        <v>2464</v>
      </c>
      <c r="G40" s="3085"/>
    </row>
    <row r="41" spans="1:7" ht="19.5" customHeight="1">
      <c r="A41" s="3784" t="s">
        <v>2596</v>
      </c>
      <c r="B41" s="3777" t="s">
        <v>2620</v>
      </c>
      <c r="C41" s="3082" t="s">
        <v>2465</v>
      </c>
      <c r="D41" s="3083"/>
      <c r="E41" s="3084">
        <v>1</v>
      </c>
      <c r="F41" s="3085" t="s">
        <v>2466</v>
      </c>
      <c r="G41" s="3085"/>
    </row>
    <row r="42" spans="1:7" ht="19.5" customHeight="1">
      <c r="A42" s="3785"/>
      <c r="B42" s="3778"/>
      <c r="C42" s="3086" t="s">
        <v>2467</v>
      </c>
      <c r="D42" s="3087"/>
      <c r="E42" s="3088">
        <v>1</v>
      </c>
      <c r="F42" s="3085" t="s">
        <v>2468</v>
      </c>
      <c r="G42" s="3085"/>
    </row>
    <row r="43" spans="1:7" ht="19.5" customHeight="1">
      <c r="A43" s="3785"/>
      <c r="B43" s="3787"/>
      <c r="C43" s="3086" t="s">
        <v>2469</v>
      </c>
      <c r="D43" s="3087"/>
      <c r="E43" s="3088">
        <v>1.5</v>
      </c>
      <c r="F43" s="3085" t="s">
        <v>2470</v>
      </c>
      <c r="G43" s="3085"/>
    </row>
    <row r="44" spans="1:7" ht="19.5" customHeight="1">
      <c r="A44" s="3785"/>
      <c r="B44" s="3097" t="s">
        <v>2621</v>
      </c>
      <c r="C44" s="3086" t="s">
        <v>2622</v>
      </c>
      <c r="D44" s="3087"/>
      <c r="E44" s="3088">
        <v>2</v>
      </c>
      <c r="F44" s="3085" t="s">
        <v>2471</v>
      </c>
      <c r="G44" s="3085"/>
    </row>
    <row r="45" spans="1:7" ht="19.5" customHeight="1">
      <c r="A45" s="3785"/>
      <c r="B45" s="3783" t="s">
        <v>2623</v>
      </c>
      <c r="C45" s="3086" t="s">
        <v>2472</v>
      </c>
      <c r="D45" s="3087"/>
      <c r="E45" s="3088">
        <v>1</v>
      </c>
      <c r="F45" s="3085" t="s">
        <v>2473</v>
      </c>
      <c r="G45" s="3085"/>
    </row>
    <row r="46" spans="1:7" ht="19.5" customHeight="1">
      <c r="A46" s="3785"/>
      <c r="B46" s="3778"/>
      <c r="C46" s="3086" t="s">
        <v>2474</v>
      </c>
      <c r="D46" s="3087"/>
      <c r="E46" s="3088">
        <v>1</v>
      </c>
      <c r="F46" s="3085" t="s">
        <v>2475</v>
      </c>
      <c r="G46" s="3085"/>
    </row>
    <row r="47" spans="1:7" ht="19.5" customHeight="1">
      <c r="A47" s="3785"/>
      <c r="B47" s="3778"/>
      <c r="C47" s="3086" t="s">
        <v>2476</v>
      </c>
      <c r="D47" s="3087"/>
      <c r="E47" s="3088">
        <v>1</v>
      </c>
      <c r="F47" s="3085" t="s">
        <v>2477</v>
      </c>
      <c r="G47" s="3085"/>
    </row>
    <row r="48" spans="1:7" ht="19.5" customHeight="1">
      <c r="A48" s="3785"/>
      <c r="B48" s="3778"/>
      <c r="C48" s="3086" t="s">
        <v>2478</v>
      </c>
      <c r="D48" s="3087"/>
      <c r="E48" s="3088">
        <v>1</v>
      </c>
      <c r="F48" s="3085" t="s">
        <v>2479</v>
      </c>
      <c r="G48" s="3085"/>
    </row>
    <row r="49" spans="1:7" ht="19.5" customHeight="1">
      <c r="A49" s="3785"/>
      <c r="B49" s="3778"/>
      <c r="C49" s="3086" t="s">
        <v>2480</v>
      </c>
      <c r="D49" s="3087"/>
      <c r="E49" s="3088">
        <v>1</v>
      </c>
      <c r="F49" s="3085" t="s">
        <v>2481</v>
      </c>
      <c r="G49" s="3085"/>
    </row>
    <row r="50" spans="1:7" ht="19.5" customHeight="1">
      <c r="A50" s="3785"/>
      <c r="B50" s="3778"/>
      <c r="C50" s="3086" t="s">
        <v>2482</v>
      </c>
      <c r="D50" s="3087"/>
      <c r="E50" s="3088">
        <v>1</v>
      </c>
      <c r="F50" s="3085" t="s">
        <v>2483</v>
      </c>
      <c r="G50" s="3085"/>
    </row>
    <row r="51" spans="1:7" ht="19.5" customHeight="1" thickBot="1">
      <c r="A51" s="3786"/>
      <c r="B51" s="3779"/>
      <c r="C51" s="3089" t="s">
        <v>2484</v>
      </c>
      <c r="D51" s="3090"/>
      <c r="E51" s="3091">
        <v>1</v>
      </c>
      <c r="F51" s="3085" t="s">
        <v>2485</v>
      </c>
      <c r="G51" s="3085"/>
    </row>
    <row r="52" spans="1:7" ht="19.5" customHeight="1">
      <c r="A52" s="3098"/>
      <c r="B52" s="3098"/>
      <c r="C52" s="3098"/>
      <c r="D52" s="3098"/>
      <c r="E52" s="3098"/>
      <c r="F52" s="3098"/>
      <c r="G52" s="3098"/>
    </row>
    <row r="54" spans="1:7" ht="19.5" customHeight="1">
      <c r="A54" s="3099"/>
      <c r="B54" s="3071" t="s">
        <v>2624</v>
      </c>
      <c r="C54" s="3071" t="s">
        <v>2624</v>
      </c>
      <c r="D54" s="3071" t="s">
        <v>2624</v>
      </c>
      <c r="E54" s="3074" t="s">
        <v>2624</v>
      </c>
      <c r="F54" s="3074" t="s">
        <v>2625</v>
      </c>
      <c r="G54" s="3074" t="s">
        <v>2626</v>
      </c>
    </row>
    <row r="55" spans="1:7" ht="19.5" customHeight="1">
      <c r="A55" s="3100"/>
      <c r="B55" s="3074" t="s">
        <v>2593</v>
      </c>
      <c r="C55" s="3074" t="s">
        <v>2593</v>
      </c>
      <c r="D55" s="3074" t="s">
        <v>2593</v>
      </c>
      <c r="E55" s="3071" t="s">
        <v>2594</v>
      </c>
      <c r="F55" s="3071" t="s">
        <v>2596</v>
      </c>
      <c r="G55" s="3071" t="s">
        <v>2627</v>
      </c>
    </row>
    <row r="56" spans="1:7" ht="19.5" customHeight="1">
      <c r="A56" s="3101"/>
      <c r="B56" s="3071">
        <v>1</v>
      </c>
      <c r="C56" s="3071">
        <v>2</v>
      </c>
      <c r="D56" s="3071">
        <v>3</v>
      </c>
      <c r="E56" s="3102" t="s">
        <v>2628</v>
      </c>
      <c r="F56" s="3102" t="s">
        <v>2628</v>
      </c>
      <c r="G56" s="3102" t="s">
        <v>2628</v>
      </c>
    </row>
    <row r="57" spans="1:7" ht="19.5" customHeight="1">
      <c r="A57" s="3103" t="s">
        <v>2581</v>
      </c>
      <c r="B57" s="3071">
        <v>0.7</v>
      </c>
      <c r="C57" s="3071">
        <v>0.4</v>
      </c>
      <c r="D57" s="3071">
        <v>0.3</v>
      </c>
      <c r="E57" s="3102">
        <v>0.3</v>
      </c>
      <c r="F57" s="3071">
        <v>0.3</v>
      </c>
      <c r="G57" s="3071">
        <v>0.2</v>
      </c>
    </row>
    <row r="58" spans="1:7" ht="19.5" customHeight="1">
      <c r="A58" s="3103" t="s">
        <v>2582</v>
      </c>
      <c r="B58" s="3071">
        <v>0.7</v>
      </c>
      <c r="C58" s="3071">
        <v>0.4</v>
      </c>
      <c r="D58" s="3071">
        <v>0.3</v>
      </c>
      <c r="E58" s="3071">
        <v>0.3</v>
      </c>
      <c r="F58" s="3071">
        <v>0.3</v>
      </c>
      <c r="G58" s="3071">
        <v>0.2</v>
      </c>
    </row>
    <row r="59" spans="1:7" ht="19.5" customHeight="1">
      <c r="A59" s="3103" t="s">
        <v>2583</v>
      </c>
      <c r="B59" s="3071">
        <v>0.6</v>
      </c>
      <c r="C59" s="3071">
        <v>0.3</v>
      </c>
      <c r="D59" s="3071">
        <v>0.25</v>
      </c>
      <c r="E59" s="3071">
        <v>0.25</v>
      </c>
      <c r="F59" s="3071">
        <v>0.25</v>
      </c>
      <c r="G59" s="3071">
        <v>0.15</v>
      </c>
    </row>
    <row r="60" spans="1:7" ht="19.5" customHeight="1">
      <c r="A60" s="3103" t="s">
        <v>2584</v>
      </c>
      <c r="B60" s="3071">
        <v>0.6</v>
      </c>
      <c r="C60" s="3071">
        <v>0.3</v>
      </c>
      <c r="D60" s="3071">
        <v>0.25</v>
      </c>
      <c r="E60" s="3071">
        <v>0.25</v>
      </c>
      <c r="F60" s="3071">
        <v>0.25</v>
      </c>
      <c r="G60" s="3071">
        <v>0.15</v>
      </c>
    </row>
    <row r="61" spans="1:7" ht="19.5" customHeight="1">
      <c r="A61" s="3103" t="s">
        <v>2585</v>
      </c>
      <c r="B61" s="3071">
        <v>0.6</v>
      </c>
      <c r="C61" s="3071">
        <v>0.3</v>
      </c>
      <c r="D61" s="3071">
        <v>0.25</v>
      </c>
      <c r="E61" s="3071">
        <v>0.25</v>
      </c>
      <c r="F61" s="3071">
        <v>0.25</v>
      </c>
      <c r="G61" s="3071">
        <v>0.15</v>
      </c>
    </row>
    <row r="62" spans="1:7" ht="19.5" customHeight="1">
      <c r="A62" s="3103" t="s">
        <v>2586</v>
      </c>
      <c r="B62" s="3071">
        <v>0.6</v>
      </c>
      <c r="C62" s="3071">
        <v>0.3</v>
      </c>
      <c r="D62" s="3071">
        <v>0.25</v>
      </c>
      <c r="E62" s="3071">
        <v>0.25</v>
      </c>
      <c r="F62" s="3071">
        <v>0.25</v>
      </c>
      <c r="G62" s="3071">
        <v>0.15</v>
      </c>
    </row>
    <row r="63" spans="1:7" ht="19.5" customHeight="1">
      <c r="A63" s="3103" t="s">
        <v>2587</v>
      </c>
      <c r="B63" s="3071">
        <v>0.6</v>
      </c>
      <c r="C63" s="3071">
        <v>0.3</v>
      </c>
      <c r="D63" s="3071">
        <v>0.25</v>
      </c>
      <c r="E63" s="3071">
        <v>0.25</v>
      </c>
      <c r="F63" s="3071">
        <v>0.25</v>
      </c>
      <c r="G63" s="3071">
        <v>0.15</v>
      </c>
    </row>
    <row r="64" spans="1:7" ht="19.5" customHeight="1">
      <c r="A64" s="3103" t="s">
        <v>2588</v>
      </c>
      <c r="B64" s="3071">
        <v>0.5</v>
      </c>
      <c r="C64" s="3071">
        <v>0.2</v>
      </c>
      <c r="D64" s="3071">
        <v>0.2</v>
      </c>
      <c r="E64" s="3071">
        <v>0.2</v>
      </c>
      <c r="F64" s="3071">
        <v>0.2</v>
      </c>
      <c r="G64" s="3071">
        <v>0.1</v>
      </c>
    </row>
    <row r="65" spans="1:7" ht="19.5" customHeight="1">
      <c r="A65" s="3103" t="s">
        <v>2589</v>
      </c>
      <c r="B65" s="3071">
        <v>0.5</v>
      </c>
      <c r="C65" s="3071">
        <v>0.2</v>
      </c>
      <c r="D65" s="3071">
        <v>0.2</v>
      </c>
      <c r="E65" s="3071">
        <v>0.2</v>
      </c>
      <c r="F65" s="3071">
        <v>0.2</v>
      </c>
      <c r="G65" s="3071">
        <v>0.1</v>
      </c>
    </row>
    <row r="66" spans="1:7" ht="19.5" customHeight="1">
      <c r="A66" s="3103" t="s">
        <v>2590</v>
      </c>
      <c r="B66" s="3071">
        <v>0.5</v>
      </c>
      <c r="C66" s="3071">
        <v>0.2</v>
      </c>
      <c r="D66" s="3071">
        <v>0.2</v>
      </c>
      <c r="E66" s="3071">
        <v>0.2</v>
      </c>
      <c r="F66" s="3071">
        <v>0.2</v>
      </c>
      <c r="G66" s="3071">
        <v>0.1</v>
      </c>
    </row>
    <row r="67" spans="1:7" ht="19.5" customHeight="1">
      <c r="A67" s="3103" t="s">
        <v>2591</v>
      </c>
      <c r="B67" s="3071">
        <v>0.5</v>
      </c>
      <c r="C67" s="3071">
        <v>0.2</v>
      </c>
      <c r="D67" s="3071">
        <v>0.2</v>
      </c>
      <c r="E67" s="3071">
        <v>0.2</v>
      </c>
      <c r="F67" s="3071">
        <v>0.2</v>
      </c>
      <c r="G67" s="3071">
        <v>0.1</v>
      </c>
    </row>
    <row r="68" spans="1:7" ht="19.5" customHeight="1">
      <c r="A68" s="3103" t="s">
        <v>2592</v>
      </c>
      <c r="B68" s="3071">
        <v>0.5</v>
      </c>
      <c r="C68" s="3071">
        <v>0.2</v>
      </c>
      <c r="D68" s="3071">
        <v>0.2</v>
      </c>
      <c r="E68" s="3071">
        <v>0.2</v>
      </c>
      <c r="F68" s="3071">
        <v>0.2</v>
      </c>
      <c r="G68" s="3071">
        <v>0.1</v>
      </c>
    </row>
    <row r="70" spans="1:7" ht="19.5" customHeight="1">
      <c r="A70" s="3104"/>
      <c r="B70" s="3105"/>
      <c r="C70" s="3105"/>
      <c r="D70" s="3105" t="s">
        <v>2629</v>
      </c>
      <c r="E70" s="3105"/>
      <c r="F70" s="3105"/>
    </row>
    <row r="71" spans="1:7" ht="19.5" customHeight="1">
      <c r="A71" s="3097" t="s">
        <v>2630</v>
      </c>
      <c r="B71" s="3097" t="s">
        <v>2631</v>
      </c>
      <c r="C71" s="3097" t="s">
        <v>2632</v>
      </c>
      <c r="D71" s="3097" t="s">
        <v>2633</v>
      </c>
      <c r="E71" s="3097" t="s">
        <v>2634</v>
      </c>
      <c r="F71" s="3097" t="s">
        <v>2635</v>
      </c>
    </row>
    <row r="72" spans="1:7" ht="13.5">
      <c r="A72" s="3097"/>
      <c r="B72" s="3097"/>
      <c r="C72" s="3097" t="s">
        <v>2636</v>
      </c>
      <c r="D72" s="3097"/>
      <c r="E72" s="3097" t="s">
        <v>2607</v>
      </c>
      <c r="F72" s="3097" t="s">
        <v>2607</v>
      </c>
    </row>
    <row r="73" spans="1:7" ht="13.5">
      <c r="A73" s="3097">
        <v>1</v>
      </c>
      <c r="B73" s="3783" t="s">
        <v>2637</v>
      </c>
      <c r="C73" s="3071" t="s">
        <v>2638</v>
      </c>
      <c r="D73" s="3071" t="s">
        <v>2639</v>
      </c>
      <c r="E73" s="3097">
        <v>0.2</v>
      </c>
      <c r="F73" s="3097">
        <v>25</v>
      </c>
    </row>
    <row r="74" spans="1:7" ht="24">
      <c r="A74" s="3097">
        <v>2</v>
      </c>
      <c r="B74" s="3778"/>
      <c r="C74" s="3071" t="s">
        <v>2640</v>
      </c>
      <c r="D74" s="3071" t="s">
        <v>2641</v>
      </c>
      <c r="E74" s="3097">
        <v>0.2</v>
      </c>
      <c r="F74" s="3097">
        <v>25</v>
      </c>
    </row>
    <row r="75" spans="1:7" ht="24">
      <c r="A75" s="3097">
        <v>3</v>
      </c>
      <c r="B75" s="3778"/>
      <c r="C75" s="3071" t="s">
        <v>2642</v>
      </c>
      <c r="D75" s="3071" t="s">
        <v>2643</v>
      </c>
      <c r="E75" s="3097">
        <v>0.2</v>
      </c>
      <c r="F75" s="3097">
        <v>25</v>
      </c>
    </row>
    <row r="76" spans="1:7" ht="13.5">
      <c r="A76" s="3097">
        <v>4</v>
      </c>
      <c r="B76" s="3778"/>
      <c r="C76" s="3071" t="s">
        <v>2644</v>
      </c>
      <c r="D76" s="3071" t="s">
        <v>2645</v>
      </c>
      <c r="E76" s="3097">
        <v>0.15</v>
      </c>
      <c r="F76" s="3097">
        <v>20</v>
      </c>
    </row>
    <row r="77" spans="1:7" ht="24">
      <c r="A77" s="3097">
        <v>5</v>
      </c>
      <c r="B77" s="3778"/>
      <c r="C77" s="3071" t="s">
        <v>2646</v>
      </c>
      <c r="D77" s="3071" t="s">
        <v>2647</v>
      </c>
      <c r="E77" s="3097">
        <v>0.15</v>
      </c>
      <c r="F77" s="3097">
        <v>20</v>
      </c>
    </row>
    <row r="78" spans="1:7" ht="24">
      <c r="A78" s="3097">
        <v>6</v>
      </c>
      <c r="B78" s="3778"/>
      <c r="C78" s="3071" t="s">
        <v>2648</v>
      </c>
      <c r="D78" s="3071" t="s">
        <v>2649</v>
      </c>
      <c r="E78" s="3097">
        <v>0.15</v>
      </c>
      <c r="F78" s="3097">
        <v>20</v>
      </c>
    </row>
    <row r="79" spans="1:7" ht="24">
      <c r="A79" s="3097">
        <v>7</v>
      </c>
      <c r="B79" s="3778"/>
      <c r="C79" s="3071" t="s">
        <v>2650</v>
      </c>
      <c r="D79" s="3071" t="s">
        <v>2651</v>
      </c>
      <c r="E79" s="3097">
        <v>0.15</v>
      </c>
      <c r="F79" s="3097">
        <v>20</v>
      </c>
    </row>
    <row r="80" spans="1:7" ht="24">
      <c r="A80" s="3097">
        <v>8</v>
      </c>
      <c r="B80" s="3778"/>
      <c r="C80" s="3071" t="s">
        <v>2652</v>
      </c>
      <c r="D80" s="3071" t="s">
        <v>2653</v>
      </c>
      <c r="E80" s="3097">
        <v>0.1</v>
      </c>
      <c r="F80" s="3097">
        <v>15</v>
      </c>
    </row>
    <row r="81" spans="1:6" ht="24">
      <c r="A81" s="3097">
        <v>9</v>
      </c>
      <c r="B81" s="3778"/>
      <c r="C81" s="3071" t="s">
        <v>2654</v>
      </c>
      <c r="D81" s="3071" t="s">
        <v>2655</v>
      </c>
      <c r="E81" s="3097">
        <v>0.1</v>
      </c>
      <c r="F81" s="3097">
        <v>15</v>
      </c>
    </row>
    <row r="82" spans="1:6" ht="24">
      <c r="A82" s="3097">
        <v>10</v>
      </c>
      <c r="B82" s="3778"/>
      <c r="C82" s="3071" t="s">
        <v>2656</v>
      </c>
      <c r="D82" s="3071" t="s">
        <v>2657</v>
      </c>
      <c r="E82" s="3097">
        <v>0.1</v>
      </c>
      <c r="F82" s="3097">
        <v>15</v>
      </c>
    </row>
    <row r="83" spans="1:6" ht="24">
      <c r="A83" s="3097">
        <v>11</v>
      </c>
      <c r="B83" s="3778"/>
      <c r="C83" s="3071" t="s">
        <v>2658</v>
      </c>
      <c r="D83" s="3071" t="s">
        <v>2659</v>
      </c>
      <c r="E83" s="3097">
        <v>0.1</v>
      </c>
      <c r="F83" s="3097">
        <v>15</v>
      </c>
    </row>
    <row r="84" spans="1:6" ht="24">
      <c r="A84" s="3097">
        <v>12</v>
      </c>
      <c r="B84" s="3778"/>
      <c r="C84" s="3071" t="s">
        <v>2660</v>
      </c>
      <c r="D84" s="3071" t="s">
        <v>2661</v>
      </c>
      <c r="E84" s="3097">
        <v>0.1</v>
      </c>
      <c r="F84" s="3097">
        <v>15</v>
      </c>
    </row>
    <row r="85" spans="1:6" ht="13.5">
      <c r="A85" s="3097">
        <v>13</v>
      </c>
      <c r="B85" s="3778"/>
      <c r="C85" s="3071" t="s">
        <v>2662</v>
      </c>
      <c r="D85" s="3071" t="s">
        <v>2663</v>
      </c>
      <c r="E85" s="3097">
        <v>0.1</v>
      </c>
      <c r="F85" s="3097">
        <v>15</v>
      </c>
    </row>
    <row r="86" spans="1:6" ht="13.5">
      <c r="A86" s="3097">
        <v>14</v>
      </c>
      <c r="B86" s="3778"/>
      <c r="C86" s="3071" t="s">
        <v>2664</v>
      </c>
      <c r="D86" s="3071" t="s">
        <v>2665</v>
      </c>
      <c r="E86" s="3097">
        <v>0.1</v>
      </c>
      <c r="F86" s="3097">
        <v>15</v>
      </c>
    </row>
    <row r="87" spans="1:6" ht="13.5">
      <c r="A87" s="3097">
        <v>15</v>
      </c>
      <c r="B87" s="3778"/>
      <c r="C87" s="3071" t="s">
        <v>2666</v>
      </c>
      <c r="D87" s="3071" t="s">
        <v>2667</v>
      </c>
      <c r="E87" s="3097">
        <v>0.1</v>
      </c>
      <c r="F87" s="3097">
        <v>15</v>
      </c>
    </row>
    <row r="88" spans="1:6" ht="24">
      <c r="A88" s="3097">
        <v>16</v>
      </c>
      <c r="B88" s="3778"/>
      <c r="C88" s="3071" t="s">
        <v>2668</v>
      </c>
      <c r="D88" s="3071" t="s">
        <v>2669</v>
      </c>
      <c r="E88" s="3097">
        <v>0.1</v>
      </c>
      <c r="F88" s="3097">
        <v>15</v>
      </c>
    </row>
    <row r="89" spans="1:6" ht="24">
      <c r="A89" s="3097">
        <v>17</v>
      </c>
      <c r="B89" s="3787"/>
      <c r="C89" s="3071" t="s">
        <v>2670</v>
      </c>
      <c r="D89" s="3071" t="s">
        <v>2671</v>
      </c>
      <c r="E89" s="3097">
        <v>0.1</v>
      </c>
      <c r="F89" s="3097">
        <v>15</v>
      </c>
    </row>
    <row r="90" spans="1:6" ht="13.5">
      <c r="A90" s="3097">
        <v>18</v>
      </c>
      <c r="B90" s="3783" t="s">
        <v>2672</v>
      </c>
      <c r="C90" s="3071" t="s">
        <v>2673</v>
      </c>
      <c r="D90" s="3071" t="s">
        <v>2674</v>
      </c>
      <c r="E90" s="3097">
        <v>0.2</v>
      </c>
      <c r="F90" s="3097">
        <v>25</v>
      </c>
    </row>
    <row r="91" spans="1:6" ht="24">
      <c r="A91" s="3097">
        <v>19</v>
      </c>
      <c r="B91" s="3778"/>
      <c r="C91" s="3071" t="s">
        <v>2675</v>
      </c>
      <c r="D91" s="3071" t="s">
        <v>2676</v>
      </c>
      <c r="E91" s="3097">
        <v>0.2</v>
      </c>
      <c r="F91" s="3097">
        <v>25</v>
      </c>
    </row>
    <row r="92" spans="1:6" ht="13.5">
      <c r="A92" s="3097">
        <v>20</v>
      </c>
      <c r="B92" s="3778"/>
      <c r="C92" s="3071" t="s">
        <v>2677</v>
      </c>
      <c r="D92" s="3071" t="s">
        <v>2678</v>
      </c>
      <c r="E92" s="3097">
        <v>0.15</v>
      </c>
      <c r="F92" s="3097">
        <v>20</v>
      </c>
    </row>
    <row r="93" spans="1:6" ht="13.5">
      <c r="A93" s="3097">
        <v>21</v>
      </c>
      <c r="B93" s="3778"/>
      <c r="C93" s="3071" t="s">
        <v>2679</v>
      </c>
      <c r="D93" s="3071" t="s">
        <v>2680</v>
      </c>
      <c r="E93" s="3097">
        <v>0.15</v>
      </c>
      <c r="F93" s="3097">
        <v>20</v>
      </c>
    </row>
    <row r="94" spans="1:6" ht="13.5">
      <c r="A94" s="3097">
        <v>22</v>
      </c>
      <c r="B94" s="3778"/>
      <c r="C94" s="3071" t="s">
        <v>2681</v>
      </c>
      <c r="D94" s="3071" t="s">
        <v>2682</v>
      </c>
      <c r="E94" s="3097">
        <v>0.15</v>
      </c>
      <c r="F94" s="3097">
        <v>20</v>
      </c>
    </row>
    <row r="95" spans="1:6" ht="36">
      <c r="A95" s="3097">
        <v>23</v>
      </c>
      <c r="B95" s="3778"/>
      <c r="C95" s="3071" t="s">
        <v>2683</v>
      </c>
      <c r="D95" s="3071" t="s">
        <v>2684</v>
      </c>
      <c r="E95" s="3097">
        <v>0.15</v>
      </c>
      <c r="F95" s="3097">
        <v>20</v>
      </c>
    </row>
    <row r="96" spans="1:6" ht="13.5">
      <c r="A96" s="3097">
        <v>24</v>
      </c>
      <c r="B96" s="3778"/>
      <c r="C96" s="3071" t="s">
        <v>2685</v>
      </c>
      <c r="D96" s="3071" t="s">
        <v>2686</v>
      </c>
      <c r="E96" s="3097">
        <v>0.1</v>
      </c>
      <c r="F96" s="3097">
        <v>15</v>
      </c>
    </row>
    <row r="97" spans="1:6" ht="13.5">
      <c r="A97" s="3097">
        <v>25</v>
      </c>
      <c r="B97" s="3778"/>
      <c r="C97" s="3071" t="s">
        <v>2687</v>
      </c>
      <c r="D97" s="3071" t="s">
        <v>2688</v>
      </c>
      <c r="E97" s="3097">
        <v>0.1</v>
      </c>
      <c r="F97" s="3097">
        <v>15</v>
      </c>
    </row>
    <row r="98" spans="1:6" ht="24">
      <c r="A98" s="3097">
        <v>26</v>
      </c>
      <c r="B98" s="3778"/>
      <c r="C98" s="3071" t="s">
        <v>2689</v>
      </c>
      <c r="D98" s="3071" t="s">
        <v>2690</v>
      </c>
      <c r="E98" s="3097">
        <v>0.1</v>
      </c>
      <c r="F98" s="3097">
        <v>15</v>
      </c>
    </row>
    <row r="99" spans="1:6" ht="24">
      <c r="A99" s="3097">
        <v>27</v>
      </c>
      <c r="B99" s="3778"/>
      <c r="C99" s="3071" t="s">
        <v>2691</v>
      </c>
      <c r="D99" s="3071" t="s">
        <v>2692</v>
      </c>
      <c r="E99" s="3097">
        <v>0.1</v>
      </c>
      <c r="F99" s="3097">
        <v>15</v>
      </c>
    </row>
    <row r="100" spans="1:6" ht="13.5">
      <c r="A100" s="3097">
        <v>28</v>
      </c>
      <c r="B100" s="3778"/>
      <c r="C100" s="3071" t="s">
        <v>2693</v>
      </c>
      <c r="D100" s="3071" t="s">
        <v>2694</v>
      </c>
      <c r="E100" s="3097">
        <v>0.1</v>
      </c>
      <c r="F100" s="3097">
        <v>15</v>
      </c>
    </row>
    <row r="101" spans="1:6" ht="13.5">
      <c r="A101" s="3097">
        <v>29</v>
      </c>
      <c r="B101" s="3778"/>
      <c r="C101" s="3071" t="s">
        <v>2695</v>
      </c>
      <c r="D101" s="3071" t="s">
        <v>2696</v>
      </c>
      <c r="E101" s="3097">
        <v>0.1</v>
      </c>
      <c r="F101" s="3097">
        <v>15</v>
      </c>
    </row>
    <row r="102" spans="1:6" ht="13.5">
      <c r="A102" s="3097">
        <v>30</v>
      </c>
      <c r="B102" s="3778"/>
      <c r="C102" s="3071" t="s">
        <v>2697</v>
      </c>
      <c r="D102" s="3071" t="s">
        <v>2698</v>
      </c>
      <c r="E102" s="3097">
        <v>0.1</v>
      </c>
      <c r="F102" s="3097">
        <v>15</v>
      </c>
    </row>
    <row r="103" spans="1:6" ht="24">
      <c r="A103" s="3097">
        <v>31</v>
      </c>
      <c r="B103" s="3778"/>
      <c r="C103" s="3071" t="s">
        <v>2699</v>
      </c>
      <c r="D103" s="3071" t="s">
        <v>2700</v>
      </c>
      <c r="E103" s="3097">
        <v>0.1</v>
      </c>
      <c r="F103" s="3097">
        <v>15</v>
      </c>
    </row>
    <row r="104" spans="1:6" ht="24">
      <c r="A104" s="3097">
        <v>32</v>
      </c>
      <c r="B104" s="3778"/>
      <c r="C104" s="3071" t="s">
        <v>2701</v>
      </c>
      <c r="D104" s="3071" t="s">
        <v>2702</v>
      </c>
      <c r="E104" s="3097">
        <v>0.1</v>
      </c>
      <c r="F104" s="3097">
        <v>15</v>
      </c>
    </row>
    <row r="105" spans="1:6" ht="24">
      <c r="A105" s="3097">
        <v>33</v>
      </c>
      <c r="B105" s="3778"/>
      <c r="C105" s="3071" t="s">
        <v>2703</v>
      </c>
      <c r="D105" s="3071" t="s">
        <v>2704</v>
      </c>
      <c r="E105" s="3097">
        <v>0.1</v>
      </c>
      <c r="F105" s="3097">
        <v>15</v>
      </c>
    </row>
    <row r="106" spans="1:6" ht="24">
      <c r="A106" s="3097">
        <v>34</v>
      </c>
      <c r="B106" s="3787"/>
      <c r="C106" s="3071" t="s">
        <v>2705</v>
      </c>
      <c r="D106" s="3071" t="s">
        <v>2706</v>
      </c>
      <c r="E106" s="3097">
        <v>0.1</v>
      </c>
      <c r="F106" s="3097">
        <v>15</v>
      </c>
    </row>
    <row r="107" spans="1:6" ht="24">
      <c r="A107" s="3097">
        <v>35</v>
      </c>
      <c r="B107" s="3783" t="s">
        <v>2707</v>
      </c>
      <c r="C107" s="3097" t="s">
        <v>2708</v>
      </c>
      <c r="D107" s="3071" t="s">
        <v>2709</v>
      </c>
      <c r="E107" s="3097">
        <v>0.15</v>
      </c>
      <c r="F107" s="3097">
        <v>20</v>
      </c>
    </row>
    <row r="108" spans="1:6" ht="13.5">
      <c r="A108" s="3097">
        <v>36</v>
      </c>
      <c r="B108" s="3778"/>
      <c r="C108" s="3097" t="s">
        <v>2710</v>
      </c>
      <c r="D108" s="3071" t="s">
        <v>2711</v>
      </c>
      <c r="E108" s="3097">
        <v>0.15</v>
      </c>
      <c r="F108" s="3097">
        <v>20</v>
      </c>
    </row>
    <row r="109" spans="1:6" ht="13.5">
      <c r="A109" s="3097">
        <v>37</v>
      </c>
      <c r="B109" s="3778"/>
      <c r="C109" s="3097" t="s">
        <v>2712</v>
      </c>
      <c r="D109" s="3071" t="s">
        <v>2713</v>
      </c>
      <c r="E109" s="3097">
        <v>0.15</v>
      </c>
      <c r="F109" s="3097">
        <v>20</v>
      </c>
    </row>
    <row r="110" spans="1:6" ht="13.5">
      <c r="A110" s="3097">
        <v>38</v>
      </c>
      <c r="B110" s="3778"/>
      <c r="C110" s="3097" t="s">
        <v>2714</v>
      </c>
      <c r="D110" s="3071" t="s">
        <v>2715</v>
      </c>
      <c r="E110" s="3097">
        <v>0.1</v>
      </c>
      <c r="F110" s="3097">
        <v>15</v>
      </c>
    </row>
    <row r="111" spans="1:6" ht="24">
      <c r="A111" s="3097">
        <v>39</v>
      </c>
      <c r="B111" s="3778"/>
      <c r="C111" s="3097" t="s">
        <v>2716</v>
      </c>
      <c r="D111" s="3071" t="s">
        <v>2717</v>
      </c>
      <c r="E111" s="3097">
        <v>0.1</v>
      </c>
      <c r="F111" s="3097">
        <v>15</v>
      </c>
    </row>
    <row r="112" spans="1:6" ht="24">
      <c r="A112" s="3097">
        <v>40</v>
      </c>
      <c r="B112" s="3787"/>
      <c r="C112" s="3097" t="s">
        <v>2718</v>
      </c>
      <c r="D112" s="3071" t="s">
        <v>2719</v>
      </c>
      <c r="E112" s="3097">
        <v>0.1</v>
      </c>
      <c r="F112" s="3097">
        <v>15</v>
      </c>
    </row>
    <row r="113" spans="1:6" ht="13.5">
      <c r="A113" s="3097">
        <v>41</v>
      </c>
      <c r="B113" s="3788" t="s">
        <v>2720</v>
      </c>
      <c r="C113" s="3097" t="s">
        <v>2721</v>
      </c>
      <c r="D113" s="3071" t="s">
        <v>2722</v>
      </c>
      <c r="E113" s="3097">
        <v>0.1</v>
      </c>
      <c r="F113" s="3097">
        <v>15</v>
      </c>
    </row>
    <row r="114" spans="1:6" ht="13.5">
      <c r="A114" s="3097">
        <v>42</v>
      </c>
      <c r="B114" s="3788"/>
      <c r="C114" s="3097" t="s">
        <v>2723</v>
      </c>
      <c r="D114" s="3071" t="s">
        <v>2724</v>
      </c>
      <c r="E114" s="3097">
        <v>0.1</v>
      </c>
      <c r="F114" s="3097">
        <v>15</v>
      </c>
    </row>
    <row r="115" spans="1:6" ht="24">
      <c r="A115" s="3097">
        <v>43</v>
      </c>
      <c r="B115" s="3788"/>
      <c r="C115" s="3097" t="s">
        <v>2725</v>
      </c>
      <c r="D115" s="3071" t="s">
        <v>2726</v>
      </c>
      <c r="E115" s="3097">
        <v>0.1</v>
      </c>
      <c r="F115" s="3097">
        <v>15</v>
      </c>
    </row>
    <row r="116" spans="1:6" ht="13.5">
      <c r="A116" s="3097">
        <v>44</v>
      </c>
      <c r="B116" s="3783" t="s">
        <v>2727</v>
      </c>
      <c r="C116" s="3097" t="s">
        <v>2728</v>
      </c>
      <c r="D116" s="3071" t="s">
        <v>2729</v>
      </c>
      <c r="E116" s="3097">
        <v>0.1</v>
      </c>
      <c r="F116" s="3097">
        <v>15</v>
      </c>
    </row>
    <row r="117" spans="1:6" ht="24">
      <c r="A117" s="3097">
        <v>45</v>
      </c>
      <c r="B117" s="3787"/>
      <c r="C117" s="3071" t="s">
        <v>2730</v>
      </c>
      <c r="D117" s="3071" t="s">
        <v>2731</v>
      </c>
      <c r="E117" s="3097">
        <v>0.1</v>
      </c>
      <c r="F117" s="3097">
        <v>15</v>
      </c>
    </row>
    <row r="118" spans="1:6" ht="24">
      <c r="A118" s="3097">
        <v>46</v>
      </c>
      <c r="B118" s="3783" t="s">
        <v>2732</v>
      </c>
      <c r="C118" s="3097" t="s">
        <v>2733</v>
      </c>
      <c r="D118" s="3071" t="s">
        <v>2734</v>
      </c>
      <c r="E118" s="3097">
        <v>0.1</v>
      </c>
      <c r="F118" s="3097">
        <v>15</v>
      </c>
    </row>
    <row r="119" spans="1:6" ht="24">
      <c r="A119" s="3097">
        <v>47</v>
      </c>
      <c r="B119" s="3787"/>
      <c r="C119" s="3097" t="s">
        <v>2735</v>
      </c>
      <c r="D119" s="3071" t="s">
        <v>2736</v>
      </c>
      <c r="E119" s="3097">
        <v>0.1</v>
      </c>
      <c r="F119" s="3097">
        <v>15</v>
      </c>
    </row>
    <row r="120" spans="1:6" ht="13.5">
      <c r="A120" s="3097">
        <v>48</v>
      </c>
      <c r="B120" s="3783" t="s">
        <v>2737</v>
      </c>
      <c r="C120" s="3097" t="s">
        <v>2738</v>
      </c>
      <c r="D120" s="3071" t="s">
        <v>2739</v>
      </c>
      <c r="E120" s="3097">
        <v>0.1</v>
      </c>
      <c r="F120" s="3097">
        <v>15</v>
      </c>
    </row>
    <row r="121" spans="1:6" ht="13.5">
      <c r="A121" s="3097">
        <v>49</v>
      </c>
      <c r="B121" s="3787"/>
      <c r="C121" s="3097" t="s">
        <v>2740</v>
      </c>
      <c r="D121" s="3071" t="s">
        <v>2741</v>
      </c>
      <c r="E121" s="3097">
        <v>0.1</v>
      </c>
      <c r="F121" s="3097">
        <v>15</v>
      </c>
    </row>
    <row r="122" spans="1:6" ht="24">
      <c r="A122" s="3097">
        <v>50</v>
      </c>
      <c r="B122" s="3788" t="s">
        <v>2742</v>
      </c>
      <c r="C122" s="3097" t="s">
        <v>2743</v>
      </c>
      <c r="D122" s="3071" t="s">
        <v>2744</v>
      </c>
      <c r="E122" s="3097">
        <v>0.1</v>
      </c>
      <c r="F122" s="3097">
        <v>15</v>
      </c>
    </row>
    <row r="123" spans="1:6" ht="24">
      <c r="A123" s="3097">
        <v>51</v>
      </c>
      <c r="B123" s="3788"/>
      <c r="C123" s="3097" t="s">
        <v>2745</v>
      </c>
      <c r="D123" s="3071" t="s">
        <v>2746</v>
      </c>
      <c r="E123" s="3097">
        <v>0.1</v>
      </c>
      <c r="F123" s="3097">
        <v>15</v>
      </c>
    </row>
    <row r="124" spans="1:6" ht="24">
      <c r="A124" s="3097">
        <v>52</v>
      </c>
      <c r="B124" s="3788" t="s">
        <v>2747</v>
      </c>
      <c r="C124" s="3097" t="s">
        <v>2748</v>
      </c>
      <c r="D124" s="3071" t="s">
        <v>2749</v>
      </c>
      <c r="E124" s="3097">
        <v>0.1</v>
      </c>
      <c r="F124" s="3097">
        <v>15</v>
      </c>
    </row>
    <row r="125" spans="1:6" ht="24">
      <c r="A125" s="3097">
        <v>53</v>
      </c>
      <c r="B125" s="3788"/>
      <c r="C125" s="3097" t="s">
        <v>2750</v>
      </c>
      <c r="D125" s="3071" t="s">
        <v>2751</v>
      </c>
      <c r="E125" s="3097">
        <v>0.1</v>
      </c>
      <c r="F125" s="3097">
        <v>15</v>
      </c>
    </row>
    <row r="126" spans="1:6" ht="13.5">
      <c r="A126" s="3097">
        <v>54</v>
      </c>
      <c r="B126" s="3097" t="s">
        <v>2752</v>
      </c>
      <c r="C126" s="3097" t="s">
        <v>2753</v>
      </c>
      <c r="D126" s="3071" t="s">
        <v>2754</v>
      </c>
      <c r="E126" s="3097">
        <v>0.1</v>
      </c>
      <c r="F126" s="3097">
        <v>15</v>
      </c>
    </row>
    <row r="127" spans="1:6" ht="13.5">
      <c r="A127" s="3097">
        <v>55</v>
      </c>
      <c r="B127" s="3788" t="s">
        <v>2755</v>
      </c>
      <c r="C127" s="3097" t="s">
        <v>2756</v>
      </c>
      <c r="D127" s="3071" t="s">
        <v>2757</v>
      </c>
      <c r="E127" s="3097">
        <v>0.1</v>
      </c>
      <c r="F127" s="3097">
        <v>15</v>
      </c>
    </row>
    <row r="128" spans="1:6" ht="13.5">
      <c r="A128" s="3097">
        <v>56</v>
      </c>
      <c r="B128" s="3788"/>
      <c r="C128" s="3097" t="s">
        <v>2758</v>
      </c>
      <c r="D128" s="3071" t="s">
        <v>2759</v>
      </c>
      <c r="E128" s="3097">
        <v>0.1</v>
      </c>
      <c r="F128" s="3097">
        <v>15</v>
      </c>
    </row>
    <row r="129" spans="1:6" ht="24">
      <c r="A129" s="3097">
        <v>57</v>
      </c>
      <c r="B129" s="3788"/>
      <c r="C129" s="3097" t="s">
        <v>2760</v>
      </c>
      <c r="D129" s="3071" t="s">
        <v>2761</v>
      </c>
      <c r="E129" s="3097">
        <v>0.1</v>
      </c>
      <c r="F129" s="3097">
        <v>15</v>
      </c>
    </row>
    <row r="130" spans="1:6" ht="24">
      <c r="A130" s="3097">
        <v>58</v>
      </c>
      <c r="B130" s="3788" t="s">
        <v>2762</v>
      </c>
      <c r="C130" s="3097" t="s">
        <v>2763</v>
      </c>
      <c r="D130" s="3071" t="s">
        <v>2764</v>
      </c>
      <c r="E130" s="3097">
        <v>0.1</v>
      </c>
      <c r="F130" s="3097">
        <v>15</v>
      </c>
    </row>
    <row r="131" spans="1:6" ht="13.5">
      <c r="A131" s="3097">
        <v>59</v>
      </c>
      <c r="B131" s="3788"/>
      <c r="C131" s="3097" t="s">
        <v>2765</v>
      </c>
      <c r="D131" s="3071" t="s">
        <v>2766</v>
      </c>
      <c r="E131" s="3097">
        <v>0.1</v>
      </c>
      <c r="F131" s="3097">
        <v>15</v>
      </c>
    </row>
    <row r="132" spans="1:6" ht="13.5">
      <c r="A132" s="3097">
        <v>60</v>
      </c>
      <c r="B132" s="3783" t="s">
        <v>2767</v>
      </c>
      <c r="C132" s="3097" t="s">
        <v>2768</v>
      </c>
      <c r="D132" s="3071" t="s">
        <v>2769</v>
      </c>
      <c r="E132" s="3097">
        <v>0.1</v>
      </c>
      <c r="F132" s="3097">
        <v>15</v>
      </c>
    </row>
    <row r="133" spans="1:6" ht="13.5">
      <c r="A133" s="3097">
        <v>61</v>
      </c>
      <c r="B133" s="3787"/>
      <c r="C133" s="3097" t="s">
        <v>2770</v>
      </c>
      <c r="D133" s="3071" t="s">
        <v>2771</v>
      </c>
      <c r="E133" s="3097">
        <v>0.1</v>
      </c>
      <c r="F133" s="3097">
        <v>15</v>
      </c>
    </row>
    <row r="134" spans="1:6" ht="24">
      <c r="A134" s="3097">
        <v>62</v>
      </c>
      <c r="B134" s="3097" t="s">
        <v>2772</v>
      </c>
      <c r="C134" s="3097" t="s">
        <v>2773</v>
      </c>
      <c r="D134" s="3071" t="s">
        <v>2774</v>
      </c>
      <c r="E134" s="3097">
        <v>0.1</v>
      </c>
      <c r="F134" s="3097">
        <v>15</v>
      </c>
    </row>
    <row r="135" spans="1:6" ht="13.5">
      <c r="A135" s="3097">
        <v>63</v>
      </c>
      <c r="B135" s="3788" t="s">
        <v>2775</v>
      </c>
      <c r="C135" s="3097" t="s">
        <v>2776</v>
      </c>
      <c r="D135" s="3071" t="s">
        <v>2777</v>
      </c>
      <c r="E135" s="3097">
        <v>0.1</v>
      </c>
      <c r="F135" s="3097">
        <v>15</v>
      </c>
    </row>
    <row r="136" spans="1:6" ht="13.5">
      <c r="A136" s="3097">
        <v>64</v>
      </c>
      <c r="B136" s="3788"/>
      <c r="C136" s="3097" t="s">
        <v>2778</v>
      </c>
      <c r="D136" s="3071" t="s">
        <v>2779</v>
      </c>
      <c r="E136" s="3097">
        <v>0.1</v>
      </c>
      <c r="F136" s="3097">
        <v>15</v>
      </c>
    </row>
    <row r="137" spans="1:6" ht="13.5">
      <c r="A137" s="3097">
        <v>65</v>
      </c>
      <c r="B137" s="3097" t="s">
        <v>2780</v>
      </c>
      <c r="C137" s="3097" t="s">
        <v>2781</v>
      </c>
      <c r="D137" s="3071" t="s">
        <v>2782</v>
      </c>
      <c r="E137" s="3097">
        <v>0.1</v>
      </c>
      <c r="F137" s="3097">
        <v>15</v>
      </c>
    </row>
    <row r="138" spans="1:6" ht="13.5">
      <c r="A138" s="3097"/>
      <c r="B138" s="3097"/>
      <c r="C138" s="3097"/>
      <c r="D138" s="3097"/>
      <c r="E138" s="3097" t="s">
        <v>2783</v>
      </c>
      <c r="F138" s="3097" t="s">
        <v>2783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256947</v>
      </c>
      <c r="E5" s="1491"/>
    </row>
    <row r="6" spans="1:5" ht="15.75">
      <c r="A6" s="1491"/>
      <c r="B6" s="3472"/>
      <c r="C6" s="1494" t="s">
        <v>911</v>
      </c>
      <c r="D6" s="850" t="str">
        <f ca="1">NUMBERSTRING(INT(D5*10000),2)&amp;"元整"</f>
        <v>贰拾伍亿陆仟玖佰肆拾柒万元整</v>
      </c>
      <c r="E6" s="1491"/>
    </row>
    <row r="7" spans="1:5" ht="15.75">
      <c r="A7" s="1491"/>
      <c r="B7" s="3477"/>
      <c r="C7" s="1495" t="s">
        <v>912</v>
      </c>
      <c r="D7" s="851">
        <f ca="1">结果表!H102</f>
        <v>11725</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256947</v>
      </c>
      <c r="E13" s="1491"/>
    </row>
    <row r="14" spans="1:5" ht="15.75">
      <c r="A14" s="1491"/>
      <c r="B14" s="3472"/>
      <c r="C14" s="1494" t="s">
        <v>911</v>
      </c>
      <c r="D14" s="850" t="str">
        <f ca="1">NUMBERSTRING(INT(D13*10000),2)&amp;"元整"</f>
        <v>贰拾伍亿陆仟玖佰肆拾柒万元整</v>
      </c>
      <c r="E14" s="1491"/>
    </row>
    <row r="15" spans="1:5" ht="15">
      <c r="A15" s="1491"/>
      <c r="B15" s="3477"/>
      <c r="C15" s="1495" t="s">
        <v>921</v>
      </c>
      <c r="D15" s="859">
        <f ca="1">结果表!H108</f>
        <v>11725</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97683</v>
      </c>
      <c r="E19" s="1491"/>
    </row>
    <row r="20" spans="1:5" ht="15.75">
      <c r="A20" s="1491"/>
      <c r="B20" s="3472"/>
      <c r="C20" s="1494" t="s">
        <v>923</v>
      </c>
      <c r="D20" s="850" t="str">
        <f ca="1">NUMBERSTRING(INT(D19*10000),2)&amp;"元整"</f>
        <v>玖亿柒仟陆佰捌拾叁万元整</v>
      </c>
      <c r="E20" s="1491"/>
    </row>
    <row r="21" spans="1:5" ht="15.75" thickBot="1">
      <c r="A21" s="1491"/>
      <c r="B21" s="3473"/>
      <c r="C21" s="1501" t="s">
        <v>921</v>
      </c>
      <c r="D21" s="860">
        <f ca="1">结果表!H112</f>
        <v>4458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2784</v>
      </c>
      <c r="B1" s="3106"/>
      <c r="C1" s="3106"/>
      <c r="D1" s="3106"/>
      <c r="E1" s="3106"/>
      <c r="F1" s="3106"/>
      <c r="G1" s="3106"/>
      <c r="H1" s="3106"/>
      <c r="I1" s="3106"/>
      <c r="J1" s="3106"/>
      <c r="K1" s="3106"/>
      <c r="L1" s="3106"/>
      <c r="M1" s="3106"/>
      <c r="N1" s="749"/>
    </row>
    <row r="2" spans="1:20">
      <c r="A2" s="3107" t="s">
        <v>2785</v>
      </c>
      <c r="B2" s="3108" t="s">
        <v>2581</v>
      </c>
      <c r="C2" s="3108" t="s">
        <v>2582</v>
      </c>
      <c r="D2" s="3108" t="s">
        <v>2583</v>
      </c>
      <c r="E2" s="3108" t="s">
        <v>2584</v>
      </c>
      <c r="F2" s="3108" t="s">
        <v>2585</v>
      </c>
      <c r="G2" s="3108" t="s">
        <v>2586</v>
      </c>
      <c r="H2" s="3109" t="s">
        <v>2587</v>
      </c>
      <c r="I2" s="3109" t="s">
        <v>2588</v>
      </c>
      <c r="J2" s="3110" t="s">
        <v>2589</v>
      </c>
      <c r="K2" s="3110" t="s">
        <v>2590</v>
      </c>
      <c r="L2" s="3110" t="s">
        <v>2591</v>
      </c>
      <c r="M2" s="3111" t="s">
        <v>2592</v>
      </c>
      <c r="Q2" s="3121" t="s">
        <v>2790</v>
      </c>
      <c r="R2" s="3121" t="s">
        <v>2791</v>
      </c>
      <c r="S2" s="3121" t="s">
        <v>2792</v>
      </c>
      <c r="T2" s="3121" t="s">
        <v>2793</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2786</v>
      </c>
      <c r="B93" s="3106"/>
      <c r="C93" s="3106"/>
      <c r="D93" s="3106"/>
      <c r="E93" s="3106"/>
      <c r="F93" s="3106"/>
      <c r="G93" s="3106"/>
      <c r="H93" s="3106"/>
      <c r="I93" s="3106"/>
      <c r="J93" s="3106"/>
      <c r="K93" s="3106"/>
      <c r="L93" s="3106"/>
      <c r="M93" s="3106"/>
    </row>
    <row r="94" spans="1:20">
      <c r="A94" s="3107" t="s">
        <v>2785</v>
      </c>
      <c r="B94" s="3108" t="s">
        <v>2581</v>
      </c>
      <c r="C94" s="3108" t="s">
        <v>2582</v>
      </c>
      <c r="D94" s="3108" t="s">
        <v>2583</v>
      </c>
      <c r="E94" s="3108" t="s">
        <v>2584</v>
      </c>
      <c r="F94" s="3108" t="s">
        <v>2585</v>
      </c>
      <c r="G94" s="3108" t="s">
        <v>2586</v>
      </c>
      <c r="H94" s="3109" t="s">
        <v>2587</v>
      </c>
      <c r="I94" s="3109" t="s">
        <v>2588</v>
      </c>
      <c r="J94" s="3110" t="s">
        <v>2589</v>
      </c>
      <c r="K94" s="3110" t="s">
        <v>2590</v>
      </c>
      <c r="L94" s="3110" t="s">
        <v>2591</v>
      </c>
      <c r="M94" s="3111" t="s">
        <v>2592</v>
      </c>
      <c r="N94" s="750">
        <f>SUMPRODUCT((A95:A184=ROUNDDOWN(基准地价修正!G3,1))*(B94:M94=基准地价修正!G2)*(B95:M184))</f>
        <v>1.0512999999999999</v>
      </c>
      <c r="Q94" s="3121" t="s">
        <v>2790</v>
      </c>
      <c r="R94" s="3121" t="s">
        <v>2791</v>
      </c>
      <c r="S94" s="3121" t="s">
        <v>2792</v>
      </c>
      <c r="T94" s="3121" t="s">
        <v>2793</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2787</v>
      </c>
      <c r="B185" s="3106"/>
      <c r="C185" s="3106"/>
      <c r="D185" s="3106"/>
      <c r="E185" s="3106"/>
      <c r="F185" s="3106"/>
      <c r="G185" s="3106"/>
      <c r="H185" s="3106"/>
      <c r="I185" s="3106"/>
      <c r="J185" s="3106"/>
      <c r="K185" s="3106"/>
      <c r="L185" s="3106"/>
      <c r="M185" s="3106"/>
    </row>
    <row r="186" spans="1:20">
      <c r="A186" s="3107" t="s">
        <v>2785</v>
      </c>
      <c r="B186" s="3108" t="s">
        <v>2581</v>
      </c>
      <c r="C186" s="3108" t="s">
        <v>2582</v>
      </c>
      <c r="D186" s="3108" t="s">
        <v>2583</v>
      </c>
      <c r="E186" s="3108" t="s">
        <v>2584</v>
      </c>
      <c r="F186" s="3108" t="s">
        <v>2585</v>
      </c>
      <c r="G186" s="3108" t="s">
        <v>2586</v>
      </c>
      <c r="H186" s="3109" t="s">
        <v>2587</v>
      </c>
      <c r="I186" s="3109" t="s">
        <v>2588</v>
      </c>
      <c r="J186" s="3110" t="s">
        <v>2589</v>
      </c>
      <c r="K186" s="3110" t="s">
        <v>2590</v>
      </c>
      <c r="L186" s="3110" t="s">
        <v>2591</v>
      </c>
      <c r="M186" s="3111" t="s">
        <v>2592</v>
      </c>
      <c r="Q186" s="3121" t="s">
        <v>2790</v>
      </c>
      <c r="R186" s="3121" t="s">
        <v>2791</v>
      </c>
      <c r="S186" s="3121" t="s">
        <v>2792</v>
      </c>
      <c r="T186" s="3121" t="s">
        <v>2793</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2788</v>
      </c>
      <c r="B277" s="3106"/>
      <c r="C277" s="3106"/>
      <c r="D277" s="3106"/>
      <c r="E277" s="3106"/>
      <c r="F277" s="3106"/>
      <c r="G277" s="3106"/>
      <c r="H277" s="3106"/>
      <c r="I277" s="3106"/>
      <c r="J277" s="3106"/>
      <c r="K277" s="3106"/>
      <c r="L277" s="3106"/>
      <c r="M277" s="3106"/>
    </row>
    <row r="278" spans="1:21">
      <c r="A278" s="3107" t="s">
        <v>2785</v>
      </c>
      <c r="B278" s="3108" t="s">
        <v>2581</v>
      </c>
      <c r="C278" s="3108" t="s">
        <v>2582</v>
      </c>
      <c r="D278" s="3108" t="s">
        <v>2583</v>
      </c>
      <c r="E278" s="3108" t="s">
        <v>2584</v>
      </c>
      <c r="F278" s="3108" t="s">
        <v>2585</v>
      </c>
      <c r="G278" s="3108" t="s">
        <v>2586</v>
      </c>
      <c r="H278" s="3109" t="s">
        <v>2587</v>
      </c>
      <c r="I278" s="3109" t="s">
        <v>2588</v>
      </c>
      <c r="J278" s="3110" t="s">
        <v>2589</v>
      </c>
      <c r="K278" s="3110" t="s">
        <v>2590</v>
      </c>
      <c r="L278" s="3110" t="s">
        <v>2591</v>
      </c>
      <c r="M278" s="3111" t="s">
        <v>2592</v>
      </c>
      <c r="Q278" s="3121" t="s">
        <v>2790</v>
      </c>
      <c r="R278" s="3121" t="s">
        <v>2791</v>
      </c>
      <c r="S278" s="3121" t="s">
        <v>2794</v>
      </c>
      <c r="T278" s="3121" t="s">
        <v>2795</v>
      </c>
      <c r="U278" s="3121" t="s">
        <v>2793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2789</v>
      </c>
      <c r="B369" s="3119"/>
      <c r="C369" s="3119"/>
      <c r="D369" s="3119"/>
      <c r="E369" s="3119"/>
      <c r="F369" s="3119"/>
      <c r="G369" s="3119"/>
      <c r="H369" s="3119"/>
      <c r="I369" s="3119"/>
      <c r="J369" s="3119"/>
      <c r="K369" s="3119"/>
      <c r="L369" s="3119"/>
      <c r="M369" s="3119"/>
    </row>
    <row r="370" spans="1:20">
      <c r="A370" s="3107" t="s">
        <v>2785</v>
      </c>
      <c r="B370" s="3108" t="s">
        <v>2581</v>
      </c>
      <c r="C370" s="3108" t="s">
        <v>2582</v>
      </c>
      <c r="D370" s="3108" t="s">
        <v>2583</v>
      </c>
      <c r="E370" s="3108" t="s">
        <v>2584</v>
      </c>
      <c r="F370" s="3108" t="s">
        <v>2585</v>
      </c>
      <c r="G370" s="3108" t="s">
        <v>2586</v>
      </c>
      <c r="H370" s="3109" t="s">
        <v>2587</v>
      </c>
      <c r="I370" s="3109" t="s">
        <v>2588</v>
      </c>
      <c r="J370" s="3110" t="s">
        <v>2589</v>
      </c>
      <c r="K370" s="3110" t="s">
        <v>2590</v>
      </c>
      <c r="L370" s="3110" t="s">
        <v>2591</v>
      </c>
      <c r="M370" s="3111" t="s">
        <v>2592</v>
      </c>
      <c r="N370" s="750">
        <f>SUMPRODUCT((A371:A460=ROUNDDOWN(基准地价修正!G3,1))*(B370:M370=基准地价修正!G2)*(B371:M460))</f>
        <v>1</v>
      </c>
      <c r="Q370" s="3121" t="s">
        <v>2790</v>
      </c>
      <c r="R370" s="3121" t="s">
        <v>2791</v>
      </c>
      <c r="S370" s="3121" t="s">
        <v>2792</v>
      </c>
      <c r="T370" s="3121" t="s">
        <v>2793</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160407</v>
      </c>
      <c r="C2" s="2" t="s">
        <v>106</v>
      </c>
      <c r="D2" s="199"/>
      <c r="E2" s="199"/>
      <c r="F2" s="199"/>
      <c r="G2" s="199"/>
    </row>
    <row r="3" spans="1:7" s="200" customFormat="1" ht="18" customHeight="1" thickBot="1">
      <c r="A3" s="203" t="s">
        <v>58</v>
      </c>
      <c r="B3" s="204">
        <f ca="1">ROUND(B2*10000/'数据-汇总表'!E3,0)</f>
        <v>7320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4164</v>
      </c>
      <c r="D10" s="845">
        <f>'数据-汇总表'!E6</f>
        <v>219142.06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4383</v>
      </c>
      <c r="D19" s="849">
        <f>'数据-汇总表'!E3</f>
        <v>219142.06</v>
      </c>
      <c r="E19" s="211">
        <f>'数据-取费表'!B31</f>
        <v>200</v>
      </c>
      <c r="F19" s="231"/>
      <c r="G19" s="1" t="s">
        <v>436</v>
      </c>
    </row>
    <row r="20" spans="1:7" s="214" customFormat="1" ht="13.5" customHeight="1">
      <c r="A20" s="777" t="s">
        <v>419</v>
      </c>
      <c r="B20" s="210" t="s">
        <v>77</v>
      </c>
      <c r="C20" s="232">
        <f>ROUND((C5+C19)*F20,0)</f>
        <v>500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2703</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469</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3569</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3569</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34420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109900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98614</v>
      </c>
      <c r="D34" s="217"/>
      <c r="E34" s="220"/>
      <c r="F34" s="257">
        <f>IF('数据-取费表'!B24=0,1,'数据-取费表'!N16)</f>
        <v>1</v>
      </c>
      <c r="G34" s="219" t="s">
        <v>89</v>
      </c>
    </row>
    <row r="35" spans="1:7" ht="13.5" customHeight="1">
      <c r="A35" s="780" t="s">
        <v>351</v>
      </c>
      <c r="B35" s="215" t="s">
        <v>33</v>
      </c>
      <c r="C35" s="220">
        <f>ROUND(C34*F35,0)</f>
        <v>4931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4383</v>
      </c>
      <c r="D37" s="217">
        <f>'数据-汇总表'!E3</f>
        <v>219142.06</v>
      </c>
      <c r="E37" s="249">
        <f>'数据-取费表'!B35</f>
        <v>200</v>
      </c>
      <c r="F37" s="259"/>
      <c r="G37" s="261" t="s">
        <v>92</v>
      </c>
    </row>
    <row r="38" spans="1:7" ht="13.5" customHeight="1">
      <c r="A38" s="780" t="s">
        <v>354</v>
      </c>
      <c r="B38" s="215" t="s">
        <v>36</v>
      </c>
      <c r="C38" s="220">
        <f>ROUND(C34*F38,0)</f>
        <v>1972</v>
      </c>
      <c r="D38" s="220"/>
      <c r="E38" s="220"/>
      <c r="F38" s="259">
        <f>'数据-取费表'!B36</f>
        <v>0.02</v>
      </c>
      <c r="G38" s="219" t="s">
        <v>90</v>
      </c>
    </row>
    <row r="39" spans="1:7" s="214" customFormat="1" ht="13.5" customHeight="1">
      <c r="A39" s="777" t="s">
        <v>338</v>
      </c>
      <c r="B39" s="210" t="s">
        <v>77</v>
      </c>
      <c r="C39" s="232">
        <f>ROUND(C33*F20,0)</f>
        <v>2198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5851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5736</v>
      </c>
      <c r="D42" s="238"/>
      <c r="E42" s="238"/>
      <c r="F42" s="239"/>
      <c r="G42" s="3653" t="s">
        <v>94</v>
      </c>
    </row>
    <row r="43" spans="1:7" ht="13.5" customHeight="1">
      <c r="A43" s="780" t="s">
        <v>347</v>
      </c>
      <c r="B43" s="215" t="s">
        <v>426</v>
      </c>
      <c r="C43" s="238">
        <f ca="1">ROUND(IF('数据-取费表'!B22&lt;=1,C39*F22*'数据-取费表'!B21/2,C39*(POWER((1+F22),'数据-取费表'!B21/2)-1)),0)</f>
        <v>115</v>
      </c>
      <c r="D43" s="238"/>
      <c r="E43" s="238"/>
      <c r="F43" s="239"/>
      <c r="G43" s="3654"/>
    </row>
    <row r="44" spans="1:7" ht="13.5" customHeight="1">
      <c r="A44" s="780" t="s">
        <v>348</v>
      </c>
      <c r="B44" s="215" t="s">
        <v>428</v>
      </c>
      <c r="C44" s="238">
        <f ca="1">ROUND(IF('数据-取费表'!B22&lt;=1,C40*F22*'数据-取费表'!B21/2,C40*(POWER((1+F22),'数据-取费表'!B21/2)-1)),4)</f>
        <v>1E-3</v>
      </c>
      <c r="D44" s="238"/>
      <c r="E44" s="238"/>
      <c r="F44" s="239"/>
      <c r="G44" s="3655"/>
    </row>
    <row r="45" spans="1:7" s="214" customFormat="1" ht="13.5" customHeight="1">
      <c r="A45" s="777" t="s">
        <v>341</v>
      </c>
      <c r="B45" s="244" t="s">
        <v>85</v>
      </c>
      <c r="C45" s="245">
        <f>C46</f>
        <v>15694</v>
      </c>
      <c r="D45" s="235">
        <f>C47</f>
        <v>2.8E-3</v>
      </c>
      <c r="E45" s="236" t="s">
        <v>102</v>
      </c>
      <c r="F45" s="246"/>
      <c r="G45" s="247" t="s">
        <v>434</v>
      </c>
    </row>
    <row r="46" spans="1:7" s="214" customFormat="1" ht="13.5" customHeight="1">
      <c r="A46" s="780" t="s">
        <v>349</v>
      </c>
      <c r="B46" s="248" t="s">
        <v>427</v>
      </c>
      <c r="C46" s="249">
        <f>ROUND((C33+C39)*F27,0)</f>
        <v>15694</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144813</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125987</v>
      </c>
      <c r="D51" s="232"/>
      <c r="E51" s="232"/>
      <c r="F51" s="264"/>
      <c r="G51" s="234" t="s">
        <v>37</v>
      </c>
    </row>
    <row r="52" spans="1:7" s="208" customFormat="1" ht="16.5" thickBot="1">
      <c r="A52" s="265" t="s">
        <v>38</v>
      </c>
      <c r="B52" s="266"/>
      <c r="C52" s="267">
        <f ca="1">C31+C51</f>
        <v>160407</v>
      </c>
      <c r="D52" s="266"/>
      <c r="E52" s="266"/>
      <c r="F52" s="266"/>
      <c r="G52" s="268"/>
    </row>
    <row r="55" spans="1:7" ht="15">
      <c r="B55" s="270" t="s">
        <v>39</v>
      </c>
      <c r="C55" s="271"/>
    </row>
    <row r="56" spans="1:7">
      <c r="B56" s="273" t="s">
        <v>40</v>
      </c>
      <c r="C56" s="274">
        <f ca="1">ROUND(C51/C52,3)</f>
        <v>0.78500000000000003</v>
      </c>
    </row>
    <row r="57" spans="1:7">
      <c r="B57" s="273" t="s">
        <v>41</v>
      </c>
      <c r="C57" s="275">
        <f ca="1">1-C56</f>
        <v>0.21499999999999997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91" t="s">
        <v>2825</v>
      </c>
      <c r="B1" s="3791"/>
      <c r="C1" s="3791"/>
      <c r="D1" s="3791"/>
      <c r="E1" s="3791"/>
      <c r="F1" s="3791"/>
      <c r="G1" s="3792"/>
      <c r="I1" s="3202" t="s">
        <v>2826</v>
      </c>
      <c r="J1" s="3203" t="s">
        <v>2827</v>
      </c>
      <c r="K1" s="3203" t="s">
        <v>2828</v>
      </c>
      <c r="L1" s="3203" t="s">
        <v>2829</v>
      </c>
      <c r="M1" s="3203" t="s">
        <v>2830</v>
      </c>
      <c r="N1" s="3203" t="s">
        <v>2831</v>
      </c>
      <c r="O1" s="3203" t="s">
        <v>2832</v>
      </c>
      <c r="P1" s="3203" t="s">
        <v>2833</v>
      </c>
      <c r="Q1" s="3203" t="s">
        <v>2834</v>
      </c>
      <c r="R1" s="3203" t="s">
        <v>2835</v>
      </c>
      <c r="S1" s="3203" t="s">
        <v>2836</v>
      </c>
      <c r="T1" s="3204" t="s">
        <v>2837</v>
      </c>
    </row>
    <row r="2" spans="1:20" ht="12" thickBot="1">
      <c r="A2" s="3206" t="s">
        <v>2838</v>
      </c>
      <c r="B2" s="3206"/>
      <c r="C2" s="3206"/>
      <c r="D2" s="3206"/>
      <c r="E2" s="3206"/>
      <c r="F2" s="3206"/>
      <c r="G2" s="3207" t="s">
        <v>2839</v>
      </c>
      <c r="I2" s="3208" t="s">
        <v>2840</v>
      </c>
      <c r="J2" s="3208" t="s">
        <v>2841</v>
      </c>
      <c r="K2" s="3208" t="s">
        <v>2842</v>
      </c>
      <c r="L2" s="3208" t="s">
        <v>2843</v>
      </c>
      <c r="M2" s="3208" t="s">
        <v>2844</v>
      </c>
      <c r="N2" s="3208" t="s">
        <v>2845</v>
      </c>
      <c r="O2" s="3208" t="s">
        <v>2846</v>
      </c>
      <c r="P2" s="3208" t="s">
        <v>2847</v>
      </c>
      <c r="Q2" s="3208" t="s">
        <v>2848</v>
      </c>
      <c r="R2" s="3208" t="s">
        <v>2849</v>
      </c>
      <c r="S2" s="3208" t="s">
        <v>2850</v>
      </c>
      <c r="T2" s="3208" t="s">
        <v>2851</v>
      </c>
    </row>
    <row r="3" spans="1:20" s="3214" customFormat="1">
      <c r="A3" s="3789" t="s">
        <v>2852</v>
      </c>
      <c r="B3" s="3209"/>
      <c r="C3" s="3210" t="s">
        <v>2797</v>
      </c>
      <c r="D3" s="3210" t="s">
        <v>2853</v>
      </c>
      <c r="E3" s="3210" t="s">
        <v>2799</v>
      </c>
      <c r="F3" s="3210" t="s">
        <v>2854</v>
      </c>
      <c r="G3" s="3210" t="s">
        <v>2617</v>
      </c>
      <c r="H3" s="3211"/>
      <c r="I3" s="3212" t="s">
        <v>2855</v>
      </c>
      <c r="J3" s="3213" t="s">
        <v>128</v>
      </c>
      <c r="K3" s="3213" t="s">
        <v>129</v>
      </c>
      <c r="L3" s="3212" t="s">
        <v>130</v>
      </c>
      <c r="M3" s="3212" t="s">
        <v>131</v>
      </c>
      <c r="N3" s="3212" t="s">
        <v>132</v>
      </c>
      <c r="O3" s="3212" t="s">
        <v>133</v>
      </c>
      <c r="P3" s="3212" t="s">
        <v>134</v>
      </c>
      <c r="Q3" s="3212" t="s">
        <v>135</v>
      </c>
      <c r="R3" s="3212" t="s">
        <v>136</v>
      </c>
      <c r="S3" s="3212" t="s">
        <v>2856</v>
      </c>
      <c r="T3" s="3212" t="s">
        <v>2857</v>
      </c>
    </row>
    <row r="4" spans="1:20" s="3214" customFormat="1" ht="12" thickBot="1">
      <c r="A4" s="3790"/>
      <c r="B4" s="3215" t="s">
        <v>2858</v>
      </c>
      <c r="C4" s="3215" t="s">
        <v>2859</v>
      </c>
      <c r="D4" s="3215" t="s">
        <v>2859</v>
      </c>
      <c r="E4" s="3215" t="s">
        <v>2859</v>
      </c>
      <c r="F4" s="3216" t="s">
        <v>2859</v>
      </c>
      <c r="G4" s="3216" t="s">
        <v>2859</v>
      </c>
      <c r="H4" s="3211"/>
      <c r="I4" s="3213" t="s">
        <v>137</v>
      </c>
      <c r="J4" s="3213" t="s">
        <v>111</v>
      </c>
      <c r="K4" s="3213" t="s">
        <v>138</v>
      </c>
      <c r="L4" s="3212" t="s">
        <v>139</v>
      </c>
      <c r="M4" s="3212" t="s">
        <v>140</v>
      </c>
      <c r="N4" s="3212" t="s">
        <v>141</v>
      </c>
      <c r="O4" s="3212" t="s">
        <v>142</v>
      </c>
      <c r="P4" s="3212" t="s">
        <v>143</v>
      </c>
      <c r="Q4" s="3212" t="s">
        <v>2860</v>
      </c>
      <c r="R4" s="3212" t="s">
        <v>2861</v>
      </c>
      <c r="S4" s="3212" t="s">
        <v>2862</v>
      </c>
      <c r="T4" s="3212" t="s">
        <v>2863</v>
      </c>
    </row>
    <row r="5" spans="1:20">
      <c r="A5" s="3217" t="s">
        <v>2826</v>
      </c>
      <c r="B5" s="3208" t="s">
        <v>2840</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2864</v>
      </c>
      <c r="R5" s="3212" t="s">
        <v>2865</v>
      </c>
      <c r="S5" s="3212" t="s">
        <v>153</v>
      </c>
      <c r="T5" s="3212" t="s">
        <v>2866</v>
      </c>
    </row>
    <row r="6" spans="1:20" ht="12" thickBot="1">
      <c r="A6" s="3212" t="s">
        <v>144</v>
      </c>
      <c r="B6" s="3212" t="s">
        <v>2855</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2867</v>
      </c>
      <c r="Q6" s="3212" t="s">
        <v>2868</v>
      </c>
      <c r="R6" s="3212" t="s">
        <v>161</v>
      </c>
      <c r="S6" s="3212" t="s">
        <v>2869</v>
      </c>
      <c r="T6" s="3212" t="s">
        <v>2870</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2871</v>
      </c>
      <c r="Q7" s="3212" t="s">
        <v>2872</v>
      </c>
      <c r="R7" s="3212" t="s">
        <v>2873</v>
      </c>
      <c r="S7" s="3212" t="s">
        <v>2874</v>
      </c>
      <c r="T7" s="3212" t="s">
        <v>2875</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2876</v>
      </c>
      <c r="Q8" s="3212" t="s">
        <v>174</v>
      </c>
      <c r="R8" s="3212" t="s">
        <v>2877</v>
      </c>
      <c r="S8" s="3212" t="s">
        <v>2878</v>
      </c>
      <c r="T8" s="3219" t="s">
        <v>2879</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2880</v>
      </c>
      <c r="Q9" s="3212" t="s">
        <v>182</v>
      </c>
      <c r="R9" s="3212" t="s">
        <v>183</v>
      </c>
      <c r="S9" s="3212" t="s">
        <v>200</v>
      </c>
    </row>
    <row r="10" spans="1:20">
      <c r="A10" s="3217" t="s">
        <v>184</v>
      </c>
      <c r="B10" s="3208" t="s">
        <v>2841</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2881</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2882</v>
      </c>
      <c r="P11" s="3212" t="s">
        <v>191</v>
      </c>
      <c r="Q11" s="3212" t="s">
        <v>199</v>
      </c>
      <c r="R11" s="3212" t="s">
        <v>2883</v>
      </c>
      <c r="S11" s="3212" t="s">
        <v>2884</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2885</v>
      </c>
      <c r="P12" s="3212" t="s">
        <v>2886</v>
      </c>
      <c r="Q12" s="3212" t="s">
        <v>2887</v>
      </c>
      <c r="R12" s="3212" t="s">
        <v>2888</v>
      </c>
      <c r="S12" s="3212" t="s">
        <v>2889</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2890</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2891</v>
      </c>
      <c r="K14" s="3213" t="s">
        <v>215</v>
      </c>
      <c r="L14" s="3212" t="s">
        <v>216</v>
      </c>
      <c r="M14" s="3212" t="s">
        <v>217</v>
      </c>
      <c r="N14" s="3212" t="s">
        <v>218</v>
      </c>
      <c r="O14" s="3212" t="s">
        <v>240</v>
      </c>
      <c r="P14" s="3212" t="s">
        <v>213</v>
      </c>
      <c r="Q14" s="3212" t="s">
        <v>2892</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2893</v>
      </c>
      <c r="P15" s="3212" t="s">
        <v>2894</v>
      </c>
      <c r="Q15" s="3212" t="s">
        <v>242</v>
      </c>
      <c r="R15" s="3212" t="s">
        <v>2895</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2896</v>
      </c>
      <c r="P16" s="3212" t="s">
        <v>227</v>
      </c>
      <c r="Q16" s="3212" t="s">
        <v>250</v>
      </c>
      <c r="R16" s="3212" t="s">
        <v>207</v>
      </c>
      <c r="S16" s="3212" t="s">
        <v>2897</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2898</v>
      </c>
      <c r="P17" s="3212" t="s">
        <v>2899</v>
      </c>
      <c r="Q17" s="3212" t="s">
        <v>256</v>
      </c>
      <c r="R17" s="3212" t="s">
        <v>2900</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2901</v>
      </c>
      <c r="P18" s="3212" t="s">
        <v>241</v>
      </c>
      <c r="Q18" s="3212" t="s">
        <v>2902</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2903</v>
      </c>
      <c r="P19" s="3212" t="s">
        <v>249</v>
      </c>
      <c r="Q19" s="3212" t="s">
        <v>2904</v>
      </c>
      <c r="R19" s="3212" t="s">
        <v>265</v>
      </c>
      <c r="S19" s="3212" t="s">
        <v>2905</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2906</v>
      </c>
      <c r="P20" s="3212" t="s">
        <v>2907</v>
      </c>
      <c r="Q20" s="3212" t="s">
        <v>290</v>
      </c>
      <c r="R20" s="3212" t="s">
        <v>2908</v>
      </c>
      <c r="S20" s="3212" t="s">
        <v>277</v>
      </c>
    </row>
    <row r="21" spans="1:19" ht="14.25" customHeight="1" thickBot="1">
      <c r="A21" s="3212" t="s">
        <v>184</v>
      </c>
      <c r="B21" s="3213" t="s">
        <v>208</v>
      </c>
      <c r="C21" s="3212">
        <v>32370</v>
      </c>
      <c r="D21" s="3212">
        <v>26730</v>
      </c>
      <c r="E21" s="3212">
        <v>26640</v>
      </c>
      <c r="F21" s="3212"/>
      <c r="G21" s="3212">
        <v>19440</v>
      </c>
      <c r="J21" s="3219" t="s">
        <v>2909</v>
      </c>
      <c r="K21" s="3213" t="s">
        <v>267</v>
      </c>
      <c r="L21" s="3212" t="s">
        <v>268</v>
      </c>
      <c r="M21" s="3212" t="s">
        <v>269</v>
      </c>
      <c r="N21" s="3212" t="s">
        <v>270</v>
      </c>
      <c r="O21" s="3212" t="s">
        <v>264</v>
      </c>
      <c r="P21" s="3212" t="s">
        <v>283</v>
      </c>
      <c r="Q21" s="3212" t="s">
        <v>293</v>
      </c>
      <c r="R21" s="3212" t="s">
        <v>2910</v>
      </c>
      <c r="S21" s="3219" t="s">
        <v>2911</v>
      </c>
    </row>
    <row r="22" spans="1:19" ht="14.25" customHeight="1">
      <c r="A22" s="3212" t="s">
        <v>184</v>
      </c>
      <c r="B22" s="3213" t="s">
        <v>2891</v>
      </c>
      <c r="C22" s="3212">
        <v>29830</v>
      </c>
      <c r="D22" s="3212">
        <v>27600</v>
      </c>
      <c r="E22" s="3212">
        <v>28150</v>
      </c>
      <c r="F22" s="3212"/>
      <c r="G22" s="3212">
        <v>20080</v>
      </c>
      <c r="K22" s="3213" t="s">
        <v>2912</v>
      </c>
      <c r="L22" s="3212" t="s">
        <v>272</v>
      </c>
      <c r="M22" s="3212" t="s">
        <v>273</v>
      </c>
      <c r="N22" s="3212" t="s">
        <v>274</v>
      </c>
      <c r="O22" s="3212" t="s">
        <v>2913</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2914</v>
      </c>
      <c r="L23" s="3212" t="s">
        <v>278</v>
      </c>
      <c r="M23" s="3212" t="s">
        <v>279</v>
      </c>
      <c r="N23" s="3212" t="s">
        <v>2915</v>
      </c>
      <c r="O23" s="3212" t="s">
        <v>2916</v>
      </c>
      <c r="P23" s="3212" t="s">
        <v>289</v>
      </c>
      <c r="Q23" s="3212" t="s">
        <v>298</v>
      </c>
      <c r="R23" s="3212" t="s">
        <v>2917</v>
      </c>
    </row>
    <row r="24" spans="1:19" ht="14.25" customHeight="1">
      <c r="A24" s="3212" t="s">
        <v>184</v>
      </c>
      <c r="B24" s="3213" t="s">
        <v>230</v>
      </c>
      <c r="C24" s="3212">
        <v>27930</v>
      </c>
      <c r="D24" s="3212">
        <v>32260</v>
      </c>
      <c r="E24" s="3212">
        <v>32120</v>
      </c>
      <c r="F24" s="3212"/>
      <c r="G24" s="3212">
        <v>23470</v>
      </c>
      <c r="K24" s="3213" t="s">
        <v>2918</v>
      </c>
      <c r="L24" s="3212" t="s">
        <v>281</v>
      </c>
      <c r="M24" s="3212" t="s">
        <v>282</v>
      </c>
      <c r="N24" s="3212" t="s">
        <v>2919</v>
      </c>
      <c r="O24" s="3212" t="s">
        <v>285</v>
      </c>
      <c r="P24" s="3212" t="s">
        <v>2920</v>
      </c>
      <c r="Q24" s="3221" t="s">
        <v>2921</v>
      </c>
      <c r="R24" s="3212" t="s">
        <v>2922</v>
      </c>
    </row>
    <row r="25" spans="1:19" ht="14.25" customHeight="1">
      <c r="A25" s="3212" t="s">
        <v>184</v>
      </c>
      <c r="B25" s="3213" t="s">
        <v>235</v>
      </c>
      <c r="C25" s="3212">
        <v>32230</v>
      </c>
      <c r="D25" s="3212">
        <v>29640</v>
      </c>
      <c r="E25" s="3212">
        <v>29510</v>
      </c>
      <c r="F25" s="3212"/>
      <c r="G25" s="3212">
        <v>21560</v>
      </c>
      <c r="K25" s="3213" t="s">
        <v>2923</v>
      </c>
      <c r="L25" s="3212" t="s">
        <v>2924</v>
      </c>
      <c r="M25" s="3212" t="s">
        <v>284</v>
      </c>
      <c r="N25" s="3212" t="s">
        <v>292</v>
      </c>
      <c r="O25" s="3212" t="s">
        <v>288</v>
      </c>
      <c r="P25" s="3212" t="s">
        <v>275</v>
      </c>
      <c r="Q25" s="3221" t="s">
        <v>271</v>
      </c>
      <c r="R25" s="3212" t="s">
        <v>2925</v>
      </c>
    </row>
    <row r="26" spans="1:19" ht="14.25" customHeight="1" thickBot="1">
      <c r="A26" s="3212" t="s">
        <v>184</v>
      </c>
      <c r="B26" s="3213" t="s">
        <v>244</v>
      </c>
      <c r="C26" s="3212">
        <v>31690</v>
      </c>
      <c r="D26" s="3212">
        <v>27650</v>
      </c>
      <c r="E26" s="3212">
        <v>28200</v>
      </c>
      <c r="F26" s="3212"/>
      <c r="G26" s="3212">
        <v>20110</v>
      </c>
      <c r="K26" s="3218" t="s">
        <v>2926</v>
      </c>
      <c r="L26" s="3212" t="s">
        <v>2927</v>
      </c>
      <c r="M26" s="3212" t="s">
        <v>287</v>
      </c>
      <c r="N26" s="3212" t="s">
        <v>294</v>
      </c>
      <c r="O26" s="3212" t="s">
        <v>2928</v>
      </c>
      <c r="P26" s="3212" t="s">
        <v>2929</v>
      </c>
      <c r="Q26" s="3221" t="s">
        <v>276</v>
      </c>
      <c r="R26" s="3212" t="s">
        <v>2930</v>
      </c>
    </row>
    <row r="27" spans="1:19" ht="14.25" customHeight="1">
      <c r="A27" s="3212" t="s">
        <v>184</v>
      </c>
      <c r="B27" s="3213" t="s">
        <v>251</v>
      </c>
      <c r="C27" s="3212">
        <v>29610</v>
      </c>
      <c r="D27" s="3212">
        <v>27770</v>
      </c>
      <c r="E27" s="3212">
        <v>28300</v>
      </c>
      <c r="F27" s="3212"/>
      <c r="G27" s="3212">
        <v>20210</v>
      </c>
      <c r="L27" s="3212" t="s">
        <v>2931</v>
      </c>
      <c r="M27" s="3212" t="s">
        <v>291</v>
      </c>
      <c r="N27" s="3212" t="s">
        <v>297</v>
      </c>
      <c r="O27" s="3212" t="s">
        <v>2932</v>
      </c>
      <c r="P27" s="3212" t="s">
        <v>2933</v>
      </c>
      <c r="Q27" s="3212" t="s">
        <v>2934</v>
      </c>
      <c r="R27" s="3212" t="s">
        <v>2935</v>
      </c>
    </row>
    <row r="28" spans="1:19" ht="14.25" customHeight="1">
      <c r="A28" s="3212" t="s">
        <v>184</v>
      </c>
      <c r="B28" s="3213" t="s">
        <v>259</v>
      </c>
      <c r="C28" s="3212"/>
      <c r="D28" s="3212">
        <v>31520</v>
      </c>
      <c r="E28" s="3212">
        <v>31410</v>
      </c>
      <c r="F28" s="3212"/>
      <c r="G28" s="3212">
        <v>22940</v>
      </c>
      <c r="L28" s="3212" t="s">
        <v>2936</v>
      </c>
      <c r="M28" s="3212" t="s">
        <v>2937</v>
      </c>
      <c r="N28" s="3212" t="s">
        <v>2938</v>
      </c>
      <c r="O28" s="3212" t="s">
        <v>2939</v>
      </c>
      <c r="P28" s="3212" t="s">
        <v>2940</v>
      </c>
      <c r="Q28" s="3212" t="s">
        <v>2941</v>
      </c>
      <c r="R28" s="3212" t="s">
        <v>2942</v>
      </c>
    </row>
    <row r="29" spans="1:19" ht="14.25" customHeight="1" thickBot="1">
      <c r="A29" s="3220" t="s">
        <v>184</v>
      </c>
      <c r="B29" s="3222" t="s">
        <v>2909</v>
      </c>
      <c r="C29" s="3223"/>
      <c r="D29" s="3223">
        <v>29460</v>
      </c>
      <c r="E29" s="3223">
        <v>28640</v>
      </c>
      <c r="F29" s="3223"/>
      <c r="G29" s="3223">
        <v>21430</v>
      </c>
      <c r="L29" s="3212" t="s">
        <v>2943</v>
      </c>
      <c r="M29" s="3212" t="s">
        <v>2944</v>
      </c>
      <c r="N29" s="3212" t="s">
        <v>2945</v>
      </c>
      <c r="O29" s="3212" t="s">
        <v>2946</v>
      </c>
      <c r="P29" s="3212" t="s">
        <v>2947</v>
      </c>
      <c r="Q29" s="3212" t="s">
        <v>2948</v>
      </c>
      <c r="R29" s="3212" t="s">
        <v>280</v>
      </c>
    </row>
    <row r="30" spans="1:19" ht="14.25" customHeight="1">
      <c r="A30" s="3217" t="s">
        <v>296</v>
      </c>
      <c r="B30" s="3208" t="s">
        <v>2842</v>
      </c>
      <c r="C30" s="3208">
        <v>26890</v>
      </c>
      <c r="D30" s="3208">
        <v>26770</v>
      </c>
      <c r="E30" s="3208">
        <v>25700</v>
      </c>
      <c r="F30" s="3208">
        <v>8180</v>
      </c>
      <c r="G30" s="3224">
        <v>18740</v>
      </c>
      <c r="L30" s="3212" t="s">
        <v>2949</v>
      </c>
      <c r="M30" s="3212" t="s">
        <v>2950</v>
      </c>
      <c r="N30" s="3212" t="s">
        <v>2951</v>
      </c>
      <c r="O30" s="3212" t="s">
        <v>2952</v>
      </c>
      <c r="P30" s="3212" t="s">
        <v>2953</v>
      </c>
      <c r="Q30" s="3212" t="s">
        <v>2954</v>
      </c>
      <c r="R30" s="3212" t="s">
        <v>2955</v>
      </c>
    </row>
    <row r="31" spans="1:19" ht="14.25" customHeight="1">
      <c r="A31" s="3212" t="s">
        <v>296</v>
      </c>
      <c r="B31" s="3213" t="s">
        <v>129</v>
      </c>
      <c r="C31" s="3212">
        <v>24550</v>
      </c>
      <c r="D31" s="3212">
        <v>23990</v>
      </c>
      <c r="E31" s="3212">
        <v>22930</v>
      </c>
      <c r="F31" s="3212">
        <v>7470</v>
      </c>
      <c r="G31" s="3225">
        <v>16790</v>
      </c>
      <c r="L31" s="3212" t="s">
        <v>2956</v>
      </c>
      <c r="M31" s="3212" t="s">
        <v>2957</v>
      </c>
      <c r="N31" s="3212" t="s">
        <v>2958</v>
      </c>
      <c r="O31" s="3212" t="s">
        <v>2959</v>
      </c>
      <c r="P31" s="3212" t="s">
        <v>2960</v>
      </c>
      <c r="Q31" s="3212" t="s">
        <v>2961</v>
      </c>
      <c r="R31" s="3212" t="s">
        <v>2962</v>
      </c>
    </row>
    <row r="32" spans="1:19" ht="14.25" customHeight="1" thickBot="1">
      <c r="A32" s="3212" t="s">
        <v>296</v>
      </c>
      <c r="B32" s="3213" t="s">
        <v>138</v>
      </c>
      <c r="C32" s="3212">
        <v>27210</v>
      </c>
      <c r="D32" s="3212">
        <v>23240</v>
      </c>
      <c r="E32" s="3212">
        <v>23260</v>
      </c>
      <c r="F32" s="3212">
        <v>7130</v>
      </c>
      <c r="G32" s="3225">
        <v>16270</v>
      </c>
      <c r="L32" s="3212" t="s">
        <v>2963</v>
      </c>
      <c r="M32" s="3212" t="s">
        <v>2964</v>
      </c>
      <c r="N32" s="3212" t="s">
        <v>300</v>
      </c>
      <c r="O32" s="3212" t="s">
        <v>2965</v>
      </c>
      <c r="P32" s="3212" t="s">
        <v>299</v>
      </c>
      <c r="Q32" s="3212" t="s">
        <v>2966</v>
      </c>
      <c r="R32" s="3219" t="s">
        <v>2967</v>
      </c>
    </row>
    <row r="33" spans="1:17" ht="14.25" customHeight="1" thickBot="1">
      <c r="A33" s="3212" t="s">
        <v>296</v>
      </c>
      <c r="B33" s="3213" t="s">
        <v>147</v>
      </c>
      <c r="C33" s="3212">
        <v>27300</v>
      </c>
      <c r="D33" s="3212">
        <v>22980</v>
      </c>
      <c r="E33" s="3212">
        <v>24260</v>
      </c>
      <c r="F33" s="3212">
        <v>5860</v>
      </c>
      <c r="G33" s="3225">
        <v>16090</v>
      </c>
      <c r="L33" s="3219" t="s">
        <v>2968</v>
      </c>
      <c r="M33" s="3212" t="s">
        <v>2969</v>
      </c>
      <c r="N33" s="3212" t="s">
        <v>301</v>
      </c>
      <c r="O33" s="3212" t="s">
        <v>2970</v>
      </c>
      <c r="P33" s="3212" t="s">
        <v>2971</v>
      </c>
      <c r="Q33" s="3212" t="s">
        <v>2972</v>
      </c>
    </row>
    <row r="34" spans="1:17" ht="14.25" customHeight="1">
      <c r="A34" s="3212" t="s">
        <v>296</v>
      </c>
      <c r="B34" s="3213" t="s">
        <v>156</v>
      </c>
      <c r="C34" s="3212">
        <v>23090</v>
      </c>
      <c r="D34" s="3212">
        <v>23390</v>
      </c>
      <c r="E34" s="3212">
        <v>23510</v>
      </c>
      <c r="F34" s="3212">
        <v>6700</v>
      </c>
      <c r="G34" s="3225">
        <v>16370</v>
      </c>
      <c r="M34" s="3212" t="s">
        <v>2973</v>
      </c>
      <c r="N34" s="3212" t="s">
        <v>302</v>
      </c>
      <c r="O34" s="3212" t="s">
        <v>2974</v>
      </c>
      <c r="P34" s="3212" t="s">
        <v>2975</v>
      </c>
      <c r="Q34" s="3212" t="s">
        <v>2976</v>
      </c>
    </row>
    <row r="35" spans="1:17" ht="14.25" customHeight="1">
      <c r="A35" s="3212" t="s">
        <v>296</v>
      </c>
      <c r="B35" s="3213" t="s">
        <v>163</v>
      </c>
      <c r="C35" s="3212">
        <v>27270</v>
      </c>
      <c r="D35" s="3212">
        <v>24270</v>
      </c>
      <c r="E35" s="3212">
        <v>24950</v>
      </c>
      <c r="F35" s="3212">
        <v>6600</v>
      </c>
      <c r="G35" s="3225">
        <v>16990</v>
      </c>
      <c r="M35" s="3212" t="s">
        <v>2977</v>
      </c>
      <c r="N35" s="3212" t="s">
        <v>2978</v>
      </c>
      <c r="O35" s="3212" t="s">
        <v>2979</v>
      </c>
      <c r="P35" s="3212" t="s">
        <v>2980</v>
      </c>
      <c r="Q35" s="3212" t="s">
        <v>2981</v>
      </c>
    </row>
    <row r="36" spans="1:17" ht="14.25" customHeight="1">
      <c r="A36" s="3212" t="s">
        <v>296</v>
      </c>
      <c r="B36" s="3213" t="s">
        <v>169</v>
      </c>
      <c r="C36" s="3212">
        <v>23490</v>
      </c>
      <c r="D36" s="3212">
        <v>23020</v>
      </c>
      <c r="E36" s="3212">
        <v>25230</v>
      </c>
      <c r="F36" s="3212">
        <v>6780</v>
      </c>
      <c r="G36" s="3225">
        <v>16120</v>
      </c>
      <c r="M36" s="3212" t="s">
        <v>2982</v>
      </c>
      <c r="N36" s="3212" t="s">
        <v>2983</v>
      </c>
      <c r="O36" s="3212" t="s">
        <v>2984</v>
      </c>
      <c r="P36" s="3212" t="s">
        <v>2985</v>
      </c>
      <c r="Q36" s="3212" t="s">
        <v>2986</v>
      </c>
    </row>
    <row r="37" spans="1:17" ht="14.25" customHeight="1">
      <c r="A37" s="3212" t="s">
        <v>296</v>
      </c>
      <c r="B37" s="3213" t="s">
        <v>176</v>
      </c>
      <c r="C37" s="3212">
        <v>24380</v>
      </c>
      <c r="D37" s="3212">
        <v>22240</v>
      </c>
      <c r="E37" s="3212">
        <v>25980</v>
      </c>
      <c r="F37" s="3212">
        <v>8160</v>
      </c>
      <c r="G37" s="3225">
        <v>15570</v>
      </c>
      <c r="M37" s="3212" t="s">
        <v>2987</v>
      </c>
      <c r="N37" s="3212" t="s">
        <v>2988</v>
      </c>
      <c r="O37" s="3212" t="s">
        <v>2989</v>
      </c>
      <c r="P37" s="3212" t="s">
        <v>2990</v>
      </c>
      <c r="Q37" s="3212" t="s">
        <v>2991</v>
      </c>
    </row>
    <row r="38" spans="1:17" ht="14.25" customHeight="1">
      <c r="A38" s="3212" t="s">
        <v>296</v>
      </c>
      <c r="B38" s="3213" t="s">
        <v>186</v>
      </c>
      <c r="C38" s="3212">
        <v>23120</v>
      </c>
      <c r="D38" s="3212">
        <v>24630</v>
      </c>
      <c r="E38" s="3212">
        <v>25030</v>
      </c>
      <c r="F38" s="3212">
        <v>7710</v>
      </c>
      <c r="G38" s="3225">
        <v>17240</v>
      </c>
      <c r="M38" s="3212" t="s">
        <v>2992</v>
      </c>
      <c r="N38" s="3212" t="s">
        <v>2993</v>
      </c>
      <c r="O38" s="3212" t="s">
        <v>2994</v>
      </c>
      <c r="P38" s="3212" t="s">
        <v>2995</v>
      </c>
      <c r="Q38" s="3212" t="s">
        <v>2996</v>
      </c>
    </row>
    <row r="39" spans="1:17" ht="14.25" customHeight="1">
      <c r="A39" s="3212" t="s">
        <v>296</v>
      </c>
      <c r="B39" s="3213" t="s">
        <v>195</v>
      </c>
      <c r="C39" s="3212">
        <v>22330</v>
      </c>
      <c r="D39" s="3212">
        <v>21140</v>
      </c>
      <c r="E39" s="3212">
        <v>23970</v>
      </c>
      <c r="F39" s="3212">
        <v>7940</v>
      </c>
      <c r="G39" s="3225">
        <v>14790</v>
      </c>
      <c r="M39" s="3212" t="s">
        <v>2997</v>
      </c>
      <c r="N39" s="3212" t="s">
        <v>2998</v>
      </c>
      <c r="O39" s="3212" t="s">
        <v>2999</v>
      </c>
      <c r="P39" s="3212" t="s">
        <v>3000</v>
      </c>
      <c r="Q39" s="3212" t="s">
        <v>3001</v>
      </c>
    </row>
    <row r="40" spans="1:17" ht="14.25" customHeight="1">
      <c r="A40" s="3212" t="s">
        <v>296</v>
      </c>
      <c r="B40" s="3213" t="s">
        <v>202</v>
      </c>
      <c r="C40" s="3212">
        <v>24740</v>
      </c>
      <c r="D40" s="3212">
        <v>24690</v>
      </c>
      <c r="E40" s="3212">
        <v>22610</v>
      </c>
      <c r="F40" s="3212"/>
      <c r="G40" s="3225">
        <v>17280</v>
      </c>
      <c r="M40" s="3212" t="s">
        <v>3002</v>
      </c>
      <c r="N40" s="3212" t="s">
        <v>3003</v>
      </c>
      <c r="O40" s="3212" t="s">
        <v>3004</v>
      </c>
      <c r="P40" s="3212" t="s">
        <v>3005</v>
      </c>
      <c r="Q40" s="3212" t="s">
        <v>3006</v>
      </c>
    </row>
    <row r="41" spans="1:17" ht="14.25" customHeight="1" thickBot="1">
      <c r="A41" s="3212" t="s">
        <v>296</v>
      </c>
      <c r="B41" s="3213" t="s">
        <v>209</v>
      </c>
      <c r="C41" s="3212">
        <v>21220</v>
      </c>
      <c r="D41" s="3212">
        <v>21120</v>
      </c>
      <c r="E41" s="3212">
        <v>22590</v>
      </c>
      <c r="F41" s="3212"/>
      <c r="G41" s="3225">
        <v>14780</v>
      </c>
      <c r="M41" s="3219" t="s">
        <v>3007</v>
      </c>
      <c r="N41" s="3212" t="s">
        <v>3008</v>
      </c>
      <c r="O41" s="3212" t="s">
        <v>3009</v>
      </c>
      <c r="P41" s="3212" t="s">
        <v>3010</v>
      </c>
      <c r="Q41" s="3212" t="s">
        <v>3011</v>
      </c>
    </row>
    <row r="42" spans="1:17" ht="14.25" customHeight="1">
      <c r="A42" s="3212" t="s">
        <v>296</v>
      </c>
      <c r="B42" s="3213" t="s">
        <v>215</v>
      </c>
      <c r="C42" s="3212">
        <v>24800</v>
      </c>
      <c r="D42" s="3212">
        <v>22280</v>
      </c>
      <c r="E42" s="3212">
        <v>24350</v>
      </c>
      <c r="F42" s="3212"/>
      <c r="G42" s="3225">
        <v>15590</v>
      </c>
      <c r="N42" s="3212" t="s">
        <v>3012</v>
      </c>
      <c r="O42" s="3212" t="s">
        <v>3013</v>
      </c>
      <c r="P42" s="3212" t="s">
        <v>3014</v>
      </c>
      <c r="Q42" s="3212" t="s">
        <v>3015</v>
      </c>
    </row>
    <row r="43" spans="1:17" ht="14.25" customHeight="1">
      <c r="A43" s="3212" t="s">
        <v>3016</v>
      </c>
      <c r="B43" s="3213" t="s">
        <v>223</v>
      </c>
      <c r="C43" s="3212">
        <v>21210</v>
      </c>
      <c r="D43" s="3212">
        <v>21160</v>
      </c>
      <c r="E43" s="3212">
        <v>22650</v>
      </c>
      <c r="F43" s="3212"/>
      <c r="G43" s="3225">
        <v>14800</v>
      </c>
      <c r="N43" s="3212" t="s">
        <v>3017</v>
      </c>
      <c r="O43" s="3212" t="s">
        <v>3018</v>
      </c>
      <c r="P43" s="3212" t="s">
        <v>3019</v>
      </c>
      <c r="Q43" s="3212" t="s">
        <v>3020</v>
      </c>
    </row>
    <row r="44" spans="1:17" ht="14.25" customHeight="1" thickBot="1">
      <c r="A44" s="3212" t="s">
        <v>296</v>
      </c>
      <c r="B44" s="3213" t="s">
        <v>231</v>
      </c>
      <c r="C44" s="3212">
        <v>22370</v>
      </c>
      <c r="D44" s="3212">
        <v>23140</v>
      </c>
      <c r="E44" s="3212">
        <v>25090</v>
      </c>
      <c r="F44" s="3212"/>
      <c r="G44" s="3225">
        <v>16190</v>
      </c>
      <c r="N44" s="3212" t="s">
        <v>3021</v>
      </c>
      <c r="O44" s="3212" t="s">
        <v>3022</v>
      </c>
      <c r="P44" s="3219" t="s">
        <v>3023</v>
      </c>
      <c r="Q44" s="3212" t="s">
        <v>3024</v>
      </c>
    </row>
    <row r="45" spans="1:17" ht="14.25" customHeight="1" thickBot="1">
      <c r="A45" s="3212" t="s">
        <v>296</v>
      </c>
      <c r="B45" s="3213" t="s">
        <v>236</v>
      </c>
      <c r="C45" s="3212">
        <v>21240</v>
      </c>
      <c r="D45" s="3212">
        <v>27050</v>
      </c>
      <c r="E45" s="3212">
        <v>28000</v>
      </c>
      <c r="F45" s="3212"/>
      <c r="G45" s="3225">
        <v>18940</v>
      </c>
      <c r="N45" s="3212" t="s">
        <v>3025</v>
      </c>
      <c r="O45" s="3219" t="s">
        <v>3026</v>
      </c>
      <c r="Q45" s="3212" t="s">
        <v>3027</v>
      </c>
    </row>
    <row r="46" spans="1:17" ht="14.25" customHeight="1">
      <c r="A46" s="3212" t="s">
        <v>296</v>
      </c>
      <c r="B46" s="3213" t="s">
        <v>245</v>
      </c>
      <c r="C46" s="3212">
        <v>23240</v>
      </c>
      <c r="D46" s="3212">
        <v>23000</v>
      </c>
      <c r="E46" s="3212">
        <v>24980</v>
      </c>
      <c r="F46" s="3212"/>
      <c r="G46" s="3225">
        <v>16100</v>
      </c>
      <c r="N46" s="3212" t="s">
        <v>3028</v>
      </c>
      <c r="Q46" s="3212" t="s">
        <v>3029</v>
      </c>
    </row>
    <row r="47" spans="1:17" ht="14.25" customHeight="1">
      <c r="A47" s="3212" t="s">
        <v>296</v>
      </c>
      <c r="B47" s="3213" t="s">
        <v>252</v>
      </c>
      <c r="C47" s="3212">
        <v>27150</v>
      </c>
      <c r="D47" s="3212">
        <v>23310</v>
      </c>
      <c r="E47" s="3212">
        <v>25150</v>
      </c>
      <c r="F47" s="3212"/>
      <c r="G47" s="3225">
        <v>16310</v>
      </c>
      <c r="N47" s="3212" t="s">
        <v>3030</v>
      </c>
      <c r="Q47" s="3212" t="s">
        <v>3031</v>
      </c>
    </row>
    <row r="48" spans="1:17" ht="14.25" customHeight="1">
      <c r="A48" s="3212" t="s">
        <v>296</v>
      </c>
      <c r="B48" s="3213" t="s">
        <v>260</v>
      </c>
      <c r="C48" s="3212">
        <v>23100</v>
      </c>
      <c r="D48" s="3212">
        <v>21110</v>
      </c>
      <c r="E48" s="3212">
        <v>23080</v>
      </c>
      <c r="F48" s="3212"/>
      <c r="G48" s="3225">
        <v>14780</v>
      </c>
      <c r="N48" s="3212" t="s">
        <v>3032</v>
      </c>
      <c r="Q48" s="3212" t="s">
        <v>3033</v>
      </c>
    </row>
    <row r="49" spans="1:17" ht="14.25" customHeight="1">
      <c r="A49" s="3212" t="s">
        <v>296</v>
      </c>
      <c r="B49" s="3213" t="s">
        <v>267</v>
      </c>
      <c r="C49" s="3212">
        <v>23400</v>
      </c>
      <c r="D49" s="3212">
        <v>22920</v>
      </c>
      <c r="E49" s="3212">
        <v>24900</v>
      </c>
      <c r="F49" s="3212"/>
      <c r="G49" s="3225">
        <v>16040</v>
      </c>
      <c r="N49" s="3212" t="s">
        <v>3034</v>
      </c>
      <c r="Q49" s="3212" t="s">
        <v>3035</v>
      </c>
    </row>
    <row r="50" spans="1:17" ht="14.25" customHeight="1">
      <c r="A50" s="3212" t="s">
        <v>296</v>
      </c>
      <c r="B50" s="3213" t="s">
        <v>2912</v>
      </c>
      <c r="C50" s="3212">
        <v>21200</v>
      </c>
      <c r="D50" s="3212">
        <v>26540</v>
      </c>
      <c r="E50" s="3212">
        <v>23200</v>
      </c>
      <c r="F50" s="3212"/>
      <c r="G50" s="3225">
        <v>18580</v>
      </c>
      <c r="N50" s="3212" t="s">
        <v>3036</v>
      </c>
      <c r="Q50" s="3213" t="s">
        <v>3037</v>
      </c>
    </row>
    <row r="51" spans="1:17" ht="14.25" customHeight="1" thickBot="1">
      <c r="A51" s="3212" t="s">
        <v>296</v>
      </c>
      <c r="B51" s="3213" t="s">
        <v>2914</v>
      </c>
      <c r="C51" s="3212">
        <v>23000</v>
      </c>
      <c r="D51" s="3212">
        <v>23460</v>
      </c>
      <c r="E51" s="3212">
        <v>25290</v>
      </c>
      <c r="F51" s="3212"/>
      <c r="G51" s="3225">
        <v>16420</v>
      </c>
      <c r="N51" s="3212" t="s">
        <v>3038</v>
      </c>
      <c r="Q51" s="3219" t="s">
        <v>3039</v>
      </c>
    </row>
    <row r="52" spans="1:17" ht="14.25" customHeight="1">
      <c r="A52" s="3212" t="s">
        <v>296</v>
      </c>
      <c r="B52" s="3213" t="s">
        <v>2918</v>
      </c>
      <c r="C52" s="3212">
        <v>26660</v>
      </c>
      <c r="D52" s="3212">
        <v>22350</v>
      </c>
      <c r="E52" s="3212">
        <v>22920</v>
      </c>
      <c r="F52" s="3212"/>
      <c r="G52" s="3225">
        <v>15640</v>
      </c>
      <c r="N52" s="3212" t="s">
        <v>3040</v>
      </c>
    </row>
    <row r="53" spans="1:17" ht="14.25" customHeight="1">
      <c r="A53" s="3212" t="s">
        <v>296</v>
      </c>
      <c r="B53" s="3213" t="s">
        <v>2923</v>
      </c>
      <c r="C53" s="3212">
        <v>23580</v>
      </c>
      <c r="D53" s="3212"/>
      <c r="E53" s="3212">
        <v>24280</v>
      </c>
      <c r="F53" s="3212"/>
      <c r="G53" s="3225"/>
      <c r="N53" s="3212" t="s">
        <v>3041</v>
      </c>
    </row>
    <row r="54" spans="1:17" ht="14.25" customHeight="1" thickBot="1">
      <c r="A54" s="3226" t="s">
        <v>296</v>
      </c>
      <c r="B54" s="3218" t="s">
        <v>2926</v>
      </c>
      <c r="C54" s="3219">
        <v>22460</v>
      </c>
      <c r="D54" s="3219"/>
      <c r="E54" s="3219"/>
      <c r="F54" s="3219"/>
      <c r="G54" s="3227"/>
      <c r="N54" s="3212" t="s">
        <v>3042</v>
      </c>
    </row>
    <row r="55" spans="1:17" ht="14.25" customHeight="1">
      <c r="A55" s="3217" t="s">
        <v>110</v>
      </c>
      <c r="B55" s="3208" t="s">
        <v>3043</v>
      </c>
      <c r="C55" s="3212">
        <v>21970</v>
      </c>
      <c r="D55" s="3212">
        <v>20370</v>
      </c>
      <c r="E55" s="3212">
        <v>20180</v>
      </c>
      <c r="F55" s="3212">
        <v>5730</v>
      </c>
      <c r="G55" s="3212">
        <v>13820</v>
      </c>
      <c r="N55" s="3212" t="s">
        <v>3044</v>
      </c>
    </row>
    <row r="56" spans="1:17" ht="14.25" customHeight="1">
      <c r="A56" s="3212" t="s">
        <v>110</v>
      </c>
      <c r="B56" s="3212" t="s">
        <v>130</v>
      </c>
      <c r="C56" s="3212">
        <v>20470</v>
      </c>
      <c r="D56" s="3212">
        <v>20700</v>
      </c>
      <c r="E56" s="3212">
        <v>20380</v>
      </c>
      <c r="F56" s="3212">
        <v>4760</v>
      </c>
      <c r="G56" s="3212">
        <v>14050</v>
      </c>
      <c r="N56" s="3212" t="s">
        <v>3045</v>
      </c>
    </row>
    <row r="57" spans="1:17" ht="14.25" customHeight="1">
      <c r="A57" s="3212" t="s">
        <v>110</v>
      </c>
      <c r="B57" s="3212" t="s">
        <v>139</v>
      </c>
      <c r="C57" s="3212">
        <v>20790</v>
      </c>
      <c r="D57" s="3212">
        <v>21370</v>
      </c>
      <c r="E57" s="3212">
        <v>20890</v>
      </c>
      <c r="F57" s="3212">
        <v>4910</v>
      </c>
      <c r="G57" s="3212">
        <v>14510</v>
      </c>
      <c r="N57" s="3212" t="s">
        <v>3046</v>
      </c>
    </row>
    <row r="58" spans="1:17" ht="14.25" customHeight="1">
      <c r="A58" s="3212" t="s">
        <v>110</v>
      </c>
      <c r="B58" s="3212" t="s">
        <v>148</v>
      </c>
      <c r="C58" s="3212">
        <v>21460</v>
      </c>
      <c r="D58" s="3212">
        <v>20920</v>
      </c>
      <c r="E58" s="3212">
        <v>23410</v>
      </c>
      <c r="F58" s="3212">
        <v>5100</v>
      </c>
      <c r="G58" s="3212">
        <v>14200</v>
      </c>
      <c r="N58" s="3212" t="s">
        <v>3047</v>
      </c>
    </row>
    <row r="59" spans="1:17" ht="14.25" customHeight="1">
      <c r="A59" s="3212" t="s">
        <v>110</v>
      </c>
      <c r="B59" s="3212" t="s">
        <v>157</v>
      </c>
      <c r="C59" s="3212">
        <v>21000</v>
      </c>
      <c r="D59" s="3212">
        <v>21550</v>
      </c>
      <c r="E59" s="3212">
        <v>21150</v>
      </c>
      <c r="F59" s="3212">
        <v>5250</v>
      </c>
      <c r="G59" s="3212">
        <v>14630</v>
      </c>
      <c r="N59" s="3212" t="s">
        <v>3048</v>
      </c>
    </row>
    <row r="60" spans="1:17" ht="14.25" customHeight="1">
      <c r="A60" s="3212" t="s">
        <v>110</v>
      </c>
      <c r="B60" s="3212" t="s">
        <v>164</v>
      </c>
      <c r="C60" s="3212">
        <v>21640</v>
      </c>
      <c r="D60" s="3212">
        <v>21260</v>
      </c>
      <c r="E60" s="3212">
        <v>24040</v>
      </c>
      <c r="F60" s="3212">
        <v>4470</v>
      </c>
      <c r="G60" s="3212">
        <v>14430</v>
      </c>
      <c r="N60" s="3212" t="s">
        <v>3049</v>
      </c>
    </row>
    <row r="61" spans="1:17" ht="14.25" customHeight="1">
      <c r="A61" s="3212" t="s">
        <v>110</v>
      </c>
      <c r="B61" s="3212" t="s">
        <v>170</v>
      </c>
      <c r="C61" s="3212">
        <v>21330</v>
      </c>
      <c r="D61" s="3212">
        <v>18640</v>
      </c>
      <c r="E61" s="3212">
        <v>21190</v>
      </c>
      <c r="F61" s="3212">
        <v>4180</v>
      </c>
      <c r="G61" s="3212">
        <v>12650</v>
      </c>
      <c r="N61" s="3212" t="s">
        <v>3050</v>
      </c>
    </row>
    <row r="62" spans="1:17" ht="14.25" customHeight="1">
      <c r="A62" s="3212" t="s">
        <v>110</v>
      </c>
      <c r="B62" s="3212" t="s">
        <v>177</v>
      </c>
      <c r="C62" s="3212">
        <v>18710</v>
      </c>
      <c r="D62" s="3212">
        <v>19400</v>
      </c>
      <c r="E62" s="3212">
        <v>23750</v>
      </c>
      <c r="F62" s="3212">
        <v>4860</v>
      </c>
      <c r="G62" s="3212">
        <v>13170</v>
      </c>
      <c r="N62" s="3212" t="s">
        <v>3051</v>
      </c>
    </row>
    <row r="63" spans="1:17" ht="14.25" customHeight="1">
      <c r="A63" s="3212" t="s">
        <v>110</v>
      </c>
      <c r="B63" s="3212" t="s">
        <v>187</v>
      </c>
      <c r="C63" s="3212">
        <v>19480</v>
      </c>
      <c r="D63" s="3212">
        <v>16830</v>
      </c>
      <c r="E63" s="3212">
        <v>21590</v>
      </c>
      <c r="F63" s="3212">
        <v>4560</v>
      </c>
      <c r="G63" s="3212">
        <v>11420</v>
      </c>
      <c r="N63" s="3212" t="s">
        <v>3052</v>
      </c>
    </row>
    <row r="64" spans="1:17" ht="14.25" customHeight="1" thickBot="1">
      <c r="A64" s="3212" t="s">
        <v>110</v>
      </c>
      <c r="B64" s="3212" t="s">
        <v>196</v>
      </c>
      <c r="C64" s="3212">
        <v>16920</v>
      </c>
      <c r="D64" s="3212">
        <v>19190</v>
      </c>
      <c r="E64" s="3212">
        <v>22200</v>
      </c>
      <c r="F64" s="3212">
        <v>4390</v>
      </c>
      <c r="G64" s="3212">
        <v>13030</v>
      </c>
      <c r="N64" s="3219" t="s">
        <v>3053</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2924</v>
      </c>
      <c r="C78" s="3212">
        <v>19820</v>
      </c>
      <c r="D78" s="3212">
        <v>19780</v>
      </c>
      <c r="E78" s="3212">
        <v>18560</v>
      </c>
      <c r="F78" s="3212"/>
      <c r="G78" s="3212">
        <v>13430</v>
      </c>
    </row>
    <row r="79" spans="1:7" s="3201" customFormat="1" ht="14.25" customHeight="1">
      <c r="A79" s="3212" t="s">
        <v>110</v>
      </c>
      <c r="B79" s="3212" t="s">
        <v>2927</v>
      </c>
      <c r="C79" s="3212">
        <v>21660</v>
      </c>
      <c r="D79" s="3212">
        <v>18000</v>
      </c>
      <c r="E79" s="3212">
        <v>22570</v>
      </c>
      <c r="F79" s="3212"/>
      <c r="G79" s="3212">
        <v>12220</v>
      </c>
    </row>
    <row r="80" spans="1:7" s="3201" customFormat="1" ht="14.25" customHeight="1">
      <c r="A80" s="3212" t="s">
        <v>110</v>
      </c>
      <c r="B80" s="3212" t="s">
        <v>2931</v>
      </c>
      <c r="C80" s="3212">
        <v>19850</v>
      </c>
      <c r="D80" s="3212"/>
      <c r="E80" s="3212">
        <v>21700</v>
      </c>
      <c r="F80" s="3212"/>
      <c r="G80" s="3212"/>
    </row>
    <row r="81" spans="1:7" s="3201" customFormat="1" ht="14.25" customHeight="1">
      <c r="A81" s="3212" t="s">
        <v>110</v>
      </c>
      <c r="B81" s="3212" t="s">
        <v>2936</v>
      </c>
      <c r="C81" s="3212">
        <v>18080</v>
      </c>
      <c r="D81" s="3212"/>
      <c r="E81" s="3212">
        <v>20900</v>
      </c>
      <c r="F81" s="3212"/>
      <c r="G81" s="3212"/>
    </row>
    <row r="82" spans="1:7" s="3201" customFormat="1" ht="14.25" customHeight="1">
      <c r="A82" s="3212" t="s">
        <v>110</v>
      </c>
      <c r="B82" s="3212" t="s">
        <v>2943</v>
      </c>
      <c r="C82" s="3212"/>
      <c r="D82" s="3212"/>
      <c r="E82" s="3212">
        <v>20840</v>
      </c>
      <c r="F82" s="3212"/>
      <c r="G82" s="3212"/>
    </row>
    <row r="83" spans="1:7" s="3201" customFormat="1" ht="14.25" customHeight="1">
      <c r="A83" s="3212" t="s">
        <v>110</v>
      </c>
      <c r="B83" s="3212" t="s">
        <v>3054</v>
      </c>
      <c r="C83" s="3212"/>
      <c r="D83" s="3212"/>
      <c r="E83" s="3212"/>
      <c r="F83" s="3212">
        <v>4770</v>
      </c>
      <c r="G83" s="3212"/>
    </row>
    <row r="84" spans="1:7" s="3201" customFormat="1" ht="14.25" customHeight="1">
      <c r="A84" s="3212" t="s">
        <v>110</v>
      </c>
      <c r="B84" s="3212" t="s">
        <v>3055</v>
      </c>
      <c r="C84" s="3212"/>
      <c r="D84" s="3212"/>
      <c r="E84" s="3212"/>
      <c r="F84" s="3212">
        <v>4600</v>
      </c>
      <c r="G84" s="3212"/>
    </row>
    <row r="85" spans="1:7" s="3201" customFormat="1" ht="14.25" customHeight="1">
      <c r="A85" s="3212" t="s">
        <v>110</v>
      </c>
      <c r="B85" s="3212" t="s">
        <v>3056</v>
      </c>
      <c r="C85" s="3212"/>
      <c r="D85" s="3212"/>
      <c r="E85" s="3212"/>
      <c r="F85" s="3212">
        <v>4680</v>
      </c>
      <c r="G85" s="3212"/>
    </row>
    <row r="86" spans="1:7" s="3201" customFormat="1" ht="14.25" customHeight="1" thickBot="1">
      <c r="A86" s="3220" t="s">
        <v>110</v>
      </c>
      <c r="B86" s="3222" t="s">
        <v>3057</v>
      </c>
      <c r="C86" s="3223">
        <v>16610</v>
      </c>
      <c r="D86" s="3223">
        <v>16540</v>
      </c>
      <c r="E86" s="3223">
        <v>18850</v>
      </c>
      <c r="F86" s="3223"/>
      <c r="G86" s="3223">
        <v>11220</v>
      </c>
    </row>
    <row r="87" spans="1:7" s="3201" customFormat="1" ht="14.25" customHeight="1">
      <c r="A87" s="3217" t="s">
        <v>303</v>
      </c>
      <c r="B87" s="3208" t="s">
        <v>3058</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2937</v>
      </c>
      <c r="C113" s="3212">
        <v>15520</v>
      </c>
      <c r="D113" s="3212">
        <v>15450</v>
      </c>
      <c r="E113" s="3212"/>
      <c r="F113" s="3212"/>
      <c r="G113" s="3225">
        <v>10210</v>
      </c>
    </row>
    <row r="114" spans="1:7" s="3201" customFormat="1" ht="14.25" customHeight="1">
      <c r="A114" s="3212" t="s">
        <v>303</v>
      </c>
      <c r="B114" s="3212" t="s">
        <v>2944</v>
      </c>
      <c r="C114" s="3212">
        <v>13110</v>
      </c>
      <c r="D114" s="3212">
        <v>13050</v>
      </c>
      <c r="E114" s="3212"/>
      <c r="F114" s="3212"/>
      <c r="G114" s="3225">
        <v>8620</v>
      </c>
    </row>
    <row r="115" spans="1:7" s="3201" customFormat="1" ht="14.25" customHeight="1">
      <c r="A115" s="3212" t="s">
        <v>303</v>
      </c>
      <c r="B115" s="3212" t="s">
        <v>2950</v>
      </c>
      <c r="C115" s="3212">
        <v>12460</v>
      </c>
      <c r="D115" s="3212">
        <v>12390</v>
      </c>
      <c r="E115" s="3212"/>
      <c r="F115" s="3212"/>
      <c r="G115" s="3225">
        <v>8190</v>
      </c>
    </row>
    <row r="116" spans="1:7" s="3201" customFormat="1" ht="14.25" customHeight="1">
      <c r="A116" s="3212" t="s">
        <v>303</v>
      </c>
      <c r="B116" s="3212" t="s">
        <v>2957</v>
      </c>
      <c r="C116" s="3212">
        <v>13580</v>
      </c>
      <c r="D116" s="3212">
        <v>13520</v>
      </c>
      <c r="E116" s="3212"/>
      <c r="F116" s="3212"/>
      <c r="G116" s="3225">
        <v>8930</v>
      </c>
    </row>
    <row r="117" spans="1:7" s="3201" customFormat="1" ht="14.25" customHeight="1">
      <c r="A117" s="3212" t="s">
        <v>303</v>
      </c>
      <c r="B117" s="3212" t="s">
        <v>2964</v>
      </c>
      <c r="C117" s="3212">
        <v>17120</v>
      </c>
      <c r="D117" s="3212">
        <v>17040</v>
      </c>
      <c r="E117" s="3212"/>
      <c r="F117" s="3212"/>
      <c r="G117" s="3225">
        <v>11260</v>
      </c>
    </row>
    <row r="118" spans="1:7" s="3201" customFormat="1" ht="14.25" customHeight="1">
      <c r="A118" s="3212" t="s">
        <v>303</v>
      </c>
      <c r="B118" s="3212" t="s">
        <v>2969</v>
      </c>
      <c r="C118" s="3212">
        <v>14860</v>
      </c>
      <c r="D118" s="3212">
        <v>14790</v>
      </c>
      <c r="E118" s="3212"/>
      <c r="F118" s="3212"/>
      <c r="G118" s="3225">
        <v>9780</v>
      </c>
    </row>
    <row r="119" spans="1:7" s="3201" customFormat="1" ht="14.25" customHeight="1">
      <c r="A119" s="3212" t="s">
        <v>303</v>
      </c>
      <c r="B119" s="3212" t="s">
        <v>2973</v>
      </c>
      <c r="C119" s="3212">
        <v>16470</v>
      </c>
      <c r="D119" s="3212">
        <v>16400</v>
      </c>
      <c r="E119" s="3212"/>
      <c r="F119" s="3212"/>
      <c r="G119" s="3225">
        <v>10840</v>
      </c>
    </row>
    <row r="120" spans="1:7" s="3201" customFormat="1" ht="14.25" customHeight="1">
      <c r="A120" s="3212" t="s">
        <v>303</v>
      </c>
      <c r="B120" s="3212" t="s">
        <v>3059</v>
      </c>
      <c r="C120" s="3212"/>
      <c r="D120" s="3212"/>
      <c r="E120" s="3212"/>
      <c r="F120" s="3212">
        <v>4160</v>
      </c>
      <c r="G120" s="3225"/>
    </row>
    <row r="121" spans="1:7" s="3201" customFormat="1" ht="14.25" customHeight="1">
      <c r="A121" s="3212" t="s">
        <v>303</v>
      </c>
      <c r="B121" s="3212" t="s">
        <v>3060</v>
      </c>
      <c r="C121" s="3212"/>
      <c r="D121" s="3212"/>
      <c r="E121" s="3212"/>
      <c r="F121" s="3212">
        <v>3880</v>
      </c>
      <c r="G121" s="3225"/>
    </row>
    <row r="122" spans="1:7" s="3201" customFormat="1" ht="14.25" customHeight="1">
      <c r="A122" s="3212" t="s">
        <v>303</v>
      </c>
      <c r="B122" s="3212" t="s">
        <v>3061</v>
      </c>
      <c r="C122" s="3212">
        <v>13750</v>
      </c>
      <c r="D122" s="3212">
        <v>13680</v>
      </c>
      <c r="E122" s="3212">
        <v>16460</v>
      </c>
      <c r="F122" s="3212">
        <v>2880</v>
      </c>
      <c r="G122" s="3225">
        <v>9040</v>
      </c>
    </row>
    <row r="123" spans="1:7" s="3201" customFormat="1" ht="14.25" customHeight="1">
      <c r="A123" s="3212" t="s">
        <v>303</v>
      </c>
      <c r="B123" s="3212" t="s">
        <v>2992</v>
      </c>
      <c r="C123" s="3212">
        <v>13590</v>
      </c>
      <c r="D123" s="3212">
        <v>13520</v>
      </c>
      <c r="E123" s="3212">
        <v>16290</v>
      </c>
      <c r="F123" s="3212">
        <v>2790</v>
      </c>
      <c r="G123" s="3225">
        <v>8930</v>
      </c>
    </row>
    <row r="124" spans="1:7" s="3201" customFormat="1" ht="14.25" customHeight="1">
      <c r="A124" s="3212" t="s">
        <v>303</v>
      </c>
      <c r="B124" s="3212" t="s">
        <v>2997</v>
      </c>
      <c r="C124" s="3212">
        <v>13400</v>
      </c>
      <c r="D124" s="3212">
        <v>13320</v>
      </c>
      <c r="E124" s="3212">
        <v>16100</v>
      </c>
      <c r="F124" s="3212">
        <v>2320</v>
      </c>
      <c r="G124" s="3225">
        <v>8800</v>
      </c>
    </row>
    <row r="125" spans="1:7" s="3201" customFormat="1" ht="14.25" customHeight="1">
      <c r="A125" s="3212" t="s">
        <v>303</v>
      </c>
      <c r="B125" s="3212" t="s">
        <v>3002</v>
      </c>
      <c r="C125" s="3212">
        <v>12860</v>
      </c>
      <c r="D125" s="3212">
        <v>12790</v>
      </c>
      <c r="E125" s="3212">
        <v>15370</v>
      </c>
      <c r="F125" s="3212">
        <v>2280</v>
      </c>
      <c r="G125" s="3225">
        <v>8450</v>
      </c>
    </row>
    <row r="126" spans="1:7" s="3201" customFormat="1" ht="14.25" customHeight="1" thickBot="1">
      <c r="A126" s="3226" t="s">
        <v>303</v>
      </c>
      <c r="B126" s="3219" t="s">
        <v>3007</v>
      </c>
      <c r="C126" s="3219">
        <v>12960</v>
      </c>
      <c r="D126" s="3219">
        <v>12890</v>
      </c>
      <c r="E126" s="3219">
        <v>15530</v>
      </c>
      <c r="F126" s="3219">
        <v>2910</v>
      </c>
      <c r="G126" s="3227">
        <v>8520</v>
      </c>
    </row>
    <row r="127" spans="1:7" s="3201" customFormat="1" ht="14.25" customHeight="1">
      <c r="A127" s="3217" t="s">
        <v>29</v>
      </c>
      <c r="B127" s="3208" t="s">
        <v>3062</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3063</v>
      </c>
      <c r="C148" s="3212">
        <v>10370</v>
      </c>
      <c r="D148" s="3212">
        <v>10310</v>
      </c>
      <c r="E148" s="3212">
        <v>12970</v>
      </c>
      <c r="F148" s="3212"/>
      <c r="G148" s="3212">
        <v>6630</v>
      </c>
    </row>
    <row r="149" spans="1:7" s="3201" customFormat="1" ht="14.25" customHeight="1">
      <c r="A149" s="3212" t="s">
        <v>29</v>
      </c>
      <c r="B149" s="3212" t="s">
        <v>3064</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2938</v>
      </c>
      <c r="C153" s="3212">
        <v>10880</v>
      </c>
      <c r="D153" s="3212">
        <v>10820</v>
      </c>
      <c r="E153" s="3212">
        <v>13660</v>
      </c>
      <c r="F153" s="3212">
        <v>2260</v>
      </c>
      <c r="G153" s="3212">
        <v>6970</v>
      </c>
    </row>
    <row r="154" spans="1:7" s="3201" customFormat="1" ht="14.25" customHeight="1">
      <c r="A154" s="3212" t="s">
        <v>29</v>
      </c>
      <c r="B154" s="3212" t="s">
        <v>3065</v>
      </c>
      <c r="C154" s="3212">
        <v>11220</v>
      </c>
      <c r="D154" s="3212">
        <v>11160</v>
      </c>
      <c r="E154" s="3212">
        <v>14130</v>
      </c>
      <c r="F154" s="3212">
        <v>2230</v>
      </c>
      <c r="G154" s="3212">
        <v>7180</v>
      </c>
    </row>
    <row r="155" spans="1:7" s="3201" customFormat="1" ht="14.25" customHeight="1">
      <c r="A155" s="3212" t="s">
        <v>29</v>
      </c>
      <c r="B155" s="3212" t="s">
        <v>2951</v>
      </c>
      <c r="C155" s="3212">
        <v>10430</v>
      </c>
      <c r="D155" s="3212">
        <v>10380</v>
      </c>
      <c r="E155" s="3212">
        <v>13140</v>
      </c>
      <c r="F155" s="3212">
        <v>2080</v>
      </c>
      <c r="G155" s="3212">
        <v>6650</v>
      </c>
    </row>
    <row r="156" spans="1:7" s="3201" customFormat="1" ht="14.25" customHeight="1">
      <c r="A156" s="3212" t="s">
        <v>29</v>
      </c>
      <c r="B156" s="3212" t="s">
        <v>3066</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3067</v>
      </c>
      <c r="C160" s="3212">
        <v>11180</v>
      </c>
      <c r="D160" s="3212">
        <v>11140</v>
      </c>
      <c r="E160" s="3212">
        <v>14050</v>
      </c>
      <c r="F160" s="3212">
        <v>2270</v>
      </c>
      <c r="G160" s="3212">
        <v>7170</v>
      </c>
    </row>
    <row r="161" spans="1:7" s="3201" customFormat="1" ht="14.25" customHeight="1">
      <c r="A161" s="3212" t="s">
        <v>29</v>
      </c>
      <c r="B161" s="3212" t="s">
        <v>2983</v>
      </c>
      <c r="C161" s="3212">
        <v>11160</v>
      </c>
      <c r="D161" s="3212">
        <v>11120</v>
      </c>
      <c r="E161" s="3212">
        <v>14020</v>
      </c>
      <c r="F161" s="3212">
        <v>2150</v>
      </c>
      <c r="G161" s="3212">
        <v>7160</v>
      </c>
    </row>
    <row r="162" spans="1:7" s="3201" customFormat="1" ht="14.25" customHeight="1">
      <c r="A162" s="3212" t="s">
        <v>29</v>
      </c>
      <c r="B162" s="3212" t="s">
        <v>2988</v>
      </c>
      <c r="C162" s="3212">
        <v>9620</v>
      </c>
      <c r="D162" s="3212">
        <v>9570</v>
      </c>
      <c r="E162" s="3212">
        <v>12320</v>
      </c>
      <c r="F162" s="3212">
        <v>2010</v>
      </c>
      <c r="G162" s="3212">
        <v>6160</v>
      </c>
    </row>
    <row r="163" spans="1:7" s="3201" customFormat="1" ht="14.25" customHeight="1">
      <c r="A163" s="3212" t="s">
        <v>29</v>
      </c>
      <c r="B163" s="3212" t="s">
        <v>2993</v>
      </c>
      <c r="C163" s="3212">
        <v>9320</v>
      </c>
      <c r="D163" s="3212">
        <v>9270</v>
      </c>
      <c r="E163" s="3212">
        <v>11790</v>
      </c>
      <c r="F163" s="3212">
        <v>1920</v>
      </c>
      <c r="G163" s="3212">
        <v>5960</v>
      </c>
    </row>
    <row r="164" spans="1:7" s="3201" customFormat="1" ht="14.25" customHeight="1">
      <c r="A164" s="3212" t="s">
        <v>29</v>
      </c>
      <c r="B164" s="3212" t="s">
        <v>2998</v>
      </c>
      <c r="C164" s="3212"/>
      <c r="D164" s="3212"/>
      <c r="E164" s="3212"/>
      <c r="F164" s="3212">
        <v>1980</v>
      </c>
      <c r="G164" s="3212"/>
    </row>
    <row r="165" spans="1:7" s="3201" customFormat="1" ht="14.25" customHeight="1">
      <c r="A165" s="3212" t="s">
        <v>29</v>
      </c>
      <c r="B165" s="3212" t="s">
        <v>3068</v>
      </c>
      <c r="C165" s="3212">
        <v>11060</v>
      </c>
      <c r="D165" s="3212">
        <v>11030</v>
      </c>
      <c r="E165" s="3212">
        <v>13850</v>
      </c>
      <c r="F165" s="3212">
        <v>2170</v>
      </c>
      <c r="G165" s="3212">
        <v>7090</v>
      </c>
    </row>
    <row r="166" spans="1:7" s="3201" customFormat="1" ht="14.25" customHeight="1">
      <c r="A166" s="3212" t="s">
        <v>29</v>
      </c>
      <c r="B166" s="3212" t="s">
        <v>3008</v>
      </c>
      <c r="C166" s="3212">
        <v>11050</v>
      </c>
      <c r="D166" s="3212">
        <v>11010</v>
      </c>
      <c r="E166" s="3212">
        <v>13920</v>
      </c>
      <c r="F166" s="3212">
        <v>2140</v>
      </c>
      <c r="G166" s="3212">
        <v>7080</v>
      </c>
    </row>
    <row r="167" spans="1:7" s="3201" customFormat="1" ht="14.25" customHeight="1">
      <c r="A167" s="3212" t="s">
        <v>29</v>
      </c>
      <c r="B167" s="3212" t="s">
        <v>3012</v>
      </c>
      <c r="C167" s="3212">
        <v>10930</v>
      </c>
      <c r="D167" s="3212">
        <v>10890</v>
      </c>
      <c r="E167" s="3212">
        <v>13790</v>
      </c>
      <c r="F167" s="3212">
        <v>2010</v>
      </c>
      <c r="G167" s="3212">
        <v>7000</v>
      </c>
    </row>
    <row r="168" spans="1:7" s="3201" customFormat="1" ht="14.25" customHeight="1">
      <c r="A168" s="3212" t="s">
        <v>29</v>
      </c>
      <c r="B168" s="3212" t="s">
        <v>3017</v>
      </c>
      <c r="C168" s="3212">
        <v>9420</v>
      </c>
      <c r="D168" s="3212">
        <v>9380</v>
      </c>
      <c r="E168" s="3212">
        <v>11970</v>
      </c>
      <c r="F168" s="3212"/>
      <c r="G168" s="3212">
        <v>6040</v>
      </c>
    </row>
    <row r="169" spans="1:7" s="3201" customFormat="1" ht="14.25" customHeight="1">
      <c r="A169" s="3212" t="s">
        <v>29</v>
      </c>
      <c r="B169" s="3212" t="s">
        <v>3069</v>
      </c>
      <c r="C169" s="3212"/>
      <c r="D169" s="3212"/>
      <c r="E169" s="3212"/>
      <c r="F169" s="3212">
        <v>2880</v>
      </c>
      <c r="G169" s="3212"/>
    </row>
    <row r="170" spans="1:7" s="3201" customFormat="1" ht="14.25" customHeight="1">
      <c r="A170" s="3212" t="s">
        <v>29</v>
      </c>
      <c r="B170" s="3212" t="s">
        <v>3025</v>
      </c>
      <c r="C170" s="3212"/>
      <c r="D170" s="3212"/>
      <c r="E170" s="3212"/>
      <c r="F170" s="3212">
        <v>2880</v>
      </c>
      <c r="G170" s="3212"/>
    </row>
    <row r="171" spans="1:7" s="3201" customFormat="1" ht="14.25" customHeight="1">
      <c r="A171" s="3212" t="s">
        <v>29</v>
      </c>
      <c r="B171" s="3212" t="s">
        <v>3028</v>
      </c>
      <c r="C171" s="3212"/>
      <c r="D171" s="3212"/>
      <c r="E171" s="3212"/>
      <c r="F171" s="3212">
        <v>2880</v>
      </c>
      <c r="G171" s="3212"/>
    </row>
    <row r="172" spans="1:7" s="3201" customFormat="1" ht="14.25" customHeight="1">
      <c r="A172" s="3212" t="s">
        <v>29</v>
      </c>
      <c r="B172" s="3212" t="s">
        <v>3030</v>
      </c>
      <c r="C172" s="3212"/>
      <c r="D172" s="3212"/>
      <c r="E172" s="3212"/>
      <c r="F172" s="3212">
        <v>2880</v>
      </c>
      <c r="G172" s="3212"/>
    </row>
    <row r="173" spans="1:7" s="3201" customFormat="1" ht="14.25" customHeight="1">
      <c r="A173" s="3212" t="s">
        <v>29</v>
      </c>
      <c r="B173" s="3212" t="s">
        <v>3032</v>
      </c>
      <c r="C173" s="3212"/>
      <c r="D173" s="3212"/>
      <c r="E173" s="3212"/>
      <c r="F173" s="3212">
        <v>2150</v>
      </c>
      <c r="G173" s="3212"/>
    </row>
    <row r="174" spans="1:7" s="3201" customFormat="1" ht="14.25" customHeight="1">
      <c r="A174" s="3212" t="s">
        <v>29</v>
      </c>
      <c r="B174" s="3212" t="s">
        <v>3034</v>
      </c>
      <c r="C174" s="3212"/>
      <c r="D174" s="3212"/>
      <c r="E174" s="3212"/>
      <c r="F174" s="3212">
        <v>2030</v>
      </c>
      <c r="G174" s="3212"/>
    </row>
    <row r="175" spans="1:7" s="3201" customFormat="1" ht="14.25" customHeight="1">
      <c r="A175" s="3212" t="s">
        <v>29</v>
      </c>
      <c r="B175" s="3212" t="s">
        <v>3036</v>
      </c>
      <c r="C175" s="3212"/>
      <c r="D175" s="3212"/>
      <c r="E175" s="3212"/>
      <c r="F175" s="3212">
        <v>2780</v>
      </c>
      <c r="G175" s="3212"/>
    </row>
    <row r="176" spans="1:7" s="3201" customFormat="1" ht="14.25" customHeight="1">
      <c r="A176" s="3212" t="s">
        <v>29</v>
      </c>
      <c r="B176" s="3212" t="s">
        <v>3038</v>
      </c>
      <c r="C176" s="3212"/>
      <c r="D176" s="3212"/>
      <c r="E176" s="3212"/>
      <c r="F176" s="3212">
        <v>2780</v>
      </c>
      <c r="G176" s="3212"/>
    </row>
    <row r="177" spans="1:7" s="3201" customFormat="1" ht="14.25" customHeight="1">
      <c r="A177" s="3212" t="s">
        <v>29</v>
      </c>
      <c r="B177" s="3212" t="s">
        <v>3070</v>
      </c>
      <c r="C177" s="3212"/>
      <c r="D177" s="3212"/>
      <c r="E177" s="3212"/>
      <c r="F177" s="3212">
        <v>2780</v>
      </c>
      <c r="G177" s="3212"/>
    </row>
    <row r="178" spans="1:7" s="3201" customFormat="1" ht="14.25" customHeight="1">
      <c r="A178" s="3212" t="s">
        <v>29</v>
      </c>
      <c r="B178" s="3212" t="s">
        <v>3071</v>
      </c>
      <c r="C178" s="3212"/>
      <c r="D178" s="3212"/>
      <c r="E178" s="3212"/>
      <c r="F178" s="3212">
        <v>2060</v>
      </c>
      <c r="G178" s="3212"/>
    </row>
    <row r="179" spans="1:7" s="3201" customFormat="1" ht="14.25" customHeight="1">
      <c r="A179" s="3212" t="s">
        <v>29</v>
      </c>
      <c r="B179" s="3212" t="s">
        <v>3072</v>
      </c>
      <c r="C179" s="3212"/>
      <c r="D179" s="3212"/>
      <c r="E179" s="3212"/>
      <c r="F179" s="3212">
        <v>2120</v>
      </c>
      <c r="G179" s="3212"/>
    </row>
    <row r="180" spans="1:7" s="3201" customFormat="1" ht="14.25" customHeight="1">
      <c r="A180" s="3212" t="s">
        <v>29</v>
      </c>
      <c r="B180" s="3212" t="s">
        <v>3044</v>
      </c>
      <c r="C180" s="3212"/>
      <c r="D180" s="3212"/>
      <c r="E180" s="3212"/>
      <c r="F180" s="3212">
        <v>2340</v>
      </c>
      <c r="G180" s="3212"/>
    </row>
    <row r="181" spans="1:7" s="3201" customFormat="1" ht="14.25" customHeight="1">
      <c r="A181" s="3212" t="s">
        <v>29</v>
      </c>
      <c r="B181" s="3212" t="s">
        <v>3045</v>
      </c>
      <c r="C181" s="3212"/>
      <c r="D181" s="3212"/>
      <c r="E181" s="3212"/>
      <c r="F181" s="3212">
        <v>2340</v>
      </c>
      <c r="G181" s="3212"/>
    </row>
    <row r="182" spans="1:7" s="3201" customFormat="1" ht="14.25" customHeight="1">
      <c r="A182" s="3212" t="s">
        <v>29</v>
      </c>
      <c r="B182" s="3212" t="s">
        <v>3046</v>
      </c>
      <c r="C182" s="3212"/>
      <c r="D182" s="3212"/>
      <c r="E182" s="3212"/>
      <c r="F182" s="3212">
        <v>2340</v>
      </c>
      <c r="G182" s="3212"/>
    </row>
    <row r="183" spans="1:7" s="3201" customFormat="1" ht="14.25" customHeight="1">
      <c r="A183" s="3212" t="s">
        <v>29</v>
      </c>
      <c r="B183" s="3212" t="s">
        <v>3047</v>
      </c>
      <c r="C183" s="3212"/>
      <c r="D183" s="3212"/>
      <c r="E183" s="3212"/>
      <c r="F183" s="3212">
        <v>2340</v>
      </c>
      <c r="G183" s="3212"/>
    </row>
    <row r="184" spans="1:7" s="3201" customFormat="1" ht="14.25" customHeight="1">
      <c r="A184" s="3212" t="s">
        <v>29</v>
      </c>
      <c r="B184" s="3212" t="s">
        <v>3048</v>
      </c>
      <c r="C184" s="3212"/>
      <c r="D184" s="3212"/>
      <c r="E184" s="3212"/>
      <c r="F184" s="3212">
        <v>2340</v>
      </c>
      <c r="G184" s="3212"/>
    </row>
    <row r="185" spans="1:7" s="3201" customFormat="1" ht="14.25" customHeight="1">
      <c r="A185" s="3212" t="s">
        <v>29</v>
      </c>
      <c r="B185" s="3212" t="s">
        <v>3049</v>
      </c>
      <c r="C185" s="3212"/>
      <c r="D185" s="3212"/>
      <c r="E185" s="3212"/>
      <c r="F185" s="3212">
        <v>2530</v>
      </c>
      <c r="G185" s="3212"/>
    </row>
    <row r="186" spans="1:7" s="3201" customFormat="1" ht="14.25" customHeight="1">
      <c r="A186" s="3212" t="s">
        <v>29</v>
      </c>
      <c r="B186" s="3212" t="s">
        <v>3050</v>
      </c>
      <c r="C186" s="3212"/>
      <c r="D186" s="3212"/>
      <c r="E186" s="3212"/>
      <c r="F186" s="3212">
        <v>2550</v>
      </c>
      <c r="G186" s="3212"/>
    </row>
    <row r="187" spans="1:7" s="3201" customFormat="1" ht="14.25" customHeight="1">
      <c r="A187" s="3212" t="s">
        <v>29</v>
      </c>
      <c r="B187" s="3212" t="s">
        <v>3051</v>
      </c>
      <c r="C187" s="3212"/>
      <c r="D187" s="3212"/>
      <c r="E187" s="3212"/>
      <c r="F187" s="3212">
        <v>2070</v>
      </c>
      <c r="G187" s="3212"/>
    </row>
    <row r="188" spans="1:7" s="3201" customFormat="1" ht="14.25" customHeight="1">
      <c r="A188" s="3212" t="s">
        <v>29</v>
      </c>
      <c r="B188" s="3212" t="s">
        <v>3052</v>
      </c>
      <c r="C188" s="3212"/>
      <c r="D188" s="3212"/>
      <c r="E188" s="3212"/>
      <c r="F188" s="3212">
        <v>2340</v>
      </c>
      <c r="G188" s="3212"/>
    </row>
    <row r="189" spans="1:7" s="3201" customFormat="1" ht="14.25" customHeight="1" thickBot="1">
      <c r="A189" s="3220" t="s">
        <v>29</v>
      </c>
      <c r="B189" s="3223" t="s">
        <v>3053</v>
      </c>
      <c r="C189" s="3223"/>
      <c r="D189" s="3223"/>
      <c r="E189" s="3223"/>
      <c r="F189" s="3223">
        <v>2050</v>
      </c>
      <c r="G189" s="3223"/>
    </row>
    <row r="190" spans="1:7" s="3201" customFormat="1" ht="14.25" customHeight="1">
      <c r="A190" s="3217" t="s">
        <v>304</v>
      </c>
      <c r="B190" s="3208" t="s">
        <v>3073</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3074</v>
      </c>
      <c r="C199" s="3212">
        <v>8690</v>
      </c>
      <c r="D199" s="3212">
        <v>8630</v>
      </c>
      <c r="E199" s="3212">
        <v>11350</v>
      </c>
      <c r="F199" s="3212">
        <v>1600</v>
      </c>
      <c r="G199" s="3225">
        <v>5450</v>
      </c>
    </row>
    <row r="200" spans="1:7" s="3201" customFormat="1" ht="14.25" customHeight="1">
      <c r="A200" s="3212" t="s">
        <v>304</v>
      </c>
      <c r="B200" s="3212" t="s">
        <v>2885</v>
      </c>
      <c r="C200" s="3212"/>
      <c r="D200" s="3212"/>
      <c r="E200" s="3212"/>
      <c r="F200" s="3212">
        <v>1510</v>
      </c>
      <c r="G200" s="3225"/>
    </row>
    <row r="201" spans="1:7" s="3201" customFormat="1" ht="14.25" customHeight="1">
      <c r="A201" s="3212" t="s">
        <v>304</v>
      </c>
      <c r="B201" s="3212" t="s">
        <v>3075</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3076</v>
      </c>
      <c r="C203" s="3212">
        <v>8130</v>
      </c>
      <c r="D203" s="3212">
        <v>8070</v>
      </c>
      <c r="E203" s="3212">
        <v>10820</v>
      </c>
      <c r="F203" s="3212">
        <v>1690</v>
      </c>
      <c r="G203" s="3225">
        <v>5100</v>
      </c>
    </row>
    <row r="204" spans="1:7" s="3201" customFormat="1" ht="14.25" customHeight="1">
      <c r="A204" s="3212" t="s">
        <v>304</v>
      </c>
      <c r="B204" s="3212" t="s">
        <v>2896</v>
      </c>
      <c r="C204" s="3212">
        <v>8350</v>
      </c>
      <c r="D204" s="3212">
        <v>8290</v>
      </c>
      <c r="E204" s="3212">
        <v>11080</v>
      </c>
      <c r="F204" s="3212">
        <v>1450</v>
      </c>
      <c r="G204" s="3225">
        <v>5240</v>
      </c>
    </row>
    <row r="205" spans="1:7" s="3201" customFormat="1" ht="14.25" customHeight="1">
      <c r="A205" s="3212" t="s">
        <v>304</v>
      </c>
      <c r="B205" s="3212" t="s">
        <v>2898</v>
      </c>
      <c r="C205" s="3212">
        <v>7190</v>
      </c>
      <c r="D205" s="3212">
        <v>7130</v>
      </c>
      <c r="E205" s="3212">
        <v>9490</v>
      </c>
      <c r="F205" s="3212">
        <v>1470</v>
      </c>
      <c r="G205" s="3225">
        <v>4510</v>
      </c>
    </row>
    <row r="206" spans="1:7" s="3201" customFormat="1" ht="14.25" customHeight="1">
      <c r="A206" s="3212" t="s">
        <v>304</v>
      </c>
      <c r="B206" s="3212" t="s">
        <v>2901</v>
      </c>
      <c r="C206" s="3212">
        <v>7000</v>
      </c>
      <c r="D206" s="3212">
        <v>6950</v>
      </c>
      <c r="E206" s="3212">
        <v>9170</v>
      </c>
      <c r="F206" s="3212">
        <v>1400</v>
      </c>
      <c r="G206" s="3225">
        <v>4380</v>
      </c>
    </row>
    <row r="207" spans="1:7" s="3201" customFormat="1" ht="14.25" customHeight="1">
      <c r="A207" s="3212" t="s">
        <v>304</v>
      </c>
      <c r="B207" s="3212" t="s">
        <v>2903</v>
      </c>
      <c r="C207" s="3212">
        <v>6950</v>
      </c>
      <c r="D207" s="3212">
        <v>6900</v>
      </c>
      <c r="E207" s="3212">
        <v>9110</v>
      </c>
      <c r="F207" s="3212">
        <v>1790</v>
      </c>
      <c r="G207" s="3225">
        <v>4360</v>
      </c>
    </row>
    <row r="208" spans="1:7" s="3201" customFormat="1" ht="14.25" customHeight="1">
      <c r="A208" s="3212" t="s">
        <v>304</v>
      </c>
      <c r="B208" s="3212" t="s">
        <v>3077</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2913</v>
      </c>
      <c r="C210" s="3212">
        <v>8710</v>
      </c>
      <c r="D210" s="3212">
        <v>8660</v>
      </c>
      <c r="E210" s="3212">
        <v>11440</v>
      </c>
      <c r="F210" s="3212">
        <v>1740</v>
      </c>
      <c r="G210" s="3225">
        <v>5470</v>
      </c>
    </row>
    <row r="211" spans="1:7" s="3201" customFormat="1" ht="14.25" customHeight="1">
      <c r="A211" s="3212" t="s">
        <v>304</v>
      </c>
      <c r="B211" s="3212" t="s">
        <v>3078</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3079</v>
      </c>
      <c r="C214" s="3212">
        <v>8090</v>
      </c>
      <c r="D214" s="3212">
        <v>8030</v>
      </c>
      <c r="E214" s="3212">
        <v>10780</v>
      </c>
      <c r="F214" s="3212">
        <v>1570</v>
      </c>
      <c r="G214" s="3225">
        <v>5070</v>
      </c>
    </row>
    <row r="215" spans="1:7" s="3201" customFormat="1" ht="14.25" customHeight="1">
      <c r="A215" s="3212" t="s">
        <v>304</v>
      </c>
      <c r="B215" s="3212" t="s">
        <v>3080</v>
      </c>
      <c r="C215" s="3212">
        <v>7950</v>
      </c>
      <c r="D215" s="3212">
        <v>7900</v>
      </c>
      <c r="E215" s="3212">
        <v>10560</v>
      </c>
      <c r="F215" s="3212">
        <v>1630</v>
      </c>
      <c r="G215" s="3225">
        <v>4990</v>
      </c>
    </row>
    <row r="216" spans="1:7" s="3201" customFormat="1" ht="14.25" customHeight="1">
      <c r="A216" s="3212" t="s">
        <v>304</v>
      </c>
      <c r="B216" s="3212" t="s">
        <v>3081</v>
      </c>
      <c r="C216" s="3212">
        <v>8490</v>
      </c>
      <c r="D216" s="3212">
        <v>8440</v>
      </c>
      <c r="E216" s="3212">
        <v>11260</v>
      </c>
      <c r="F216" s="3212">
        <v>1690</v>
      </c>
      <c r="G216" s="3225">
        <v>5330</v>
      </c>
    </row>
    <row r="217" spans="1:7" s="3201" customFormat="1" ht="14.25" customHeight="1">
      <c r="A217" s="3212" t="s">
        <v>304</v>
      </c>
      <c r="B217" s="3212" t="s">
        <v>2946</v>
      </c>
      <c r="C217" s="3212">
        <v>8200</v>
      </c>
      <c r="D217" s="3212">
        <v>8150</v>
      </c>
      <c r="E217" s="3212">
        <v>10910</v>
      </c>
      <c r="F217" s="3212">
        <v>1670</v>
      </c>
      <c r="G217" s="3225">
        <v>5150</v>
      </c>
    </row>
    <row r="218" spans="1:7" s="3201" customFormat="1" ht="14.25" customHeight="1">
      <c r="A218" s="3212" t="s">
        <v>304</v>
      </c>
      <c r="B218" s="3212" t="s">
        <v>3082</v>
      </c>
      <c r="C218" s="3212"/>
      <c r="D218" s="3212"/>
      <c r="E218" s="3212"/>
      <c r="F218" s="3212">
        <v>2040</v>
      </c>
      <c r="G218" s="3225"/>
    </row>
    <row r="219" spans="1:7" s="3201" customFormat="1" ht="14.25" customHeight="1">
      <c r="A219" s="3212" t="s">
        <v>304</v>
      </c>
      <c r="B219" s="3212" t="s">
        <v>3083</v>
      </c>
      <c r="C219" s="3212"/>
      <c r="D219" s="3212"/>
      <c r="E219" s="3212"/>
      <c r="F219" s="3212">
        <v>2040</v>
      </c>
      <c r="G219" s="3225"/>
    </row>
    <row r="220" spans="1:7" s="3201" customFormat="1" ht="14.25" customHeight="1">
      <c r="A220" s="3212" t="s">
        <v>304</v>
      </c>
      <c r="B220" s="3212" t="s">
        <v>3084</v>
      </c>
      <c r="C220" s="3212"/>
      <c r="D220" s="3212"/>
      <c r="E220" s="3212"/>
      <c r="F220" s="3212">
        <v>2040</v>
      </c>
      <c r="G220" s="3225"/>
    </row>
    <row r="221" spans="1:7" s="3201" customFormat="1" ht="14.25" customHeight="1">
      <c r="A221" s="3212" t="s">
        <v>304</v>
      </c>
      <c r="B221" s="3212" t="s">
        <v>3085</v>
      </c>
      <c r="C221" s="3212"/>
      <c r="D221" s="3212"/>
      <c r="E221" s="3212"/>
      <c r="F221" s="3212">
        <v>2040</v>
      </c>
      <c r="G221" s="3225"/>
    </row>
    <row r="222" spans="1:7" s="3201" customFormat="1" ht="14.25" customHeight="1">
      <c r="A222" s="3212" t="s">
        <v>304</v>
      </c>
      <c r="B222" s="3212" t="s">
        <v>3086</v>
      </c>
      <c r="C222" s="3212"/>
      <c r="D222" s="3212"/>
      <c r="E222" s="3212"/>
      <c r="F222" s="3212">
        <v>2040</v>
      </c>
      <c r="G222" s="3225"/>
    </row>
    <row r="223" spans="1:7" s="3201" customFormat="1" ht="14.25" customHeight="1">
      <c r="A223" s="3212" t="s">
        <v>304</v>
      </c>
      <c r="B223" s="3212" t="s">
        <v>3087</v>
      </c>
      <c r="C223" s="3212"/>
      <c r="D223" s="3212"/>
      <c r="E223" s="3212"/>
      <c r="F223" s="3212">
        <v>1930</v>
      </c>
      <c r="G223" s="3225"/>
    </row>
    <row r="224" spans="1:7" s="3201" customFormat="1" ht="14.25" customHeight="1">
      <c r="A224" s="3212" t="s">
        <v>304</v>
      </c>
      <c r="B224" s="3212" t="s">
        <v>3088</v>
      </c>
      <c r="C224" s="3212"/>
      <c r="D224" s="3212"/>
      <c r="E224" s="3212"/>
      <c r="F224" s="3212">
        <v>1930</v>
      </c>
      <c r="G224" s="3225"/>
    </row>
    <row r="225" spans="1:7" s="3201" customFormat="1" ht="14.25" customHeight="1">
      <c r="A225" s="3212" t="s">
        <v>304</v>
      </c>
      <c r="B225" s="3212" t="s">
        <v>3089</v>
      </c>
      <c r="C225" s="3212"/>
      <c r="D225" s="3212"/>
      <c r="E225" s="3212"/>
      <c r="F225" s="3212">
        <v>1930</v>
      </c>
      <c r="G225" s="3225"/>
    </row>
    <row r="226" spans="1:7" s="3201" customFormat="1" ht="14.25" customHeight="1">
      <c r="A226" s="3212" t="s">
        <v>304</v>
      </c>
      <c r="B226" s="3212" t="s">
        <v>3090</v>
      </c>
      <c r="C226" s="3212"/>
      <c r="D226" s="3212"/>
      <c r="E226" s="3212"/>
      <c r="F226" s="3212">
        <v>1700</v>
      </c>
      <c r="G226" s="3225"/>
    </row>
    <row r="227" spans="1:7" s="3201" customFormat="1" ht="14.25" customHeight="1">
      <c r="A227" s="3212" t="s">
        <v>304</v>
      </c>
      <c r="B227" s="3212" t="s">
        <v>3091</v>
      </c>
      <c r="C227" s="3212"/>
      <c r="D227" s="3212"/>
      <c r="E227" s="3212"/>
      <c r="F227" s="3212">
        <v>1520</v>
      </c>
      <c r="G227" s="3225"/>
    </row>
    <row r="228" spans="1:7" s="3201" customFormat="1" ht="14.25" customHeight="1">
      <c r="A228" s="3212" t="s">
        <v>304</v>
      </c>
      <c r="B228" s="3212" t="s">
        <v>3092</v>
      </c>
      <c r="C228" s="3212"/>
      <c r="D228" s="3212"/>
      <c r="E228" s="3212"/>
      <c r="F228" s="3212">
        <v>1520</v>
      </c>
      <c r="G228" s="3225"/>
    </row>
    <row r="229" spans="1:7" s="3201" customFormat="1" ht="14.25" customHeight="1">
      <c r="A229" s="3212" t="s">
        <v>304</v>
      </c>
      <c r="B229" s="3212" t="s">
        <v>3009</v>
      </c>
      <c r="C229" s="3212"/>
      <c r="D229" s="3212"/>
      <c r="E229" s="3212"/>
      <c r="F229" s="3212">
        <v>1520</v>
      </c>
      <c r="G229" s="3225"/>
    </row>
    <row r="230" spans="1:7" s="3201" customFormat="1" ht="14.25" customHeight="1">
      <c r="A230" s="3212" t="s">
        <v>304</v>
      </c>
      <c r="B230" s="3212" t="s">
        <v>3093</v>
      </c>
      <c r="C230" s="3212"/>
      <c r="D230" s="3212"/>
      <c r="E230" s="3212"/>
      <c r="F230" s="3212">
        <v>1820</v>
      </c>
      <c r="G230" s="3225"/>
    </row>
    <row r="231" spans="1:7" s="3201" customFormat="1" ht="14.25" customHeight="1">
      <c r="A231" s="3212" t="s">
        <v>304</v>
      </c>
      <c r="B231" s="3212" t="s">
        <v>3094</v>
      </c>
      <c r="C231" s="3212"/>
      <c r="D231" s="3212"/>
      <c r="E231" s="3212"/>
      <c r="F231" s="3212">
        <v>1760</v>
      </c>
      <c r="G231" s="3225"/>
    </row>
    <row r="232" spans="1:7" s="3201" customFormat="1" ht="14.25" customHeight="1">
      <c r="A232" s="3212" t="s">
        <v>304</v>
      </c>
      <c r="B232" s="3212" t="s">
        <v>3095</v>
      </c>
      <c r="C232" s="3212"/>
      <c r="D232" s="3212"/>
      <c r="E232" s="3212"/>
      <c r="F232" s="3212">
        <v>1840</v>
      </c>
      <c r="G232" s="3225"/>
    </row>
    <row r="233" spans="1:7" s="3201" customFormat="1" ht="14.25" customHeight="1" thickBot="1">
      <c r="A233" s="3226" t="s">
        <v>304</v>
      </c>
      <c r="B233" s="3219" t="s">
        <v>3026</v>
      </c>
      <c r="C233" s="3219"/>
      <c r="D233" s="3219"/>
      <c r="E233" s="3219"/>
      <c r="F233" s="3219">
        <v>1770</v>
      </c>
      <c r="G233" s="3227"/>
    </row>
    <row r="234" spans="1:7" s="3201" customFormat="1" ht="14.25" customHeight="1">
      <c r="A234" s="3217" t="s">
        <v>305</v>
      </c>
      <c r="B234" s="3208" t="s">
        <v>3096</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2867</v>
      </c>
      <c r="C238" s="3212">
        <v>6920</v>
      </c>
      <c r="D238" s="3212">
        <v>6890</v>
      </c>
      <c r="E238" s="3212">
        <v>8640</v>
      </c>
      <c r="F238" s="3212">
        <v>1310</v>
      </c>
      <c r="G238" s="3212">
        <v>4230</v>
      </c>
    </row>
    <row r="239" spans="1:7" s="3201" customFormat="1" ht="14.25" customHeight="1">
      <c r="A239" s="3212" t="s">
        <v>305</v>
      </c>
      <c r="B239" s="3212" t="s">
        <v>3097</v>
      </c>
      <c r="C239" s="3212">
        <v>6780</v>
      </c>
      <c r="D239" s="3212">
        <v>6750</v>
      </c>
      <c r="E239" s="3212">
        <v>8440</v>
      </c>
      <c r="F239" s="3212">
        <v>1160</v>
      </c>
      <c r="G239" s="3212">
        <v>4140</v>
      </c>
    </row>
    <row r="240" spans="1:7" s="3201" customFormat="1" ht="14.25" customHeight="1">
      <c r="A240" s="3212" t="s">
        <v>305</v>
      </c>
      <c r="B240" s="3212" t="s">
        <v>3098</v>
      </c>
      <c r="C240" s="3212">
        <v>5420</v>
      </c>
      <c r="D240" s="3212">
        <v>5380</v>
      </c>
      <c r="E240" s="3212">
        <v>6640</v>
      </c>
      <c r="F240" s="3212">
        <v>1020</v>
      </c>
      <c r="G240" s="3212">
        <v>3300</v>
      </c>
    </row>
    <row r="241" spans="1:7" s="3201" customFormat="1" ht="14.25" customHeight="1">
      <c r="A241" s="3212" t="s">
        <v>305</v>
      </c>
      <c r="B241" s="3212" t="s">
        <v>3099</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3100</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3101</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3102</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3103</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3104</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2929</v>
      </c>
      <c r="C258" s="3212">
        <v>6190</v>
      </c>
      <c r="D258" s="3212">
        <v>6160</v>
      </c>
      <c r="E258" s="3212">
        <v>7680</v>
      </c>
      <c r="F258" s="3212">
        <v>1170</v>
      </c>
      <c r="G258" s="3212">
        <v>3780</v>
      </c>
    </row>
    <row r="259" spans="1:7" s="3201" customFormat="1" ht="14.25" customHeight="1">
      <c r="A259" s="3212" t="s">
        <v>305</v>
      </c>
      <c r="B259" s="3212" t="s">
        <v>3105</v>
      </c>
      <c r="C259" s="3212">
        <v>7610</v>
      </c>
      <c r="D259" s="3212">
        <v>7570</v>
      </c>
      <c r="E259" s="3212">
        <v>9350</v>
      </c>
      <c r="F259" s="3212">
        <v>1350</v>
      </c>
      <c r="G259" s="3212">
        <v>4650</v>
      </c>
    </row>
    <row r="260" spans="1:7" s="3201" customFormat="1" ht="14.25" customHeight="1">
      <c r="A260" s="3212" t="s">
        <v>305</v>
      </c>
      <c r="B260" s="3212" t="s">
        <v>3106</v>
      </c>
      <c r="C260" s="3212">
        <v>6920</v>
      </c>
      <c r="D260" s="3212">
        <v>6880</v>
      </c>
      <c r="E260" s="3212">
        <v>8380</v>
      </c>
      <c r="F260" s="3212">
        <v>1160</v>
      </c>
      <c r="G260" s="3212">
        <v>4220</v>
      </c>
    </row>
    <row r="261" spans="1:7" s="3201" customFormat="1" ht="14.25" customHeight="1">
      <c r="A261" s="3212" t="s">
        <v>305</v>
      </c>
      <c r="B261" s="3212" t="s">
        <v>3107</v>
      </c>
      <c r="C261" s="3212">
        <v>6850</v>
      </c>
      <c r="D261" s="3212">
        <v>6810</v>
      </c>
      <c r="E261" s="3212">
        <v>8290</v>
      </c>
      <c r="F261" s="3212">
        <v>1130</v>
      </c>
      <c r="G261" s="3212">
        <v>4180</v>
      </c>
    </row>
    <row r="262" spans="1:7" s="3201" customFormat="1" ht="14.25" customHeight="1">
      <c r="A262" s="3212" t="s">
        <v>305</v>
      </c>
      <c r="B262" s="3212" t="s">
        <v>3108</v>
      </c>
      <c r="C262" s="3212">
        <v>5860</v>
      </c>
      <c r="D262" s="3212">
        <v>5820</v>
      </c>
      <c r="E262" s="3212">
        <v>7640</v>
      </c>
      <c r="F262" s="3212">
        <v>1070</v>
      </c>
      <c r="G262" s="3212">
        <v>3570</v>
      </c>
    </row>
    <row r="263" spans="1:7" s="3201" customFormat="1" ht="14.25" customHeight="1">
      <c r="A263" s="3212" t="s">
        <v>305</v>
      </c>
      <c r="B263" s="3212" t="s">
        <v>3109</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3110</v>
      </c>
      <c r="C265" s="3212"/>
      <c r="D265" s="3212"/>
      <c r="E265" s="3212"/>
      <c r="F265" s="3212">
        <v>1500</v>
      </c>
      <c r="G265" s="3212"/>
    </row>
    <row r="266" spans="1:7" s="3201" customFormat="1" ht="14.25" customHeight="1">
      <c r="A266" s="3212" t="s">
        <v>305</v>
      </c>
      <c r="B266" s="3212" t="s">
        <v>3111</v>
      </c>
      <c r="C266" s="3212"/>
      <c r="D266" s="3212"/>
      <c r="E266" s="3212"/>
      <c r="F266" s="3212">
        <v>1500</v>
      </c>
      <c r="G266" s="3212"/>
    </row>
    <row r="267" spans="1:7" s="3201" customFormat="1" ht="14.25" customHeight="1">
      <c r="A267" s="3212" t="s">
        <v>305</v>
      </c>
      <c r="B267" s="3212" t="s">
        <v>3112</v>
      </c>
      <c r="C267" s="3212"/>
      <c r="D267" s="3212"/>
      <c r="E267" s="3212"/>
      <c r="F267" s="3212">
        <v>1500</v>
      </c>
      <c r="G267" s="3212"/>
    </row>
    <row r="268" spans="1:7" s="3201" customFormat="1" ht="14.25" customHeight="1">
      <c r="A268" s="3212" t="s">
        <v>305</v>
      </c>
      <c r="B268" s="3212" t="s">
        <v>3113</v>
      </c>
      <c r="C268" s="3212"/>
      <c r="D268" s="3212"/>
      <c r="E268" s="3212"/>
      <c r="F268" s="3212">
        <v>1290</v>
      </c>
      <c r="G268" s="3212"/>
    </row>
    <row r="269" spans="1:7" s="3201" customFormat="1" ht="14.25" customHeight="1">
      <c r="A269" s="3212" t="s">
        <v>305</v>
      </c>
      <c r="B269" s="3212" t="s">
        <v>3114</v>
      </c>
      <c r="C269" s="3212"/>
      <c r="D269" s="3212"/>
      <c r="E269" s="3212"/>
      <c r="F269" s="3212">
        <v>1150</v>
      </c>
      <c r="G269" s="3212"/>
    </row>
    <row r="270" spans="1:7" s="3201" customFormat="1" ht="14.25" customHeight="1">
      <c r="A270" s="3212" t="s">
        <v>305</v>
      </c>
      <c r="B270" s="3212" t="s">
        <v>3115</v>
      </c>
      <c r="C270" s="3212"/>
      <c r="D270" s="3212"/>
      <c r="E270" s="3212"/>
      <c r="F270" s="3212">
        <v>1380</v>
      </c>
      <c r="G270" s="3212"/>
    </row>
    <row r="271" spans="1:7" s="3201" customFormat="1" ht="14.25" customHeight="1">
      <c r="A271" s="3212" t="s">
        <v>305</v>
      </c>
      <c r="B271" s="3212" t="s">
        <v>3116</v>
      </c>
      <c r="C271" s="3212"/>
      <c r="D271" s="3212"/>
      <c r="E271" s="3212"/>
      <c r="F271" s="3212">
        <v>1460</v>
      </c>
      <c r="G271" s="3212"/>
    </row>
    <row r="272" spans="1:7" s="3201" customFormat="1" ht="14.25" customHeight="1">
      <c r="A272" s="3212" t="s">
        <v>305</v>
      </c>
      <c r="B272" s="3212" t="s">
        <v>3117</v>
      </c>
      <c r="C272" s="3212"/>
      <c r="D272" s="3212"/>
      <c r="E272" s="3212"/>
      <c r="F272" s="3212">
        <v>1460</v>
      </c>
      <c r="G272" s="3212"/>
    </row>
    <row r="273" spans="1:7" s="3201" customFormat="1" ht="14.25" customHeight="1">
      <c r="A273" s="3212" t="s">
        <v>305</v>
      </c>
      <c r="B273" s="3212" t="s">
        <v>3010</v>
      </c>
      <c r="C273" s="3212"/>
      <c r="D273" s="3212"/>
      <c r="E273" s="3212"/>
      <c r="F273" s="3212">
        <v>1490</v>
      </c>
      <c r="G273" s="3212"/>
    </row>
    <row r="274" spans="1:7" s="3201" customFormat="1" ht="14.25" customHeight="1">
      <c r="A274" s="3212" t="s">
        <v>305</v>
      </c>
      <c r="B274" s="3212" t="s">
        <v>3118</v>
      </c>
      <c r="C274" s="3212"/>
      <c r="D274" s="3212"/>
      <c r="E274" s="3212"/>
      <c r="F274" s="3212">
        <v>1490</v>
      </c>
      <c r="G274" s="3212"/>
    </row>
    <row r="275" spans="1:7" s="3201" customFormat="1" ht="14.25" customHeight="1">
      <c r="A275" s="3212" t="s">
        <v>305</v>
      </c>
      <c r="B275" s="3212" t="s">
        <v>3119</v>
      </c>
      <c r="C275" s="3212"/>
      <c r="D275" s="3212"/>
      <c r="E275" s="3212"/>
      <c r="F275" s="3212">
        <v>1220</v>
      </c>
      <c r="G275" s="3212"/>
    </row>
    <row r="276" spans="1:7" s="3201" customFormat="1" ht="14.25" customHeight="1" thickBot="1">
      <c r="A276" s="3220" t="s">
        <v>305</v>
      </c>
      <c r="B276" s="3222" t="s">
        <v>3120</v>
      </c>
      <c r="C276" s="3223"/>
      <c r="D276" s="3223"/>
      <c r="E276" s="3223"/>
      <c r="F276" s="3223">
        <v>1380</v>
      </c>
      <c r="G276" s="3223"/>
    </row>
    <row r="277" spans="1:7" s="3201" customFormat="1" ht="14.25" customHeight="1">
      <c r="A277" s="3217" t="s">
        <v>306</v>
      </c>
      <c r="B277" s="3208" t="s">
        <v>3121</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3122</v>
      </c>
      <c r="C279" s="3212">
        <v>4760</v>
      </c>
      <c r="D279" s="3212">
        <v>4720</v>
      </c>
      <c r="E279" s="3212">
        <v>5540</v>
      </c>
      <c r="F279" s="3212">
        <v>810</v>
      </c>
      <c r="G279" s="3225">
        <v>2850</v>
      </c>
    </row>
    <row r="280" spans="1:7" s="3201" customFormat="1" ht="14.25" customHeight="1">
      <c r="A280" s="3212" t="s">
        <v>306</v>
      </c>
      <c r="B280" s="3212" t="s">
        <v>3123</v>
      </c>
      <c r="C280" s="3212">
        <v>4010</v>
      </c>
      <c r="D280" s="3212">
        <v>3950</v>
      </c>
      <c r="E280" s="3212">
        <v>4710</v>
      </c>
      <c r="F280" s="3212">
        <v>800</v>
      </c>
      <c r="G280" s="3225">
        <v>2390</v>
      </c>
    </row>
    <row r="281" spans="1:7" s="3201" customFormat="1" ht="14.25" customHeight="1">
      <c r="A281" s="3212" t="s">
        <v>306</v>
      </c>
      <c r="B281" s="3212" t="s">
        <v>3124</v>
      </c>
      <c r="C281" s="3212">
        <v>4480</v>
      </c>
      <c r="D281" s="3212">
        <v>4420</v>
      </c>
      <c r="E281" s="3212">
        <v>5230</v>
      </c>
      <c r="F281" s="3212">
        <v>870</v>
      </c>
      <c r="G281" s="3225">
        <v>2660</v>
      </c>
    </row>
    <row r="282" spans="1:7" s="3201" customFormat="1" ht="14.25" customHeight="1">
      <c r="A282" s="3212" t="s">
        <v>306</v>
      </c>
      <c r="B282" s="3212" t="s">
        <v>3125</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3126</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3127</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2902</v>
      </c>
      <c r="C293" s="3212">
        <v>5320</v>
      </c>
      <c r="D293" s="3212">
        <v>5270</v>
      </c>
      <c r="E293" s="3212">
        <v>6160</v>
      </c>
      <c r="F293" s="3212">
        <v>990</v>
      </c>
      <c r="G293" s="3225">
        <v>3170</v>
      </c>
    </row>
    <row r="294" spans="1:7" s="3201" customFormat="1" ht="14.25" customHeight="1">
      <c r="A294" s="3212" t="s">
        <v>306</v>
      </c>
      <c r="B294" s="3212" t="s">
        <v>3128</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2921</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3129</v>
      </c>
      <c r="C302" s="3212">
        <v>5520</v>
      </c>
      <c r="D302" s="3212">
        <v>5470</v>
      </c>
      <c r="E302" s="3212">
        <v>6410</v>
      </c>
      <c r="F302" s="3212">
        <v>950</v>
      </c>
      <c r="G302" s="3225">
        <v>3300</v>
      </c>
    </row>
    <row r="303" spans="1:7" s="3201" customFormat="1" ht="14.25" customHeight="1">
      <c r="A303" s="3212" t="s">
        <v>306</v>
      </c>
      <c r="B303" s="3212" t="s">
        <v>2941</v>
      </c>
      <c r="C303" s="3212">
        <v>5630</v>
      </c>
      <c r="D303" s="3212">
        <v>5590</v>
      </c>
      <c r="E303" s="3212">
        <v>6550</v>
      </c>
      <c r="F303" s="3212">
        <v>1010</v>
      </c>
      <c r="G303" s="3225">
        <v>3370</v>
      </c>
    </row>
    <row r="304" spans="1:7" s="3201" customFormat="1" ht="14.25" customHeight="1">
      <c r="A304" s="3212" t="s">
        <v>306</v>
      </c>
      <c r="B304" s="3212" t="s">
        <v>2948</v>
      </c>
      <c r="C304" s="3212">
        <v>5680</v>
      </c>
      <c r="D304" s="3212">
        <v>5620</v>
      </c>
      <c r="E304" s="3212">
        <v>6620</v>
      </c>
      <c r="F304" s="3212">
        <v>1050</v>
      </c>
      <c r="G304" s="3225">
        <v>3390</v>
      </c>
    </row>
    <row r="305" spans="1:7" s="3201" customFormat="1" ht="14.25" customHeight="1">
      <c r="A305" s="3212" t="s">
        <v>306</v>
      </c>
      <c r="B305" s="3212" t="s">
        <v>2954</v>
      </c>
      <c r="C305" s="3212">
        <v>5590</v>
      </c>
      <c r="D305" s="3212">
        <v>5530</v>
      </c>
      <c r="E305" s="3212">
        <v>6460</v>
      </c>
      <c r="F305" s="3212">
        <v>900</v>
      </c>
      <c r="G305" s="3225">
        <v>3340</v>
      </c>
    </row>
    <row r="306" spans="1:7" s="3201" customFormat="1" ht="14.25" customHeight="1">
      <c r="A306" s="3212" t="s">
        <v>306</v>
      </c>
      <c r="B306" s="3212" t="s">
        <v>3130</v>
      </c>
      <c r="C306" s="3212">
        <v>5560</v>
      </c>
      <c r="D306" s="3212">
        <v>5510</v>
      </c>
      <c r="E306" s="3212">
        <v>6440</v>
      </c>
      <c r="F306" s="3212">
        <v>900</v>
      </c>
      <c r="G306" s="3225">
        <v>3320</v>
      </c>
    </row>
    <row r="307" spans="1:7" s="3201" customFormat="1" ht="14.25" customHeight="1">
      <c r="A307" s="3212" t="s">
        <v>306</v>
      </c>
      <c r="B307" s="3212" t="s">
        <v>2966</v>
      </c>
      <c r="C307" s="3212">
        <v>5650</v>
      </c>
      <c r="D307" s="3212">
        <v>5600</v>
      </c>
      <c r="E307" s="3212">
        <v>6590</v>
      </c>
      <c r="F307" s="3212">
        <v>930</v>
      </c>
      <c r="G307" s="3225">
        <v>3380</v>
      </c>
    </row>
    <row r="308" spans="1:7" s="3201" customFormat="1" ht="14.25" customHeight="1">
      <c r="A308" s="3212" t="s">
        <v>306</v>
      </c>
      <c r="B308" s="3212" t="s">
        <v>3131</v>
      </c>
      <c r="C308" s="3212">
        <v>5620</v>
      </c>
      <c r="D308" s="3212">
        <v>5580</v>
      </c>
      <c r="E308" s="3212">
        <v>6540</v>
      </c>
      <c r="F308" s="3212">
        <v>910</v>
      </c>
      <c r="G308" s="3225">
        <v>3370</v>
      </c>
    </row>
    <row r="309" spans="1:7" s="3201" customFormat="1" ht="14.25" customHeight="1">
      <c r="A309" s="3212" t="s">
        <v>306</v>
      </c>
      <c r="B309" s="3212" t="s">
        <v>3132</v>
      </c>
      <c r="C309" s="3212">
        <v>5060</v>
      </c>
      <c r="D309" s="3212">
        <v>5020</v>
      </c>
      <c r="E309" s="3212">
        <v>6370</v>
      </c>
      <c r="F309" s="3212">
        <v>800</v>
      </c>
      <c r="G309" s="3225">
        <v>3020</v>
      </c>
    </row>
    <row r="310" spans="1:7" s="3201" customFormat="1" ht="14.25" customHeight="1">
      <c r="A310" s="3212" t="s">
        <v>306</v>
      </c>
      <c r="B310" s="3212" t="s">
        <v>2981</v>
      </c>
      <c r="C310" s="3212">
        <v>5150</v>
      </c>
      <c r="D310" s="3212">
        <v>5110</v>
      </c>
      <c r="E310" s="3212">
        <v>6500</v>
      </c>
      <c r="F310" s="3212">
        <v>880</v>
      </c>
      <c r="G310" s="3225">
        <v>3080</v>
      </c>
    </row>
    <row r="311" spans="1:7" s="3201" customFormat="1" ht="14.25" customHeight="1">
      <c r="A311" s="3212" t="s">
        <v>306</v>
      </c>
      <c r="B311" s="3212" t="s">
        <v>3133</v>
      </c>
      <c r="C311" s="3212">
        <v>4750</v>
      </c>
      <c r="D311" s="3212">
        <v>4710</v>
      </c>
      <c r="E311" s="3212">
        <v>5510</v>
      </c>
      <c r="F311" s="3212">
        <v>880</v>
      </c>
      <c r="G311" s="3225">
        <v>2840</v>
      </c>
    </row>
    <row r="312" spans="1:7" s="3201" customFormat="1" ht="14.25" customHeight="1">
      <c r="A312" s="3212" t="s">
        <v>306</v>
      </c>
      <c r="B312" s="3212" t="s">
        <v>2991</v>
      </c>
      <c r="C312" s="3212">
        <v>4690</v>
      </c>
      <c r="D312" s="3212">
        <v>4640</v>
      </c>
      <c r="E312" s="3212">
        <v>5420</v>
      </c>
      <c r="F312" s="3212">
        <v>800</v>
      </c>
      <c r="G312" s="3225">
        <v>2800</v>
      </c>
    </row>
    <row r="313" spans="1:7" s="3201" customFormat="1" ht="14.25" customHeight="1">
      <c r="A313" s="3212" t="s">
        <v>306</v>
      </c>
      <c r="B313" s="3212" t="s">
        <v>2996</v>
      </c>
      <c r="C313" s="3212">
        <v>4810</v>
      </c>
      <c r="D313" s="3212">
        <v>4760</v>
      </c>
      <c r="E313" s="3212">
        <v>5550</v>
      </c>
      <c r="F313" s="3212">
        <v>920</v>
      </c>
      <c r="G313" s="3225">
        <v>2870</v>
      </c>
    </row>
    <row r="314" spans="1:7" s="3201" customFormat="1" ht="14.25" customHeight="1">
      <c r="A314" s="3212" t="s">
        <v>306</v>
      </c>
      <c r="B314" s="3212" t="s">
        <v>3134</v>
      </c>
      <c r="C314" s="3212"/>
      <c r="D314" s="3212"/>
      <c r="E314" s="3212"/>
      <c r="F314" s="3212">
        <v>1020</v>
      </c>
      <c r="G314" s="3225"/>
    </row>
    <row r="315" spans="1:7" s="3201" customFormat="1" ht="14.25" customHeight="1">
      <c r="A315" s="3212" t="s">
        <v>306</v>
      </c>
      <c r="B315" s="3212" t="s">
        <v>3135</v>
      </c>
      <c r="C315" s="3212"/>
      <c r="D315" s="3212"/>
      <c r="E315" s="3212"/>
      <c r="F315" s="3212">
        <v>1050</v>
      </c>
      <c r="G315" s="3225"/>
    </row>
    <row r="316" spans="1:7" s="3201" customFormat="1" ht="14.25" customHeight="1">
      <c r="A316" s="3212" t="s">
        <v>306</v>
      </c>
      <c r="B316" s="3212" t="s">
        <v>3011</v>
      </c>
      <c r="C316" s="3212"/>
      <c r="D316" s="3212"/>
      <c r="E316" s="3212"/>
      <c r="F316" s="3212">
        <v>900</v>
      </c>
      <c r="G316" s="3225"/>
    </row>
    <row r="317" spans="1:7" s="3201" customFormat="1" ht="14.25" customHeight="1">
      <c r="A317" s="3212" t="s">
        <v>306</v>
      </c>
      <c r="B317" s="3212" t="s">
        <v>3136</v>
      </c>
      <c r="C317" s="3212"/>
      <c r="D317" s="3212"/>
      <c r="E317" s="3212"/>
      <c r="F317" s="3212">
        <v>920</v>
      </c>
      <c r="G317" s="3225"/>
    </row>
    <row r="318" spans="1:7" s="3201" customFormat="1" ht="14.25" customHeight="1">
      <c r="A318" s="3212" t="s">
        <v>306</v>
      </c>
      <c r="B318" s="3212" t="s">
        <v>3137</v>
      </c>
      <c r="C318" s="3212"/>
      <c r="D318" s="3212"/>
      <c r="E318" s="3212"/>
      <c r="F318" s="3212">
        <v>1080</v>
      </c>
      <c r="G318" s="3225"/>
    </row>
    <row r="319" spans="1:7" s="3201" customFormat="1" ht="14.25" customHeight="1">
      <c r="A319" s="3212" t="s">
        <v>306</v>
      </c>
      <c r="B319" s="3212" t="s">
        <v>3024</v>
      </c>
      <c r="C319" s="3212"/>
      <c r="D319" s="3212"/>
      <c r="E319" s="3212"/>
      <c r="F319" s="3212">
        <v>1020</v>
      </c>
      <c r="G319" s="3225"/>
    </row>
    <row r="320" spans="1:7" s="3201" customFormat="1" ht="14.25" customHeight="1">
      <c r="A320" s="3212" t="s">
        <v>306</v>
      </c>
      <c r="B320" s="3212" t="s">
        <v>3027</v>
      </c>
      <c r="C320" s="3212"/>
      <c r="D320" s="3212"/>
      <c r="E320" s="3212"/>
      <c r="F320" s="3212">
        <v>1050</v>
      </c>
      <c r="G320" s="3225"/>
    </row>
    <row r="321" spans="1:7" s="3201" customFormat="1" ht="14.25" customHeight="1">
      <c r="A321" s="3212" t="s">
        <v>306</v>
      </c>
      <c r="B321" s="3212" t="s">
        <v>3029</v>
      </c>
      <c r="C321" s="3212"/>
      <c r="D321" s="3212"/>
      <c r="E321" s="3212"/>
      <c r="F321" s="3212">
        <v>960</v>
      </c>
      <c r="G321" s="3225"/>
    </row>
    <row r="322" spans="1:7" s="3201" customFormat="1" ht="14.25" customHeight="1">
      <c r="A322" s="3212" t="s">
        <v>306</v>
      </c>
      <c r="B322" s="3212" t="s">
        <v>3031</v>
      </c>
      <c r="C322" s="3212"/>
      <c r="D322" s="3212"/>
      <c r="E322" s="3212"/>
      <c r="F322" s="3212">
        <v>960</v>
      </c>
      <c r="G322" s="3225"/>
    </row>
    <row r="323" spans="1:7" s="3201" customFormat="1" ht="14.25" customHeight="1">
      <c r="A323" s="3212" t="s">
        <v>306</v>
      </c>
      <c r="B323" s="3212" t="s">
        <v>3033</v>
      </c>
      <c r="C323" s="3212"/>
      <c r="D323" s="3212"/>
      <c r="E323" s="3212"/>
      <c r="F323" s="3212">
        <v>880</v>
      </c>
      <c r="G323" s="3225"/>
    </row>
    <row r="324" spans="1:7" s="3201" customFormat="1" ht="14.25" customHeight="1">
      <c r="A324" s="3212" t="s">
        <v>306</v>
      </c>
      <c r="B324" s="3212" t="s">
        <v>3035</v>
      </c>
      <c r="C324" s="3212"/>
      <c r="D324" s="3212"/>
      <c r="E324" s="3212"/>
      <c r="F324" s="3212">
        <v>930</v>
      </c>
      <c r="G324" s="3225"/>
    </row>
    <row r="325" spans="1:7" s="3201" customFormat="1" ht="14.25" customHeight="1">
      <c r="A325" s="3212" t="s">
        <v>306</v>
      </c>
      <c r="B325" s="3213" t="s">
        <v>3037</v>
      </c>
      <c r="C325" s="3212"/>
      <c r="D325" s="3212"/>
      <c r="E325" s="3212"/>
      <c r="F325" s="3212">
        <v>900</v>
      </c>
      <c r="G325" s="3225"/>
    </row>
    <row r="326" spans="1:7" s="3201" customFormat="1" ht="14.25" customHeight="1" thickBot="1">
      <c r="A326" s="3226" t="s">
        <v>306</v>
      </c>
      <c r="B326" s="3219" t="s">
        <v>3039</v>
      </c>
      <c r="C326" s="3219"/>
      <c r="D326" s="3219"/>
      <c r="E326" s="3219"/>
      <c r="F326" s="3219">
        <v>790</v>
      </c>
      <c r="G326" s="3227"/>
    </row>
    <row r="327" spans="1:7" s="3201" customFormat="1" ht="14.25" customHeight="1">
      <c r="A327" s="3217" t="s">
        <v>307</v>
      </c>
      <c r="B327" s="3208" t="s">
        <v>3138</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3139</v>
      </c>
      <c r="C329" s="3212">
        <v>2730</v>
      </c>
      <c r="D329" s="3212">
        <v>2690</v>
      </c>
      <c r="E329" s="3212">
        <v>3100</v>
      </c>
      <c r="F329" s="3212">
        <v>660</v>
      </c>
      <c r="G329" s="3212">
        <v>1610</v>
      </c>
    </row>
    <row r="330" spans="1:7" s="3201" customFormat="1" ht="14.25" customHeight="1">
      <c r="A330" s="3212" t="s">
        <v>307</v>
      </c>
      <c r="B330" s="3212" t="s">
        <v>3140</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2873</v>
      </c>
      <c r="C332" s="3212">
        <v>3520</v>
      </c>
      <c r="D332" s="3212">
        <v>3480</v>
      </c>
      <c r="E332" s="3212">
        <v>3830</v>
      </c>
      <c r="F332" s="3212">
        <v>720</v>
      </c>
      <c r="G332" s="3212">
        <v>2090</v>
      </c>
    </row>
    <row r="333" spans="1:7" s="3201" customFormat="1" ht="14.25" customHeight="1">
      <c r="A333" s="3212" t="s">
        <v>307</v>
      </c>
      <c r="B333" s="3212" t="s">
        <v>3141</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2883</v>
      </c>
      <c r="C336" s="3212">
        <v>3570</v>
      </c>
      <c r="D336" s="3212">
        <v>3530</v>
      </c>
      <c r="E336" s="3212">
        <v>3880</v>
      </c>
      <c r="F336" s="3212">
        <v>770</v>
      </c>
      <c r="G336" s="3212">
        <v>2110</v>
      </c>
    </row>
    <row r="337" spans="1:10" s="3201" customFormat="1" ht="14.25" customHeight="1">
      <c r="A337" s="3212" t="s">
        <v>307</v>
      </c>
      <c r="B337" s="3212" t="s">
        <v>3142</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3143</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3144</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2908</v>
      </c>
      <c r="C345" s="3212">
        <v>3190</v>
      </c>
      <c r="D345" s="3212">
        <v>3140</v>
      </c>
      <c r="E345" s="3212">
        <v>3450</v>
      </c>
      <c r="F345" s="3212">
        <v>720</v>
      </c>
      <c r="G345" s="3212">
        <v>1880</v>
      </c>
      <c r="J345" s="3201"/>
    </row>
    <row r="346" spans="1:10">
      <c r="A346" s="3212" t="s">
        <v>307</v>
      </c>
      <c r="B346" s="3212" t="s">
        <v>3145</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2917</v>
      </c>
      <c r="C348" s="3212">
        <v>4000</v>
      </c>
      <c r="D348" s="3212">
        <v>3950</v>
      </c>
      <c r="E348" s="3212">
        <v>4430</v>
      </c>
      <c r="F348" s="3212">
        <v>760</v>
      </c>
      <c r="G348" s="3212">
        <v>2360</v>
      </c>
      <c r="J348" s="3201"/>
    </row>
    <row r="349" spans="1:10">
      <c r="A349" s="3212" t="s">
        <v>307</v>
      </c>
      <c r="B349" s="3212" t="s">
        <v>2922</v>
      </c>
      <c r="C349" s="3212">
        <v>3820</v>
      </c>
      <c r="D349" s="3212">
        <v>3780</v>
      </c>
      <c r="E349" s="3212">
        <v>4170</v>
      </c>
      <c r="F349" s="3212">
        <v>710</v>
      </c>
      <c r="G349" s="3212">
        <v>2260</v>
      </c>
      <c r="J349" s="3201"/>
    </row>
    <row r="350" spans="1:10">
      <c r="A350" s="3212" t="s">
        <v>307</v>
      </c>
      <c r="B350" s="3212" t="s">
        <v>3146</v>
      </c>
      <c r="C350" s="3212">
        <v>3760</v>
      </c>
      <c r="D350" s="3212">
        <v>3730</v>
      </c>
      <c r="E350" s="3212">
        <v>4100</v>
      </c>
      <c r="F350" s="3212">
        <v>800</v>
      </c>
      <c r="G350" s="3212">
        <v>2230</v>
      </c>
      <c r="J350" s="3201"/>
    </row>
    <row r="351" spans="1:10">
      <c r="A351" s="3212" t="s">
        <v>307</v>
      </c>
      <c r="B351" s="3212" t="s">
        <v>2930</v>
      </c>
      <c r="C351" s="3212">
        <v>3610</v>
      </c>
      <c r="D351" s="3212">
        <v>3580</v>
      </c>
      <c r="E351" s="3212">
        <v>3930</v>
      </c>
      <c r="F351" s="3212">
        <v>700</v>
      </c>
      <c r="G351" s="3212">
        <v>2140</v>
      </c>
      <c r="J351" s="3201"/>
    </row>
    <row r="352" spans="1:10">
      <c r="A352" s="3212" t="s">
        <v>307</v>
      </c>
      <c r="B352" s="3212" t="s">
        <v>2935</v>
      </c>
      <c r="C352" s="3212">
        <v>3670</v>
      </c>
      <c r="D352" s="3212">
        <v>3630</v>
      </c>
      <c r="E352" s="3212">
        <v>4000</v>
      </c>
      <c r="F352" s="3212">
        <v>750</v>
      </c>
      <c r="G352" s="3212">
        <v>2180</v>
      </c>
    </row>
    <row r="353" spans="1:7" s="3205" customFormat="1">
      <c r="A353" s="3212" t="s">
        <v>307</v>
      </c>
      <c r="B353" s="3212" t="s">
        <v>3147</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2955</v>
      </c>
      <c r="C355" s="3212">
        <v>3650</v>
      </c>
      <c r="D355" s="3212">
        <v>3610</v>
      </c>
      <c r="E355" s="3212">
        <v>4200</v>
      </c>
      <c r="F355" s="3212">
        <v>640</v>
      </c>
      <c r="G355" s="3212">
        <v>2160</v>
      </c>
    </row>
    <row r="356" spans="1:7" s="3205" customFormat="1">
      <c r="A356" s="3212" t="s">
        <v>307</v>
      </c>
      <c r="B356" s="3212" t="s">
        <v>2962</v>
      </c>
      <c r="C356" s="3212">
        <v>3260</v>
      </c>
      <c r="D356" s="3212">
        <v>3230</v>
      </c>
      <c r="E356" s="3212">
        <v>3740</v>
      </c>
      <c r="F356" s="3212">
        <v>600</v>
      </c>
      <c r="G356" s="3212">
        <v>1930</v>
      </c>
    </row>
    <row r="357" spans="1:7" s="3205" customFormat="1" ht="12" thickBot="1">
      <c r="A357" s="3220" t="s">
        <v>307</v>
      </c>
      <c r="B357" s="3223" t="s">
        <v>3148</v>
      </c>
      <c r="C357" s="3223">
        <v>3690</v>
      </c>
      <c r="D357" s="3223">
        <v>3650</v>
      </c>
      <c r="E357" s="3223">
        <v>4020</v>
      </c>
      <c r="F357" s="3223">
        <v>700</v>
      </c>
      <c r="G357" s="3223">
        <v>2190</v>
      </c>
    </row>
    <row r="358" spans="1:7" s="3205" customFormat="1">
      <c r="A358" s="3217" t="s">
        <v>3149</v>
      </c>
      <c r="B358" s="3208" t="s">
        <v>3150</v>
      </c>
      <c r="C358" s="3208">
        <v>2080</v>
      </c>
      <c r="D358" s="3208">
        <v>2040</v>
      </c>
      <c r="E358" s="3208">
        <v>2010</v>
      </c>
      <c r="F358" s="3208">
        <v>530</v>
      </c>
      <c r="G358" s="3224">
        <v>1230</v>
      </c>
    </row>
    <row r="359" spans="1:7" s="3205" customFormat="1">
      <c r="A359" s="3212" t="s">
        <v>3149</v>
      </c>
      <c r="B359" s="3212" t="s">
        <v>3151</v>
      </c>
      <c r="C359" s="3212">
        <v>1850</v>
      </c>
      <c r="D359" s="3212">
        <v>1820</v>
      </c>
      <c r="E359" s="3212">
        <v>1780</v>
      </c>
      <c r="F359" s="3212">
        <v>520</v>
      </c>
      <c r="G359" s="3225">
        <v>1100</v>
      </c>
    </row>
    <row r="360" spans="1:7" s="3205" customFormat="1">
      <c r="A360" s="3212" t="s">
        <v>3149</v>
      </c>
      <c r="B360" s="3212" t="s">
        <v>3152</v>
      </c>
      <c r="C360" s="3212">
        <v>2020</v>
      </c>
      <c r="D360" s="3212">
        <v>1990</v>
      </c>
      <c r="E360" s="3212">
        <v>1950</v>
      </c>
      <c r="F360" s="3212">
        <v>500</v>
      </c>
      <c r="G360" s="3225">
        <v>1200</v>
      </c>
    </row>
    <row r="361" spans="1:7" s="3205" customFormat="1">
      <c r="A361" s="3212" t="s">
        <v>3149</v>
      </c>
      <c r="B361" s="3212" t="s">
        <v>153</v>
      </c>
      <c r="C361" s="3212">
        <v>2260</v>
      </c>
      <c r="D361" s="3212">
        <v>2220</v>
      </c>
      <c r="E361" s="3212">
        <v>2180</v>
      </c>
      <c r="F361" s="3212">
        <v>580</v>
      </c>
      <c r="G361" s="3225">
        <v>1340</v>
      </c>
    </row>
    <row r="362" spans="1:7" s="3205" customFormat="1">
      <c r="A362" s="3212" t="s">
        <v>3149</v>
      </c>
      <c r="B362" s="3212" t="s">
        <v>3153</v>
      </c>
      <c r="C362" s="3212">
        <v>2650</v>
      </c>
      <c r="D362" s="3212">
        <v>2610</v>
      </c>
      <c r="E362" s="3212">
        <v>2570</v>
      </c>
      <c r="F362" s="3212">
        <v>630</v>
      </c>
      <c r="G362" s="3225">
        <v>1570</v>
      </c>
    </row>
    <row r="363" spans="1:7" s="3205" customFormat="1">
      <c r="A363" s="3212" t="s">
        <v>3149</v>
      </c>
      <c r="B363" s="3212" t="s">
        <v>2874</v>
      </c>
      <c r="C363" s="3212">
        <v>2390</v>
      </c>
      <c r="D363" s="3212">
        <v>2360</v>
      </c>
      <c r="E363" s="3212">
        <v>2320</v>
      </c>
      <c r="F363" s="3212">
        <v>600</v>
      </c>
      <c r="G363" s="3225">
        <v>1420</v>
      </c>
    </row>
    <row r="364" spans="1:7" s="3205" customFormat="1">
      <c r="A364" s="3212" t="s">
        <v>3149</v>
      </c>
      <c r="B364" s="3212" t="s">
        <v>3154</v>
      </c>
      <c r="C364" s="3212">
        <v>2050</v>
      </c>
      <c r="D364" s="3212">
        <v>2030</v>
      </c>
      <c r="E364" s="3212">
        <v>1990</v>
      </c>
      <c r="F364" s="3212">
        <v>550</v>
      </c>
      <c r="G364" s="3225">
        <v>1220</v>
      </c>
    </row>
    <row r="365" spans="1:7" s="3205" customFormat="1">
      <c r="A365" s="3212" t="s">
        <v>3149</v>
      </c>
      <c r="B365" s="3212" t="s">
        <v>200</v>
      </c>
      <c r="C365" s="3212">
        <v>2140</v>
      </c>
      <c r="D365" s="3212">
        <v>2100</v>
      </c>
      <c r="E365" s="3212">
        <v>2060</v>
      </c>
      <c r="F365" s="3212">
        <v>540</v>
      </c>
      <c r="G365" s="3225">
        <v>1270</v>
      </c>
    </row>
    <row r="366" spans="1:7" s="3205" customFormat="1">
      <c r="A366" s="3212" t="s">
        <v>3149</v>
      </c>
      <c r="B366" s="3212" t="s">
        <v>2881</v>
      </c>
      <c r="C366" s="3212">
        <v>2410</v>
      </c>
      <c r="D366" s="3212">
        <v>2370</v>
      </c>
      <c r="E366" s="3212">
        <v>2330</v>
      </c>
      <c r="F366" s="3212">
        <v>570</v>
      </c>
      <c r="G366" s="3225">
        <v>1440</v>
      </c>
    </row>
    <row r="367" spans="1:7" s="3205" customFormat="1">
      <c r="A367" s="3212" t="s">
        <v>3149</v>
      </c>
      <c r="B367" s="3212" t="s">
        <v>3155</v>
      </c>
      <c r="C367" s="3212">
        <v>2300</v>
      </c>
      <c r="D367" s="3212">
        <v>2260</v>
      </c>
      <c r="E367" s="3212">
        <v>2220</v>
      </c>
      <c r="F367" s="3212">
        <v>560</v>
      </c>
      <c r="G367" s="3225">
        <v>1370</v>
      </c>
    </row>
    <row r="368" spans="1:7" s="3205" customFormat="1">
      <c r="A368" s="3212" t="s">
        <v>3149</v>
      </c>
      <c r="B368" s="3212" t="s">
        <v>3156</v>
      </c>
      <c r="C368" s="3212">
        <v>2430</v>
      </c>
      <c r="D368" s="3212">
        <v>2390</v>
      </c>
      <c r="E368" s="3212">
        <v>2350</v>
      </c>
      <c r="F368" s="3212">
        <v>570</v>
      </c>
      <c r="G368" s="3225">
        <v>1450</v>
      </c>
    </row>
    <row r="369" spans="1:7" s="3205" customFormat="1">
      <c r="A369" s="3212" t="s">
        <v>3149</v>
      </c>
      <c r="B369" s="3212" t="s">
        <v>214</v>
      </c>
      <c r="C369" s="3212">
        <v>2320</v>
      </c>
      <c r="D369" s="3212">
        <v>2290</v>
      </c>
      <c r="E369" s="3212">
        <v>2250</v>
      </c>
      <c r="F369" s="3212">
        <v>550</v>
      </c>
      <c r="G369" s="3225">
        <v>1380</v>
      </c>
    </row>
    <row r="370" spans="1:7" s="3205" customFormat="1">
      <c r="A370" s="3212" t="s">
        <v>3149</v>
      </c>
      <c r="B370" s="3212" t="s">
        <v>221</v>
      </c>
      <c r="C370" s="3212">
        <v>2190</v>
      </c>
      <c r="D370" s="3212">
        <v>2170</v>
      </c>
      <c r="E370" s="3212">
        <v>2130</v>
      </c>
      <c r="F370" s="3212">
        <v>530</v>
      </c>
      <c r="G370" s="3225">
        <v>1310</v>
      </c>
    </row>
    <row r="371" spans="1:7" s="3205" customFormat="1">
      <c r="A371" s="3212" t="s">
        <v>3149</v>
      </c>
      <c r="B371" s="3212" t="s">
        <v>229</v>
      </c>
      <c r="C371" s="3212">
        <v>2460</v>
      </c>
      <c r="D371" s="3212">
        <v>2420</v>
      </c>
      <c r="E371" s="3212">
        <v>2370</v>
      </c>
      <c r="F371" s="3212">
        <v>560</v>
      </c>
      <c r="G371" s="3225">
        <v>1470</v>
      </c>
    </row>
    <row r="372" spans="1:7" s="3205" customFormat="1">
      <c r="A372" s="3212" t="s">
        <v>3149</v>
      </c>
      <c r="B372" s="3212" t="s">
        <v>3157</v>
      </c>
      <c r="C372" s="3212">
        <v>2250</v>
      </c>
      <c r="D372" s="3212">
        <v>2210</v>
      </c>
      <c r="E372" s="3212">
        <v>2180</v>
      </c>
      <c r="F372" s="3212">
        <v>550</v>
      </c>
      <c r="G372" s="3225">
        <v>1340</v>
      </c>
    </row>
    <row r="373" spans="1:7" s="3205" customFormat="1">
      <c r="A373" s="3212" t="s">
        <v>3149</v>
      </c>
      <c r="B373" s="3212" t="s">
        <v>258</v>
      </c>
      <c r="C373" s="3212">
        <v>2210</v>
      </c>
      <c r="D373" s="3212">
        <v>2190</v>
      </c>
      <c r="E373" s="3212">
        <v>2150</v>
      </c>
      <c r="F373" s="3212">
        <v>530</v>
      </c>
      <c r="G373" s="3225">
        <v>1320</v>
      </c>
    </row>
    <row r="374" spans="1:7" s="3205" customFormat="1">
      <c r="A374" s="3212" t="s">
        <v>3149</v>
      </c>
      <c r="B374" s="3212" t="s">
        <v>266</v>
      </c>
      <c r="C374" s="3212">
        <v>2320</v>
      </c>
      <c r="D374" s="3212">
        <v>2280</v>
      </c>
      <c r="E374" s="3212">
        <v>2230</v>
      </c>
      <c r="F374" s="3212">
        <v>580</v>
      </c>
      <c r="G374" s="3225">
        <v>1380</v>
      </c>
    </row>
    <row r="375" spans="1:7" s="3205" customFormat="1">
      <c r="A375" s="3212" t="s">
        <v>3149</v>
      </c>
      <c r="B375" s="3212" t="s">
        <v>3158</v>
      </c>
      <c r="C375" s="3212">
        <v>2090</v>
      </c>
      <c r="D375" s="3212">
        <v>2050</v>
      </c>
      <c r="E375" s="3212">
        <v>2020</v>
      </c>
      <c r="F375" s="3212">
        <v>520</v>
      </c>
      <c r="G375" s="3225">
        <v>1240</v>
      </c>
    </row>
    <row r="376" spans="1:7" s="3205" customFormat="1">
      <c r="A376" s="3212" t="s">
        <v>3149</v>
      </c>
      <c r="B376" s="3212" t="s">
        <v>277</v>
      </c>
      <c r="C376" s="3212">
        <v>2010</v>
      </c>
      <c r="D376" s="3212">
        <v>1980</v>
      </c>
      <c r="E376" s="3212">
        <v>1940</v>
      </c>
      <c r="F376" s="3212">
        <v>540</v>
      </c>
      <c r="G376" s="3225">
        <v>1190</v>
      </c>
    </row>
    <row r="377" spans="1:7" s="3205" customFormat="1" ht="12" thickBot="1">
      <c r="A377" s="3220" t="s">
        <v>3149</v>
      </c>
      <c r="B377" s="3223" t="s">
        <v>2911</v>
      </c>
      <c r="C377" s="3223">
        <v>1930</v>
      </c>
      <c r="D377" s="3223">
        <v>1890</v>
      </c>
      <c r="E377" s="3223">
        <v>1860</v>
      </c>
      <c r="F377" s="3223">
        <v>530</v>
      </c>
      <c r="G377" s="3228">
        <v>1150</v>
      </c>
    </row>
    <row r="378" spans="1:7" s="3205" customFormat="1">
      <c r="A378" s="3229" t="s">
        <v>3159</v>
      </c>
      <c r="B378" s="3208" t="s">
        <v>3160</v>
      </c>
      <c r="C378" s="3208">
        <v>1520</v>
      </c>
      <c r="D378" s="3208">
        <v>1490</v>
      </c>
      <c r="E378" s="3208">
        <v>1460</v>
      </c>
      <c r="F378" s="3208">
        <v>460</v>
      </c>
      <c r="G378" s="3224">
        <v>940</v>
      </c>
    </row>
    <row r="379" spans="1:7" s="3205" customFormat="1">
      <c r="A379" s="3230" t="s">
        <v>3159</v>
      </c>
      <c r="B379" s="3212" t="s">
        <v>3161</v>
      </c>
      <c r="C379" s="3212">
        <v>1500</v>
      </c>
      <c r="D379" s="3212">
        <v>1470</v>
      </c>
      <c r="E379" s="3212">
        <v>1430</v>
      </c>
      <c r="F379" s="3212">
        <v>460</v>
      </c>
      <c r="G379" s="3225">
        <v>920</v>
      </c>
    </row>
    <row r="380" spans="1:7" s="3205" customFormat="1">
      <c r="A380" s="3230" t="s">
        <v>3159</v>
      </c>
      <c r="B380" s="3212" t="s">
        <v>3162</v>
      </c>
      <c r="C380" s="3212">
        <v>1620</v>
      </c>
      <c r="D380" s="3212">
        <v>1590</v>
      </c>
      <c r="E380" s="3212">
        <v>1560</v>
      </c>
      <c r="F380" s="3212">
        <v>480</v>
      </c>
      <c r="G380" s="3225">
        <v>1000</v>
      </c>
    </row>
    <row r="381" spans="1:7" s="3205" customFormat="1">
      <c r="A381" s="3230" t="s">
        <v>3159</v>
      </c>
      <c r="B381" s="3212" t="s">
        <v>3163</v>
      </c>
      <c r="C381" s="3212">
        <v>1460</v>
      </c>
      <c r="D381" s="3212">
        <v>1430</v>
      </c>
      <c r="E381" s="3212">
        <v>1390</v>
      </c>
      <c r="F381" s="3212">
        <v>450</v>
      </c>
      <c r="G381" s="3225">
        <v>900</v>
      </c>
    </row>
    <row r="382" spans="1:7" s="3205" customFormat="1">
      <c r="A382" s="3230" t="s">
        <v>3159</v>
      </c>
      <c r="B382" s="3212" t="s">
        <v>3164</v>
      </c>
      <c r="C382" s="3212">
        <v>1310</v>
      </c>
      <c r="D382" s="3212">
        <v>1280</v>
      </c>
      <c r="E382" s="3212">
        <v>1250</v>
      </c>
      <c r="F382" s="3212">
        <v>440</v>
      </c>
      <c r="G382" s="3225">
        <v>800</v>
      </c>
    </row>
    <row r="383" spans="1:7" s="3205" customFormat="1">
      <c r="A383" s="3230" t="s">
        <v>3159</v>
      </c>
      <c r="B383" s="3212" t="s">
        <v>3165</v>
      </c>
      <c r="C383" s="3212">
        <v>1260</v>
      </c>
      <c r="D383" s="3212">
        <v>1230</v>
      </c>
      <c r="E383" s="3212">
        <v>1200</v>
      </c>
      <c r="F383" s="3212">
        <v>420</v>
      </c>
      <c r="G383" s="3225">
        <v>770</v>
      </c>
    </row>
    <row r="384" spans="1:7" s="3205" customFormat="1" ht="12" thickBot="1">
      <c r="A384" s="3231" t="s">
        <v>3159</v>
      </c>
      <c r="B384" s="3219" t="s">
        <v>3166</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93" t="s">
        <v>3167</v>
      </c>
      <c r="B1" s="3793"/>
    </row>
    <row r="2" spans="1:7" ht="14.25" thickBot="1">
      <c r="A2" s="3234"/>
      <c r="B2" s="3234"/>
    </row>
    <row r="3" spans="1:7" ht="14.25" thickBot="1">
      <c r="A3" s="3234"/>
      <c r="B3" s="3234"/>
      <c r="C3" s="3235" t="s">
        <v>2797</v>
      </c>
      <c r="D3" s="3235" t="s">
        <v>2853</v>
      </c>
      <c r="E3" s="3235" t="s">
        <v>2799</v>
      </c>
      <c r="F3" s="3235" t="s">
        <v>2854</v>
      </c>
      <c r="G3" s="3235" t="s">
        <v>2617</v>
      </c>
    </row>
    <row r="4" spans="1:7" ht="14.25" thickBot="1">
      <c r="A4" s="3236" t="s">
        <v>2852</v>
      </c>
      <c r="B4" s="3237" t="s">
        <v>2858</v>
      </c>
      <c r="C4" s="3235"/>
      <c r="D4" s="3235"/>
      <c r="E4" s="3235"/>
      <c r="F4" s="3235"/>
      <c r="G4" s="3235"/>
    </row>
    <row r="5" spans="1:7">
      <c r="A5" s="3238" t="s">
        <v>2826</v>
      </c>
      <c r="B5" s="3239" t="s">
        <v>2840</v>
      </c>
      <c r="C5" s="3240">
        <v>9.8000000000000004E-2</v>
      </c>
      <c r="D5" s="3240">
        <v>8.6999999999999994E-2</v>
      </c>
      <c r="E5" s="3240">
        <v>8.6999999999999994E-2</v>
      </c>
      <c r="F5" s="3240">
        <v>9.8000000000000004E-2</v>
      </c>
      <c r="G5" s="3241">
        <v>9.5000000000000001E-2</v>
      </c>
    </row>
    <row r="6" spans="1:7">
      <c r="A6" s="3242" t="s">
        <v>144</v>
      </c>
      <c r="B6" s="3243" t="s">
        <v>2855</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2841</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2891</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2909</v>
      </c>
      <c r="C29" s="3252"/>
      <c r="D29" s="3248">
        <v>5.1999999999999998E-2</v>
      </c>
      <c r="E29" s="3248">
        <v>7.0000000000000007E-2</v>
      </c>
      <c r="F29" s="3252"/>
      <c r="G29" s="3250">
        <v>7.0999999999999994E-2</v>
      </c>
    </row>
    <row r="30" spans="1:7">
      <c r="A30" s="3253" t="s">
        <v>296</v>
      </c>
      <c r="B30" s="3239" t="s">
        <v>2842</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2828</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2912</v>
      </c>
      <c r="C50" s="3244">
        <v>9.8000000000000004E-2</v>
      </c>
      <c r="D50" s="3244">
        <v>7.2999999999999995E-2</v>
      </c>
      <c r="E50" s="3244">
        <v>7.0999999999999994E-2</v>
      </c>
      <c r="F50" s="3255"/>
      <c r="G50" s="3245">
        <v>7.2999999999999995E-2</v>
      </c>
    </row>
    <row r="51" spans="1:7">
      <c r="A51" s="3254" t="s">
        <v>296</v>
      </c>
      <c r="B51" s="3243" t="s">
        <v>2914</v>
      </c>
      <c r="C51" s="3244">
        <v>9.9000000000000005E-2</v>
      </c>
      <c r="D51" s="3244">
        <v>8.5000000000000006E-2</v>
      </c>
      <c r="E51" s="3244">
        <v>6.3E-2</v>
      </c>
      <c r="F51" s="3255"/>
      <c r="G51" s="3245">
        <v>9.6000000000000002E-2</v>
      </c>
    </row>
    <row r="52" spans="1:7">
      <c r="A52" s="3254" t="s">
        <v>296</v>
      </c>
      <c r="B52" s="3243" t="s">
        <v>2918</v>
      </c>
      <c r="C52" s="3244">
        <v>7.3999999999999996E-2</v>
      </c>
      <c r="D52" s="3244">
        <v>9.6000000000000002E-2</v>
      </c>
      <c r="E52" s="3244">
        <v>0.05</v>
      </c>
      <c r="F52" s="3255"/>
      <c r="G52" s="3245">
        <v>9.8000000000000004E-2</v>
      </c>
    </row>
    <row r="53" spans="1:7">
      <c r="A53" s="3254" t="s">
        <v>296</v>
      </c>
      <c r="B53" s="3243" t="s">
        <v>2923</v>
      </c>
      <c r="C53" s="3244">
        <v>8.5999999999999993E-2</v>
      </c>
      <c r="D53" s="3255"/>
      <c r="E53" s="3244">
        <v>9.1999999999999998E-2</v>
      </c>
      <c r="F53" s="3255"/>
      <c r="G53" s="3256"/>
    </row>
    <row r="54" spans="1:7" ht="14.25" thickBot="1">
      <c r="A54" s="3257" t="s">
        <v>296</v>
      </c>
      <c r="B54" s="3247" t="s">
        <v>2926</v>
      </c>
      <c r="C54" s="3248">
        <v>9.6000000000000002E-2</v>
      </c>
      <c r="D54" s="3249"/>
      <c r="E54" s="3258"/>
      <c r="F54" s="3249"/>
      <c r="G54" s="3259"/>
    </row>
    <row r="55" spans="1:7">
      <c r="A55" s="3253" t="s">
        <v>110</v>
      </c>
      <c r="B55" s="3239" t="s">
        <v>2843</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2924</v>
      </c>
      <c r="C78" s="3244">
        <v>0.1</v>
      </c>
      <c r="D78" s="3244">
        <v>8.5000000000000006E-2</v>
      </c>
      <c r="E78" s="3244">
        <v>9.6000000000000002E-2</v>
      </c>
      <c r="F78" s="3255"/>
      <c r="G78" s="3245">
        <v>9.6000000000000002E-2</v>
      </c>
    </row>
    <row r="79" spans="1:7">
      <c r="A79" s="3254" t="s">
        <v>110</v>
      </c>
      <c r="B79" s="3243" t="s">
        <v>2927</v>
      </c>
      <c r="C79" s="3244">
        <v>0.05</v>
      </c>
      <c r="D79" s="3244">
        <v>9.6000000000000002E-2</v>
      </c>
      <c r="E79" s="3244">
        <v>9.5000000000000001E-2</v>
      </c>
      <c r="F79" s="3255"/>
      <c r="G79" s="3245">
        <v>9.8000000000000004E-2</v>
      </c>
    </row>
    <row r="80" spans="1:7">
      <c r="A80" s="3254" t="s">
        <v>110</v>
      </c>
      <c r="B80" s="3243" t="s">
        <v>2931</v>
      </c>
      <c r="C80" s="3244">
        <v>8.5999999999999993E-2</v>
      </c>
      <c r="D80" s="3260"/>
      <c r="E80" s="3244">
        <v>0.1</v>
      </c>
      <c r="F80" s="3255"/>
      <c r="G80" s="3256"/>
    </row>
    <row r="81" spans="1:7">
      <c r="A81" s="3254" t="s">
        <v>110</v>
      </c>
      <c r="B81" s="3243" t="s">
        <v>2936</v>
      </c>
      <c r="C81" s="3244">
        <v>9.6000000000000002E-2</v>
      </c>
      <c r="D81" s="3255"/>
      <c r="E81" s="3244">
        <v>9.8000000000000004E-2</v>
      </c>
      <c r="F81" s="3255"/>
      <c r="G81" s="3256"/>
    </row>
    <row r="82" spans="1:7">
      <c r="A82" s="3254" t="s">
        <v>110</v>
      </c>
      <c r="B82" s="3243" t="s">
        <v>2943</v>
      </c>
      <c r="C82" s="3260"/>
      <c r="D82" s="3255"/>
      <c r="E82" s="3244">
        <v>7.6999999999999999E-2</v>
      </c>
      <c r="F82" s="3255"/>
      <c r="G82" s="3256"/>
    </row>
    <row r="83" spans="1:7">
      <c r="A83" s="3254" t="s">
        <v>110</v>
      </c>
      <c r="B83" s="3243" t="s">
        <v>2949</v>
      </c>
      <c r="C83" s="3255"/>
      <c r="D83" s="3255"/>
      <c r="E83" s="3255"/>
      <c r="F83" s="3244">
        <v>0.1</v>
      </c>
      <c r="G83" s="3261"/>
    </row>
    <row r="84" spans="1:7">
      <c r="A84" s="3254" t="s">
        <v>110</v>
      </c>
      <c r="B84" s="3243" t="s">
        <v>2956</v>
      </c>
      <c r="C84" s="3255"/>
      <c r="D84" s="3255"/>
      <c r="E84" s="3255"/>
      <c r="F84" s="3244">
        <v>0.1</v>
      </c>
      <c r="G84" s="3261"/>
    </row>
    <row r="85" spans="1:7">
      <c r="A85" s="3254" t="s">
        <v>110</v>
      </c>
      <c r="B85" s="3243" t="s">
        <v>2963</v>
      </c>
      <c r="C85" s="3255"/>
      <c r="D85" s="3255"/>
      <c r="E85" s="3255"/>
      <c r="F85" s="3244">
        <v>0.1</v>
      </c>
      <c r="G85" s="3261"/>
    </row>
    <row r="86" spans="1:7" ht="14.25" thickBot="1">
      <c r="A86" s="3257" t="s">
        <v>110</v>
      </c>
      <c r="B86" s="3247" t="s">
        <v>2968</v>
      </c>
      <c r="C86" s="3248">
        <v>9.8000000000000004E-2</v>
      </c>
      <c r="D86" s="3248">
        <v>9.8000000000000004E-2</v>
      </c>
      <c r="E86" s="3248">
        <v>9.6000000000000002E-2</v>
      </c>
      <c r="F86" s="3258"/>
      <c r="G86" s="3250">
        <v>0.1</v>
      </c>
    </row>
    <row r="87" spans="1:7">
      <c r="A87" s="3253" t="s">
        <v>303</v>
      </c>
      <c r="B87" s="3239" t="s">
        <v>2844</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2937</v>
      </c>
      <c r="C113" s="3244">
        <v>0.1</v>
      </c>
      <c r="D113" s="3244">
        <v>0.1</v>
      </c>
      <c r="E113" s="3255"/>
      <c r="F113" s="3255"/>
      <c r="G113" s="3245">
        <v>0.1</v>
      </c>
    </row>
    <row r="114" spans="1:7">
      <c r="A114" s="3254" t="s">
        <v>303</v>
      </c>
      <c r="B114" s="3243" t="s">
        <v>2944</v>
      </c>
      <c r="C114" s="3244">
        <v>9.7000000000000003E-2</v>
      </c>
      <c r="D114" s="3244">
        <v>9.7000000000000003E-2</v>
      </c>
      <c r="E114" s="3255"/>
      <c r="F114" s="3255"/>
      <c r="G114" s="3245">
        <v>9.9000000000000005E-2</v>
      </c>
    </row>
    <row r="115" spans="1:7">
      <c r="A115" s="3254" t="s">
        <v>303</v>
      </c>
      <c r="B115" s="3243" t="s">
        <v>2950</v>
      </c>
      <c r="C115" s="3244">
        <v>0.1</v>
      </c>
      <c r="D115" s="3244">
        <v>0.1</v>
      </c>
      <c r="E115" s="3255"/>
      <c r="F115" s="3255"/>
      <c r="G115" s="3245">
        <v>0.1</v>
      </c>
    </row>
    <row r="116" spans="1:7">
      <c r="A116" s="3254" t="s">
        <v>303</v>
      </c>
      <c r="B116" s="3243" t="s">
        <v>2957</v>
      </c>
      <c r="C116" s="3244">
        <v>0.1</v>
      </c>
      <c r="D116" s="3244">
        <v>0.1</v>
      </c>
      <c r="E116" s="3255"/>
      <c r="F116" s="3255"/>
      <c r="G116" s="3245">
        <v>0.1</v>
      </c>
    </row>
    <row r="117" spans="1:7">
      <c r="A117" s="3254" t="s">
        <v>303</v>
      </c>
      <c r="B117" s="3243" t="s">
        <v>2964</v>
      </c>
      <c r="C117" s="3244">
        <v>9.7000000000000003E-2</v>
      </c>
      <c r="D117" s="3244">
        <v>9.7000000000000003E-2</v>
      </c>
      <c r="E117" s="3255"/>
      <c r="F117" s="3255"/>
      <c r="G117" s="3245">
        <v>9.7000000000000003E-2</v>
      </c>
    </row>
    <row r="118" spans="1:7">
      <c r="A118" s="3254" t="s">
        <v>303</v>
      </c>
      <c r="B118" s="3243" t="s">
        <v>2969</v>
      </c>
      <c r="C118" s="3244">
        <v>0.1</v>
      </c>
      <c r="D118" s="3244">
        <v>0.1</v>
      </c>
      <c r="E118" s="3255"/>
      <c r="F118" s="3255"/>
      <c r="G118" s="3245">
        <v>0.1</v>
      </c>
    </row>
    <row r="119" spans="1:7">
      <c r="A119" s="3254" t="s">
        <v>303</v>
      </c>
      <c r="B119" s="3243" t="s">
        <v>2973</v>
      </c>
      <c r="C119" s="3244">
        <v>5.0999999999999997E-2</v>
      </c>
      <c r="D119" s="3244">
        <v>5.1999999999999998E-2</v>
      </c>
      <c r="E119" s="3255"/>
      <c r="F119" s="3260"/>
      <c r="G119" s="3245">
        <v>0.06</v>
      </c>
    </row>
    <row r="120" spans="1:7">
      <c r="A120" s="3254" t="s">
        <v>303</v>
      </c>
      <c r="B120" s="3243" t="s">
        <v>2977</v>
      </c>
      <c r="C120" s="3255"/>
      <c r="D120" s="3255"/>
      <c r="E120" s="3255"/>
      <c r="F120" s="3244">
        <v>0.1</v>
      </c>
      <c r="G120" s="3261"/>
    </row>
    <row r="121" spans="1:7">
      <c r="A121" s="3254" t="s">
        <v>303</v>
      </c>
      <c r="B121" s="3243" t="s">
        <v>2982</v>
      </c>
      <c r="C121" s="3255"/>
      <c r="D121" s="3255"/>
      <c r="E121" s="3255"/>
      <c r="F121" s="3244">
        <v>0.1</v>
      </c>
      <c r="G121" s="3261"/>
    </row>
    <row r="122" spans="1:7">
      <c r="A122" s="3254" t="s">
        <v>303</v>
      </c>
      <c r="B122" s="3243" t="s">
        <v>2987</v>
      </c>
      <c r="C122" s="3244">
        <v>0.1</v>
      </c>
      <c r="D122" s="3244">
        <v>0.1</v>
      </c>
      <c r="E122" s="3244">
        <v>9.8000000000000004E-2</v>
      </c>
      <c r="F122" s="3244">
        <v>0.1</v>
      </c>
      <c r="G122" s="3245">
        <v>0.1</v>
      </c>
    </row>
    <row r="123" spans="1:7">
      <c r="A123" s="3254" t="s">
        <v>303</v>
      </c>
      <c r="B123" s="3243" t="s">
        <v>2992</v>
      </c>
      <c r="C123" s="3244">
        <v>0.1</v>
      </c>
      <c r="D123" s="3244">
        <v>0.1</v>
      </c>
      <c r="E123" s="3244">
        <v>9.8000000000000004E-2</v>
      </c>
      <c r="F123" s="3244">
        <v>0.1</v>
      </c>
      <c r="G123" s="3245">
        <v>0.1</v>
      </c>
    </row>
    <row r="124" spans="1:7">
      <c r="A124" s="3254" t="s">
        <v>303</v>
      </c>
      <c r="B124" s="3243" t="s">
        <v>2997</v>
      </c>
      <c r="C124" s="3244">
        <v>0.1</v>
      </c>
      <c r="D124" s="3244">
        <v>0.1</v>
      </c>
      <c r="E124" s="3244">
        <v>9.8000000000000004E-2</v>
      </c>
      <c r="F124" s="3260"/>
      <c r="G124" s="3245">
        <v>0.1</v>
      </c>
    </row>
    <row r="125" spans="1:7">
      <c r="A125" s="3254" t="s">
        <v>303</v>
      </c>
      <c r="B125" s="3243" t="s">
        <v>3002</v>
      </c>
      <c r="C125" s="3244">
        <v>9.8000000000000004E-2</v>
      </c>
      <c r="D125" s="3244">
        <v>9.8000000000000004E-2</v>
      </c>
      <c r="E125" s="3244">
        <v>9.6000000000000002E-2</v>
      </c>
      <c r="F125" s="3260"/>
      <c r="G125" s="3245">
        <v>0.1</v>
      </c>
    </row>
    <row r="126" spans="1:7" ht="14.25" thickBot="1">
      <c r="A126" s="3257" t="s">
        <v>303</v>
      </c>
      <c r="B126" s="3247" t="s">
        <v>3168</v>
      </c>
      <c r="C126" s="3248">
        <v>0.1</v>
      </c>
      <c r="D126" s="3248">
        <v>0.1</v>
      </c>
      <c r="E126" s="3248">
        <v>9.8000000000000004E-2</v>
      </c>
      <c r="F126" s="3248">
        <v>0.1</v>
      </c>
      <c r="G126" s="3250">
        <v>0.1</v>
      </c>
    </row>
    <row r="127" spans="1:7">
      <c r="A127" s="3253" t="s">
        <v>29</v>
      </c>
      <c r="B127" s="3239" t="s">
        <v>2845</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2915</v>
      </c>
      <c r="C148" s="3244">
        <v>0.13</v>
      </c>
      <c r="D148" s="3244">
        <v>0.13</v>
      </c>
      <c r="E148" s="3244">
        <v>0.13</v>
      </c>
      <c r="F148" s="3255"/>
      <c r="G148" s="3245">
        <v>0.13</v>
      </c>
    </row>
    <row r="149" spans="1:7">
      <c r="A149" s="3254" t="s">
        <v>29</v>
      </c>
      <c r="B149" s="3243" t="s">
        <v>2919</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2938</v>
      </c>
      <c r="C153" s="3244">
        <v>0.13</v>
      </c>
      <c r="D153" s="3244">
        <v>0.13</v>
      </c>
      <c r="E153" s="3244">
        <v>0.13</v>
      </c>
      <c r="F153" s="3244">
        <v>0.13</v>
      </c>
      <c r="G153" s="3245">
        <v>0.13</v>
      </c>
    </row>
    <row r="154" spans="1:7">
      <c r="A154" s="3254" t="s">
        <v>29</v>
      </c>
      <c r="B154" s="3243" t="s">
        <v>2945</v>
      </c>
      <c r="C154" s="3244">
        <v>0.121</v>
      </c>
      <c r="D154" s="3244">
        <v>0.121</v>
      </c>
      <c r="E154" s="3244">
        <v>0.105</v>
      </c>
      <c r="F154" s="3244">
        <v>0.121</v>
      </c>
      <c r="G154" s="3245">
        <v>0.123</v>
      </c>
    </row>
    <row r="155" spans="1:7">
      <c r="A155" s="3254" t="s">
        <v>29</v>
      </c>
      <c r="B155" s="3243" t="s">
        <v>2951</v>
      </c>
      <c r="C155" s="3244">
        <v>0.1</v>
      </c>
      <c r="D155" s="3244">
        <v>0.1</v>
      </c>
      <c r="E155" s="3244">
        <v>0.1</v>
      </c>
      <c r="F155" s="3244">
        <v>0.1</v>
      </c>
      <c r="G155" s="3245">
        <v>0.1</v>
      </c>
    </row>
    <row r="156" spans="1:7">
      <c r="A156" s="3254" t="s">
        <v>29</v>
      </c>
      <c r="B156" s="3243" t="s">
        <v>2958</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2978</v>
      </c>
      <c r="C160" s="3244">
        <v>0.13</v>
      </c>
      <c r="D160" s="3244">
        <v>0.13</v>
      </c>
      <c r="E160" s="3244">
        <v>0.124</v>
      </c>
      <c r="F160" s="3244">
        <v>0.126</v>
      </c>
      <c r="G160" s="3245">
        <v>0.13</v>
      </c>
    </row>
    <row r="161" spans="1:7">
      <c r="A161" s="3254" t="s">
        <v>29</v>
      </c>
      <c r="B161" s="3243" t="s">
        <v>2983</v>
      </c>
      <c r="C161" s="3244">
        <v>0.13</v>
      </c>
      <c r="D161" s="3244">
        <v>0.13</v>
      </c>
      <c r="E161" s="3244">
        <v>0.124</v>
      </c>
      <c r="F161" s="3244">
        <v>0.127</v>
      </c>
      <c r="G161" s="3245">
        <v>0.13</v>
      </c>
    </row>
    <row r="162" spans="1:7">
      <c r="A162" s="3254" t="s">
        <v>29</v>
      </c>
      <c r="B162" s="3243" t="s">
        <v>2988</v>
      </c>
      <c r="C162" s="3244">
        <v>0.1</v>
      </c>
      <c r="D162" s="3244">
        <v>0.1</v>
      </c>
      <c r="E162" s="3244">
        <v>0.1</v>
      </c>
      <c r="F162" s="3244">
        <v>0.121</v>
      </c>
      <c r="G162" s="3245">
        <v>0.105</v>
      </c>
    </row>
    <row r="163" spans="1:7">
      <c r="A163" s="3254" t="s">
        <v>29</v>
      </c>
      <c r="B163" s="3243" t="s">
        <v>2993</v>
      </c>
      <c r="C163" s="3244">
        <v>0.1</v>
      </c>
      <c r="D163" s="3244">
        <v>0.1</v>
      </c>
      <c r="E163" s="3244">
        <v>0.1</v>
      </c>
      <c r="F163" s="3244">
        <v>0.1</v>
      </c>
      <c r="G163" s="3245">
        <v>0.1</v>
      </c>
    </row>
    <row r="164" spans="1:7">
      <c r="A164" s="3254" t="s">
        <v>29</v>
      </c>
      <c r="B164" s="3243" t="s">
        <v>2998</v>
      </c>
      <c r="C164" s="3260"/>
      <c r="D164" s="3260"/>
      <c r="E164" s="3260"/>
      <c r="F164" s="3244">
        <v>0.1</v>
      </c>
      <c r="G164" s="3256"/>
    </row>
    <row r="165" spans="1:7">
      <c r="A165" s="3254" t="s">
        <v>29</v>
      </c>
      <c r="B165" s="3243" t="s">
        <v>3169</v>
      </c>
      <c r="C165" s="3244">
        <v>0.126</v>
      </c>
      <c r="D165" s="3244">
        <v>0.126</v>
      </c>
      <c r="E165" s="3244">
        <v>0.11899999999999999</v>
      </c>
      <c r="F165" s="3244">
        <v>0.13</v>
      </c>
      <c r="G165" s="3245">
        <v>0.128</v>
      </c>
    </row>
    <row r="166" spans="1:7">
      <c r="A166" s="3254" t="s">
        <v>29</v>
      </c>
      <c r="B166" s="3243" t="s">
        <v>3008</v>
      </c>
      <c r="C166" s="3244">
        <v>0.129</v>
      </c>
      <c r="D166" s="3244">
        <v>0.129</v>
      </c>
      <c r="E166" s="3244">
        <v>0.123</v>
      </c>
      <c r="F166" s="3244">
        <v>0.128</v>
      </c>
      <c r="G166" s="3245">
        <v>0.13</v>
      </c>
    </row>
    <row r="167" spans="1:7">
      <c r="A167" s="3254" t="s">
        <v>29</v>
      </c>
      <c r="B167" s="3243" t="s">
        <v>3012</v>
      </c>
      <c r="C167" s="3244">
        <v>0.125</v>
      </c>
      <c r="D167" s="3244">
        <v>0.125</v>
      </c>
      <c r="E167" s="3244">
        <v>0.11700000000000001</v>
      </c>
      <c r="F167" s="3244">
        <v>0.13</v>
      </c>
      <c r="G167" s="3245">
        <v>0.126</v>
      </c>
    </row>
    <row r="168" spans="1:7">
      <c r="A168" s="3254" t="s">
        <v>29</v>
      </c>
      <c r="B168" s="3243" t="s">
        <v>3017</v>
      </c>
      <c r="C168" s="3244">
        <v>0.128</v>
      </c>
      <c r="D168" s="3244">
        <v>0.128</v>
      </c>
      <c r="E168" s="3244">
        <v>0.123</v>
      </c>
      <c r="F168" s="3255"/>
      <c r="G168" s="3245">
        <v>0.13</v>
      </c>
    </row>
    <row r="169" spans="1:7">
      <c r="A169" s="3254" t="s">
        <v>29</v>
      </c>
      <c r="B169" s="3243" t="s">
        <v>3170</v>
      </c>
      <c r="C169" s="3260"/>
      <c r="D169" s="3260"/>
      <c r="E169" s="3260"/>
      <c r="F169" s="3244">
        <v>0.05</v>
      </c>
      <c r="G169" s="3256"/>
    </row>
    <row r="170" spans="1:7">
      <c r="A170" s="3254" t="s">
        <v>29</v>
      </c>
      <c r="B170" s="3243" t="s">
        <v>3171</v>
      </c>
      <c r="C170" s="3260"/>
      <c r="D170" s="3260"/>
      <c r="E170" s="3260"/>
      <c r="F170" s="3244">
        <v>0.05</v>
      </c>
      <c r="G170" s="3256"/>
    </row>
    <row r="171" spans="1:7">
      <c r="A171" s="3254" t="s">
        <v>29</v>
      </c>
      <c r="B171" s="3243" t="s">
        <v>3172</v>
      </c>
      <c r="C171" s="3260"/>
      <c r="D171" s="3260"/>
      <c r="E171" s="3260"/>
      <c r="F171" s="3244">
        <v>0.05</v>
      </c>
      <c r="G171" s="3261"/>
    </row>
    <row r="172" spans="1:7">
      <c r="A172" s="3254" t="s">
        <v>29</v>
      </c>
      <c r="B172" s="3243" t="s">
        <v>3173</v>
      </c>
      <c r="C172" s="3260"/>
      <c r="D172" s="3260"/>
      <c r="E172" s="3260"/>
      <c r="F172" s="3244">
        <v>0.05</v>
      </c>
      <c r="G172" s="3261"/>
    </row>
    <row r="173" spans="1:7">
      <c r="A173" s="3254" t="s">
        <v>29</v>
      </c>
      <c r="B173" s="3243" t="s">
        <v>3174</v>
      </c>
      <c r="C173" s="3260"/>
      <c r="D173" s="3260"/>
      <c r="E173" s="3260"/>
      <c r="F173" s="3244">
        <v>0.05</v>
      </c>
      <c r="G173" s="3256"/>
    </row>
    <row r="174" spans="1:7">
      <c r="A174" s="3254" t="s">
        <v>29</v>
      </c>
      <c r="B174" s="3243" t="s">
        <v>3175</v>
      </c>
      <c r="C174" s="3260"/>
      <c r="D174" s="3260"/>
      <c r="E174" s="3260"/>
      <c r="F174" s="3244">
        <v>0.05</v>
      </c>
      <c r="G174" s="3256"/>
    </row>
    <row r="175" spans="1:7">
      <c r="A175" s="3254" t="s">
        <v>29</v>
      </c>
      <c r="B175" s="3243" t="s">
        <v>3176</v>
      </c>
      <c r="C175" s="3260"/>
      <c r="D175" s="3260"/>
      <c r="E175" s="3260"/>
      <c r="F175" s="3244">
        <v>0.05</v>
      </c>
      <c r="G175" s="3256"/>
    </row>
    <row r="176" spans="1:7">
      <c r="A176" s="3254" t="s">
        <v>29</v>
      </c>
      <c r="B176" s="3243" t="s">
        <v>3177</v>
      </c>
      <c r="C176" s="3260"/>
      <c r="D176" s="3260"/>
      <c r="E176" s="3260"/>
      <c r="F176" s="3244">
        <v>0.05</v>
      </c>
      <c r="G176" s="3256"/>
    </row>
    <row r="177" spans="1:7">
      <c r="A177" s="3254" t="s">
        <v>29</v>
      </c>
      <c r="B177" s="3243" t="s">
        <v>3178</v>
      </c>
      <c r="C177" s="3255"/>
      <c r="D177" s="3255"/>
      <c r="E177" s="3255"/>
      <c r="F177" s="3244">
        <v>0.05</v>
      </c>
      <c r="G177" s="3261"/>
    </row>
    <row r="178" spans="1:7">
      <c r="A178" s="3254" t="s">
        <v>29</v>
      </c>
      <c r="B178" s="3243" t="s">
        <v>3179</v>
      </c>
      <c r="C178" s="3255"/>
      <c r="D178" s="3255"/>
      <c r="E178" s="3255"/>
      <c r="F178" s="3244">
        <v>0.05</v>
      </c>
      <c r="G178" s="3261"/>
    </row>
    <row r="179" spans="1:7">
      <c r="A179" s="3254" t="s">
        <v>29</v>
      </c>
      <c r="B179" s="3243" t="s">
        <v>3180</v>
      </c>
      <c r="C179" s="3255"/>
      <c r="D179" s="3255"/>
      <c r="E179" s="3255"/>
      <c r="F179" s="3244">
        <v>0.05</v>
      </c>
      <c r="G179" s="3261"/>
    </row>
    <row r="180" spans="1:7">
      <c r="A180" s="3254" t="s">
        <v>29</v>
      </c>
      <c r="B180" s="3243" t="s">
        <v>3181</v>
      </c>
      <c r="C180" s="3255"/>
      <c r="D180" s="3255"/>
      <c r="E180" s="3255"/>
      <c r="F180" s="3244">
        <v>0.05</v>
      </c>
      <c r="G180" s="3261"/>
    </row>
    <row r="181" spans="1:7">
      <c r="A181" s="3254" t="s">
        <v>29</v>
      </c>
      <c r="B181" s="3243" t="s">
        <v>3182</v>
      </c>
      <c r="C181" s="3255"/>
      <c r="D181" s="3255"/>
      <c r="E181" s="3255"/>
      <c r="F181" s="3244">
        <v>0.05</v>
      </c>
      <c r="G181" s="3261"/>
    </row>
    <row r="182" spans="1:7">
      <c r="A182" s="3254" t="s">
        <v>29</v>
      </c>
      <c r="B182" s="3243" t="s">
        <v>3183</v>
      </c>
      <c r="C182" s="3255"/>
      <c r="D182" s="3255"/>
      <c r="E182" s="3255"/>
      <c r="F182" s="3244">
        <v>0.05</v>
      </c>
      <c r="G182" s="3261"/>
    </row>
    <row r="183" spans="1:7">
      <c r="A183" s="3254" t="s">
        <v>29</v>
      </c>
      <c r="B183" s="3243" t="s">
        <v>3184</v>
      </c>
      <c r="C183" s="3255"/>
      <c r="D183" s="3255"/>
      <c r="E183" s="3255"/>
      <c r="F183" s="3244">
        <v>0.05</v>
      </c>
      <c r="G183" s="3261"/>
    </row>
    <row r="184" spans="1:7">
      <c r="A184" s="3254" t="s">
        <v>29</v>
      </c>
      <c r="B184" s="3243" t="s">
        <v>3185</v>
      </c>
      <c r="C184" s="3255"/>
      <c r="D184" s="3255"/>
      <c r="E184" s="3255"/>
      <c r="F184" s="3244">
        <v>0.05</v>
      </c>
      <c r="G184" s="3261"/>
    </row>
    <row r="185" spans="1:7">
      <c r="A185" s="3254" t="s">
        <v>29</v>
      </c>
      <c r="B185" s="3243" t="s">
        <v>3186</v>
      </c>
      <c r="C185" s="3255"/>
      <c r="D185" s="3255"/>
      <c r="E185" s="3255"/>
      <c r="F185" s="3244">
        <v>0.05</v>
      </c>
      <c r="G185" s="3261"/>
    </row>
    <row r="186" spans="1:7">
      <c r="A186" s="3254" t="s">
        <v>29</v>
      </c>
      <c r="B186" s="3243" t="s">
        <v>3187</v>
      </c>
      <c r="C186" s="3255"/>
      <c r="D186" s="3255"/>
      <c r="E186" s="3255"/>
      <c r="F186" s="3244">
        <v>0.05</v>
      </c>
      <c r="G186" s="3261"/>
    </row>
    <row r="187" spans="1:7">
      <c r="A187" s="3254" t="s">
        <v>29</v>
      </c>
      <c r="B187" s="3243" t="s">
        <v>3188</v>
      </c>
      <c r="C187" s="3255"/>
      <c r="D187" s="3255"/>
      <c r="E187" s="3255"/>
      <c r="F187" s="3244">
        <v>0.05</v>
      </c>
      <c r="G187" s="3261"/>
    </row>
    <row r="188" spans="1:7">
      <c r="A188" s="3254" t="s">
        <v>29</v>
      </c>
      <c r="B188" s="3243" t="s">
        <v>3189</v>
      </c>
      <c r="C188" s="3255"/>
      <c r="D188" s="3255"/>
      <c r="E188" s="3255"/>
      <c r="F188" s="3244">
        <v>0.05</v>
      </c>
      <c r="G188" s="3261"/>
    </row>
    <row r="189" spans="1:7" ht="14.25" thickBot="1">
      <c r="A189" s="3257" t="s">
        <v>29</v>
      </c>
      <c r="B189" s="3247" t="s">
        <v>3190</v>
      </c>
      <c r="C189" s="3249"/>
      <c r="D189" s="3249"/>
      <c r="E189" s="3249"/>
      <c r="F189" s="3248">
        <v>0.05</v>
      </c>
      <c r="G189" s="3262"/>
    </row>
    <row r="190" spans="1:7">
      <c r="A190" s="3253" t="s">
        <v>304</v>
      </c>
      <c r="B190" s="3239" t="s">
        <v>2846</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2882</v>
      </c>
      <c r="C199" s="3244">
        <v>0.13</v>
      </c>
      <c r="D199" s="3244">
        <v>0.13</v>
      </c>
      <c r="E199" s="3244">
        <v>0.13</v>
      </c>
      <c r="F199" s="3244">
        <v>0.13</v>
      </c>
      <c r="G199" s="3245">
        <v>0.13</v>
      </c>
    </row>
    <row r="200" spans="1:7">
      <c r="A200" s="3254" t="s">
        <v>304</v>
      </c>
      <c r="B200" s="3243" t="s">
        <v>2885</v>
      </c>
      <c r="C200" s="3260"/>
      <c r="D200" s="3260"/>
      <c r="E200" s="3260"/>
      <c r="F200" s="3244">
        <v>0.13</v>
      </c>
      <c r="G200" s="3256"/>
    </row>
    <row r="201" spans="1:7">
      <c r="A201" s="3254" t="s">
        <v>304</v>
      </c>
      <c r="B201" s="3243" t="s">
        <v>2890</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2893</v>
      </c>
      <c r="C203" s="3244">
        <v>0.129</v>
      </c>
      <c r="D203" s="3244">
        <v>0.129</v>
      </c>
      <c r="E203" s="3244">
        <v>0.13</v>
      </c>
      <c r="F203" s="3244">
        <v>0.13</v>
      </c>
      <c r="G203" s="3245">
        <v>0.13</v>
      </c>
    </row>
    <row r="204" spans="1:7">
      <c r="A204" s="3254" t="s">
        <v>304</v>
      </c>
      <c r="B204" s="3243" t="s">
        <v>2896</v>
      </c>
      <c r="C204" s="3244">
        <v>0.129</v>
      </c>
      <c r="D204" s="3244">
        <v>0.129</v>
      </c>
      <c r="E204" s="3244">
        <v>0.123</v>
      </c>
      <c r="F204" s="3244">
        <v>0.13</v>
      </c>
      <c r="G204" s="3245">
        <v>0.13</v>
      </c>
    </row>
    <row r="205" spans="1:7">
      <c r="A205" s="3254" t="s">
        <v>304</v>
      </c>
      <c r="B205" s="3243" t="s">
        <v>2898</v>
      </c>
      <c r="C205" s="3244">
        <v>0.13</v>
      </c>
      <c r="D205" s="3244">
        <v>0.13</v>
      </c>
      <c r="E205" s="3244">
        <v>0.13</v>
      </c>
      <c r="F205" s="3244">
        <v>0.13</v>
      </c>
      <c r="G205" s="3245">
        <v>0.13</v>
      </c>
    </row>
    <row r="206" spans="1:7">
      <c r="A206" s="3254" t="s">
        <v>304</v>
      </c>
      <c r="B206" s="3243" t="s">
        <v>2901</v>
      </c>
      <c r="C206" s="3244">
        <v>0.13</v>
      </c>
      <c r="D206" s="3244">
        <v>0.13</v>
      </c>
      <c r="E206" s="3244">
        <v>0.13</v>
      </c>
      <c r="F206" s="3244">
        <v>0.128</v>
      </c>
      <c r="G206" s="3245">
        <v>0.13</v>
      </c>
    </row>
    <row r="207" spans="1:7">
      <c r="A207" s="3254" t="s">
        <v>304</v>
      </c>
      <c r="B207" s="3243" t="s">
        <v>2903</v>
      </c>
      <c r="C207" s="3244">
        <v>0.13</v>
      </c>
      <c r="D207" s="3244">
        <v>0.13</v>
      </c>
      <c r="E207" s="3244">
        <v>0.13</v>
      </c>
      <c r="F207" s="3244">
        <v>0.13</v>
      </c>
      <c r="G207" s="3245">
        <v>0.13</v>
      </c>
    </row>
    <row r="208" spans="1:7">
      <c r="A208" s="3254" t="s">
        <v>304</v>
      </c>
      <c r="B208" s="3243" t="s">
        <v>2906</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2913</v>
      </c>
      <c r="C210" s="3244">
        <v>0.121</v>
      </c>
      <c r="D210" s="3244">
        <v>0.121</v>
      </c>
      <c r="E210" s="3244">
        <v>0.125</v>
      </c>
      <c r="F210" s="3244">
        <v>0.13</v>
      </c>
      <c r="G210" s="3245">
        <v>0.123</v>
      </c>
    </row>
    <row r="211" spans="1:7">
      <c r="A211" s="3254" t="s">
        <v>304</v>
      </c>
      <c r="B211" s="3243" t="s">
        <v>2916</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2928</v>
      </c>
      <c r="C214" s="3244">
        <v>0.128</v>
      </c>
      <c r="D214" s="3244">
        <v>0.128</v>
      </c>
      <c r="E214" s="3244">
        <v>0.13</v>
      </c>
      <c r="F214" s="3244">
        <v>0.13</v>
      </c>
      <c r="G214" s="3245">
        <v>0.13</v>
      </c>
    </row>
    <row r="215" spans="1:7">
      <c r="A215" s="3254" t="s">
        <v>304</v>
      </c>
      <c r="B215" s="3243" t="s">
        <v>2932</v>
      </c>
      <c r="C215" s="3244">
        <v>0.13</v>
      </c>
      <c r="D215" s="3244">
        <v>0.13</v>
      </c>
      <c r="E215" s="3244">
        <v>0.13</v>
      </c>
      <c r="F215" s="3244">
        <v>0.129</v>
      </c>
      <c r="G215" s="3245">
        <v>0.13</v>
      </c>
    </row>
    <row r="216" spans="1:7">
      <c r="A216" s="3254" t="s">
        <v>304</v>
      </c>
      <c r="B216" s="3243" t="s">
        <v>2939</v>
      </c>
      <c r="C216" s="3244">
        <v>0.13</v>
      </c>
      <c r="D216" s="3244">
        <v>0.13</v>
      </c>
      <c r="E216" s="3244">
        <v>0.13</v>
      </c>
      <c r="F216" s="3244">
        <v>0.13</v>
      </c>
      <c r="G216" s="3245">
        <v>0.13</v>
      </c>
    </row>
    <row r="217" spans="1:7">
      <c r="A217" s="3254" t="s">
        <v>304</v>
      </c>
      <c r="B217" s="3243" t="s">
        <v>2946</v>
      </c>
      <c r="C217" s="3244">
        <v>0.129</v>
      </c>
      <c r="D217" s="3244">
        <v>0.129</v>
      </c>
      <c r="E217" s="3244">
        <v>0.13</v>
      </c>
      <c r="F217" s="3244">
        <v>0.13</v>
      </c>
      <c r="G217" s="3245">
        <v>0.13</v>
      </c>
    </row>
    <row r="218" spans="1:7">
      <c r="A218" s="3254" t="s">
        <v>304</v>
      </c>
      <c r="B218" s="3243" t="s">
        <v>2952</v>
      </c>
      <c r="C218" s="3255"/>
      <c r="D218" s="3255"/>
      <c r="E218" s="3255"/>
      <c r="F218" s="3244">
        <v>0.05</v>
      </c>
      <c r="G218" s="3261"/>
    </row>
    <row r="219" spans="1:7">
      <c r="A219" s="3254" t="s">
        <v>304</v>
      </c>
      <c r="B219" s="3243" t="s">
        <v>2959</v>
      </c>
      <c r="C219" s="3255"/>
      <c r="D219" s="3255"/>
      <c r="E219" s="3255"/>
      <c r="F219" s="3244">
        <v>0.05</v>
      </c>
      <c r="G219" s="3261"/>
    </row>
    <row r="220" spans="1:7">
      <c r="A220" s="3254" t="s">
        <v>304</v>
      </c>
      <c r="B220" s="3243" t="s">
        <v>2965</v>
      </c>
      <c r="C220" s="3255"/>
      <c r="D220" s="3255"/>
      <c r="E220" s="3255"/>
      <c r="F220" s="3244">
        <v>0.05</v>
      </c>
      <c r="G220" s="3261"/>
    </row>
    <row r="221" spans="1:7">
      <c r="A221" s="3254" t="s">
        <v>304</v>
      </c>
      <c r="B221" s="3243" t="s">
        <v>2970</v>
      </c>
      <c r="C221" s="3255"/>
      <c r="D221" s="3255"/>
      <c r="E221" s="3255"/>
      <c r="F221" s="3244">
        <v>0.05</v>
      </c>
      <c r="G221" s="3261"/>
    </row>
    <row r="222" spans="1:7">
      <c r="A222" s="3254" t="s">
        <v>304</v>
      </c>
      <c r="B222" s="3243" t="s">
        <v>2974</v>
      </c>
      <c r="C222" s="3255"/>
      <c r="D222" s="3255"/>
      <c r="E222" s="3255"/>
      <c r="F222" s="3244">
        <v>0.05</v>
      </c>
      <c r="G222" s="3261"/>
    </row>
    <row r="223" spans="1:7">
      <c r="A223" s="3254" t="s">
        <v>304</v>
      </c>
      <c r="B223" s="3243" t="s">
        <v>2979</v>
      </c>
      <c r="C223" s="3255"/>
      <c r="D223" s="3255"/>
      <c r="E223" s="3255"/>
      <c r="F223" s="3244">
        <v>0.05</v>
      </c>
      <c r="G223" s="3261"/>
    </row>
    <row r="224" spans="1:7">
      <c r="A224" s="3254" t="s">
        <v>304</v>
      </c>
      <c r="B224" s="3243" t="s">
        <v>2984</v>
      </c>
      <c r="C224" s="3255"/>
      <c r="D224" s="3255"/>
      <c r="E224" s="3255"/>
      <c r="F224" s="3244">
        <v>0.05</v>
      </c>
      <c r="G224" s="3261"/>
    </row>
    <row r="225" spans="1:7">
      <c r="A225" s="3254" t="s">
        <v>304</v>
      </c>
      <c r="B225" s="3243" t="s">
        <v>2989</v>
      </c>
      <c r="C225" s="3255"/>
      <c r="D225" s="3255"/>
      <c r="E225" s="3255"/>
      <c r="F225" s="3244">
        <v>0.05</v>
      </c>
      <c r="G225" s="3261"/>
    </row>
    <row r="226" spans="1:7">
      <c r="A226" s="3254" t="s">
        <v>304</v>
      </c>
      <c r="B226" s="3243" t="s">
        <v>3191</v>
      </c>
      <c r="C226" s="3255"/>
      <c r="D226" s="3255"/>
      <c r="E226" s="3255"/>
      <c r="F226" s="3244">
        <v>0.05</v>
      </c>
      <c r="G226" s="3261"/>
    </row>
    <row r="227" spans="1:7">
      <c r="A227" s="3254" t="s">
        <v>304</v>
      </c>
      <c r="B227" s="3243" t="s">
        <v>3192</v>
      </c>
      <c r="C227" s="3255"/>
      <c r="D227" s="3255"/>
      <c r="E227" s="3255"/>
      <c r="F227" s="3244">
        <v>0.05</v>
      </c>
      <c r="G227" s="3261"/>
    </row>
    <row r="228" spans="1:7">
      <c r="A228" s="3254" t="s">
        <v>304</v>
      </c>
      <c r="B228" s="3243" t="s">
        <v>3193</v>
      </c>
      <c r="C228" s="3255"/>
      <c r="D228" s="3255"/>
      <c r="E228" s="3255"/>
      <c r="F228" s="3244">
        <v>0.05</v>
      </c>
      <c r="G228" s="3261"/>
    </row>
    <row r="229" spans="1:7">
      <c r="A229" s="3254" t="s">
        <v>304</v>
      </c>
      <c r="B229" s="3243" t="s">
        <v>3194</v>
      </c>
      <c r="C229" s="3255"/>
      <c r="D229" s="3255"/>
      <c r="E229" s="3255"/>
      <c r="F229" s="3244">
        <v>0.05</v>
      </c>
      <c r="G229" s="3261"/>
    </row>
    <row r="230" spans="1:7">
      <c r="A230" s="3254" t="s">
        <v>304</v>
      </c>
      <c r="B230" s="3243" t="s">
        <v>3195</v>
      </c>
      <c r="C230" s="3255"/>
      <c r="D230" s="3255"/>
      <c r="E230" s="3255"/>
      <c r="F230" s="3244">
        <v>0.05</v>
      </c>
      <c r="G230" s="3261"/>
    </row>
    <row r="231" spans="1:7">
      <c r="A231" s="3254" t="s">
        <v>304</v>
      </c>
      <c r="B231" s="3243" t="s">
        <v>3196</v>
      </c>
      <c r="C231" s="3255"/>
      <c r="D231" s="3255"/>
      <c r="E231" s="3255"/>
      <c r="F231" s="3244">
        <v>0.05</v>
      </c>
      <c r="G231" s="3261"/>
    </row>
    <row r="232" spans="1:7">
      <c r="A232" s="3254" t="s">
        <v>304</v>
      </c>
      <c r="B232" s="3243" t="s">
        <v>3197</v>
      </c>
      <c r="C232" s="3255"/>
      <c r="D232" s="3255"/>
      <c r="E232" s="3255"/>
      <c r="F232" s="3244">
        <v>0.05</v>
      </c>
      <c r="G232" s="3261"/>
    </row>
    <row r="233" spans="1:7" ht="14.25" thickBot="1">
      <c r="A233" s="3257" t="s">
        <v>304</v>
      </c>
      <c r="B233" s="3247" t="s">
        <v>3198</v>
      </c>
      <c r="C233" s="3249"/>
      <c r="D233" s="3249"/>
      <c r="E233" s="3249"/>
      <c r="F233" s="3248">
        <v>0.05</v>
      </c>
      <c r="G233" s="3262"/>
    </row>
    <row r="234" spans="1:7">
      <c r="A234" s="3253" t="s">
        <v>305</v>
      </c>
      <c r="B234" s="3239" t="s">
        <v>2847</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2867</v>
      </c>
      <c r="C238" s="3244">
        <v>0.14899999999999999</v>
      </c>
      <c r="D238" s="3244">
        <v>0.14899999999999999</v>
      </c>
      <c r="E238" s="3244">
        <v>0.15</v>
      </c>
      <c r="F238" s="3244">
        <v>0.15</v>
      </c>
      <c r="G238" s="3245">
        <v>0.15</v>
      </c>
    </row>
    <row r="239" spans="1:7">
      <c r="A239" s="3254" t="s">
        <v>305</v>
      </c>
      <c r="B239" s="3243" t="s">
        <v>2871</v>
      </c>
      <c r="C239" s="3244">
        <v>0.15</v>
      </c>
      <c r="D239" s="3244">
        <v>0.15</v>
      </c>
      <c r="E239" s="3244">
        <v>0.15</v>
      </c>
      <c r="F239" s="3244">
        <v>0.15</v>
      </c>
      <c r="G239" s="3245">
        <v>0.15</v>
      </c>
    </row>
    <row r="240" spans="1:7">
      <c r="A240" s="3254" t="s">
        <v>305</v>
      </c>
      <c r="B240" s="3243" t="s">
        <v>2876</v>
      </c>
      <c r="C240" s="3244">
        <v>0.15</v>
      </c>
      <c r="D240" s="3244">
        <v>0.15</v>
      </c>
      <c r="E240" s="3244">
        <v>0.15</v>
      </c>
      <c r="F240" s="3244">
        <v>0.15</v>
      </c>
      <c r="G240" s="3245">
        <v>0.15</v>
      </c>
    </row>
    <row r="241" spans="1:7">
      <c r="A241" s="3254" t="s">
        <v>305</v>
      </c>
      <c r="B241" s="3243" t="s">
        <v>2880</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2886</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2894</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2899</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2907</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2920</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2929</v>
      </c>
      <c r="C258" s="3244">
        <v>0.14299999999999999</v>
      </c>
      <c r="D258" s="3244">
        <v>0.14299999999999999</v>
      </c>
      <c r="E258" s="3244">
        <v>0.15</v>
      </c>
      <c r="F258" s="3244">
        <v>0.14799999999999999</v>
      </c>
      <c r="G258" s="3245">
        <v>0.14599999999999999</v>
      </c>
    </row>
    <row r="259" spans="1:7">
      <c r="A259" s="3254" t="s">
        <v>305</v>
      </c>
      <c r="B259" s="3243" t="s">
        <v>2933</v>
      </c>
      <c r="C259" s="3244">
        <v>0.14399999999999999</v>
      </c>
      <c r="D259" s="3244">
        <v>0.14399999999999999</v>
      </c>
      <c r="E259" s="3244">
        <v>0.14899999999999999</v>
      </c>
      <c r="F259" s="3244">
        <v>0.14699999999999999</v>
      </c>
      <c r="G259" s="3245">
        <v>0.14599999999999999</v>
      </c>
    </row>
    <row r="260" spans="1:7">
      <c r="A260" s="3254" t="s">
        <v>305</v>
      </c>
      <c r="B260" s="3243" t="s">
        <v>2940</v>
      </c>
      <c r="C260" s="3244">
        <v>0.109</v>
      </c>
      <c r="D260" s="3244">
        <v>0.111</v>
      </c>
      <c r="E260" s="3244">
        <v>0.13100000000000001</v>
      </c>
      <c r="F260" s="3244">
        <v>0.126</v>
      </c>
      <c r="G260" s="3245">
        <v>0.11899999999999999</v>
      </c>
    </row>
    <row r="261" spans="1:7">
      <c r="A261" s="3254" t="s">
        <v>305</v>
      </c>
      <c r="B261" s="3243" t="s">
        <v>2947</v>
      </c>
      <c r="C261" s="3244">
        <v>0.1</v>
      </c>
      <c r="D261" s="3244">
        <v>0.1</v>
      </c>
      <c r="E261" s="3244">
        <v>0.11799999999999999</v>
      </c>
      <c r="F261" s="3244">
        <v>0.108</v>
      </c>
      <c r="G261" s="3245">
        <v>0.107</v>
      </c>
    </row>
    <row r="262" spans="1:7">
      <c r="A262" s="3254" t="s">
        <v>305</v>
      </c>
      <c r="B262" s="3243" t="s">
        <v>2953</v>
      </c>
      <c r="C262" s="3244">
        <v>0.1</v>
      </c>
      <c r="D262" s="3244">
        <v>0.1</v>
      </c>
      <c r="E262" s="3244">
        <v>0.1</v>
      </c>
      <c r="F262" s="3244">
        <v>0.14099999999999999</v>
      </c>
      <c r="G262" s="3245">
        <v>0.1</v>
      </c>
    </row>
    <row r="263" spans="1:7">
      <c r="A263" s="3254" t="s">
        <v>305</v>
      </c>
      <c r="B263" s="3243" t="s">
        <v>2960</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2971</v>
      </c>
      <c r="C265" s="3255"/>
      <c r="D265" s="3255"/>
      <c r="E265" s="3255"/>
      <c r="F265" s="3244">
        <v>0.05</v>
      </c>
      <c r="G265" s="3261"/>
    </row>
    <row r="266" spans="1:7">
      <c r="A266" s="3254" t="s">
        <v>305</v>
      </c>
      <c r="B266" s="3243" t="s">
        <v>2975</v>
      </c>
      <c r="C266" s="3255"/>
      <c r="D266" s="3255"/>
      <c r="E266" s="3255"/>
      <c r="F266" s="3244">
        <v>0.05</v>
      </c>
      <c r="G266" s="3261"/>
    </row>
    <row r="267" spans="1:7">
      <c r="A267" s="3254" t="s">
        <v>305</v>
      </c>
      <c r="B267" s="3243" t="s">
        <v>2980</v>
      </c>
      <c r="C267" s="3255"/>
      <c r="D267" s="3255"/>
      <c r="E267" s="3255"/>
      <c r="F267" s="3244">
        <v>0.05</v>
      </c>
      <c r="G267" s="3261"/>
    </row>
    <row r="268" spans="1:7">
      <c r="A268" s="3254" t="s">
        <v>305</v>
      </c>
      <c r="B268" s="3243" t="s">
        <v>2985</v>
      </c>
      <c r="C268" s="3255"/>
      <c r="D268" s="3255"/>
      <c r="E268" s="3255"/>
      <c r="F268" s="3244">
        <v>0.05</v>
      </c>
      <c r="G268" s="3261"/>
    </row>
    <row r="269" spans="1:7">
      <c r="A269" s="3254" t="s">
        <v>305</v>
      </c>
      <c r="B269" s="3243" t="s">
        <v>2990</v>
      </c>
      <c r="C269" s="3255"/>
      <c r="D269" s="3255"/>
      <c r="E269" s="3255"/>
      <c r="F269" s="3244">
        <v>0.05</v>
      </c>
      <c r="G269" s="3261"/>
    </row>
    <row r="270" spans="1:7">
      <c r="A270" s="3254" t="s">
        <v>305</v>
      </c>
      <c r="B270" s="3243" t="s">
        <v>2995</v>
      </c>
      <c r="C270" s="3255"/>
      <c r="D270" s="3255"/>
      <c r="E270" s="3255"/>
      <c r="F270" s="3244">
        <v>0.05</v>
      </c>
      <c r="G270" s="3261"/>
    </row>
    <row r="271" spans="1:7">
      <c r="A271" s="3254" t="s">
        <v>305</v>
      </c>
      <c r="B271" s="3243" t="s">
        <v>3199</v>
      </c>
      <c r="C271" s="3255"/>
      <c r="D271" s="3255"/>
      <c r="E271" s="3255"/>
      <c r="F271" s="3244">
        <v>0.05</v>
      </c>
      <c r="G271" s="3261"/>
    </row>
    <row r="272" spans="1:7">
      <c r="A272" s="3254" t="s">
        <v>305</v>
      </c>
      <c r="B272" s="3243" t="s">
        <v>3200</v>
      </c>
      <c r="C272" s="3255"/>
      <c r="D272" s="3255"/>
      <c r="E272" s="3255"/>
      <c r="F272" s="3244">
        <v>0.05</v>
      </c>
      <c r="G272" s="3261"/>
    </row>
    <row r="273" spans="1:7">
      <c r="A273" s="3254" t="s">
        <v>305</v>
      </c>
      <c r="B273" s="3243" t="s">
        <v>3201</v>
      </c>
      <c r="C273" s="3255"/>
      <c r="D273" s="3255"/>
      <c r="E273" s="3255"/>
      <c r="F273" s="3244">
        <v>0.05</v>
      </c>
      <c r="G273" s="3261"/>
    </row>
    <row r="274" spans="1:7">
      <c r="A274" s="3254" t="s">
        <v>305</v>
      </c>
      <c r="B274" s="3243" t="s">
        <v>3202</v>
      </c>
      <c r="C274" s="3255"/>
      <c r="D274" s="3255"/>
      <c r="E274" s="3255"/>
      <c r="F274" s="3244">
        <v>0.05</v>
      </c>
      <c r="G274" s="3261"/>
    </row>
    <row r="275" spans="1:7">
      <c r="A275" s="3254" t="s">
        <v>305</v>
      </c>
      <c r="B275" s="3243" t="s">
        <v>3203</v>
      </c>
      <c r="C275" s="3255"/>
      <c r="D275" s="3255"/>
      <c r="E275" s="3255"/>
      <c r="F275" s="3244">
        <v>0.05</v>
      </c>
      <c r="G275" s="3261"/>
    </row>
    <row r="276" spans="1:7" ht="14.25" thickBot="1">
      <c r="A276" s="3257" t="s">
        <v>305</v>
      </c>
      <c r="B276" s="3247" t="s">
        <v>3204</v>
      </c>
      <c r="C276" s="3249"/>
      <c r="D276" s="3249"/>
      <c r="E276" s="3249"/>
      <c r="F276" s="3248">
        <v>0.05</v>
      </c>
      <c r="G276" s="3262"/>
    </row>
    <row r="277" spans="1:7">
      <c r="A277" s="3253" t="s">
        <v>306</v>
      </c>
      <c r="B277" s="3239" t="s">
        <v>2848</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2860</v>
      </c>
      <c r="C279" s="3244">
        <v>0.15</v>
      </c>
      <c r="D279" s="3244">
        <v>0.15</v>
      </c>
      <c r="E279" s="3244">
        <v>0.15</v>
      </c>
      <c r="F279" s="3244">
        <v>0.15</v>
      </c>
      <c r="G279" s="3245">
        <v>0.15</v>
      </c>
    </row>
    <row r="280" spans="1:7">
      <c r="A280" s="3254" t="s">
        <v>306</v>
      </c>
      <c r="B280" s="3243" t="s">
        <v>2864</v>
      </c>
      <c r="C280" s="3244">
        <v>0.15</v>
      </c>
      <c r="D280" s="3244">
        <v>0.15</v>
      </c>
      <c r="E280" s="3244">
        <v>0.15</v>
      </c>
      <c r="F280" s="3244">
        <v>0.15</v>
      </c>
      <c r="G280" s="3245">
        <v>0.15</v>
      </c>
    </row>
    <row r="281" spans="1:7">
      <c r="A281" s="3254" t="s">
        <v>306</v>
      </c>
      <c r="B281" s="3243" t="s">
        <v>2868</v>
      </c>
      <c r="C281" s="3244">
        <v>0.15</v>
      </c>
      <c r="D281" s="3244">
        <v>0.15</v>
      </c>
      <c r="E281" s="3244">
        <v>0.15</v>
      </c>
      <c r="F281" s="3244">
        <v>0.15</v>
      </c>
      <c r="G281" s="3245">
        <v>0.15</v>
      </c>
    </row>
    <row r="282" spans="1:7">
      <c r="A282" s="3254" t="s">
        <v>306</v>
      </c>
      <c r="B282" s="3243" t="s">
        <v>2872</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2887</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2892</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2902</v>
      </c>
      <c r="C293" s="3244">
        <v>0.15</v>
      </c>
      <c r="D293" s="3244">
        <v>0.15</v>
      </c>
      <c r="E293" s="3244">
        <v>0.15</v>
      </c>
      <c r="F293" s="3244">
        <v>0.14499999999999999</v>
      </c>
      <c r="G293" s="3245">
        <v>0.15</v>
      </c>
    </row>
    <row r="294" spans="1:7">
      <c r="A294" s="3254" t="s">
        <v>306</v>
      </c>
      <c r="B294" s="3243" t="s">
        <v>2904</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2921</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2934</v>
      </c>
      <c r="C302" s="3244">
        <v>0.15</v>
      </c>
      <c r="D302" s="3244">
        <v>0.15</v>
      </c>
      <c r="E302" s="3244">
        <v>0.15</v>
      </c>
      <c r="F302" s="3244">
        <v>0.14699999999999999</v>
      </c>
      <c r="G302" s="3245">
        <v>0.15</v>
      </c>
    </row>
    <row r="303" spans="1:7">
      <c r="A303" s="3254" t="s">
        <v>306</v>
      </c>
      <c r="B303" s="3243" t="s">
        <v>2941</v>
      </c>
      <c r="C303" s="3244">
        <v>0.15</v>
      </c>
      <c r="D303" s="3244">
        <v>0.15</v>
      </c>
      <c r="E303" s="3244">
        <v>0.15</v>
      </c>
      <c r="F303" s="3244">
        <v>0.14199999999999999</v>
      </c>
      <c r="G303" s="3245">
        <v>0.15</v>
      </c>
    </row>
    <row r="304" spans="1:7">
      <c r="A304" s="3254" t="s">
        <v>306</v>
      </c>
      <c r="B304" s="3243" t="s">
        <v>2948</v>
      </c>
      <c r="C304" s="3244">
        <v>0.15</v>
      </c>
      <c r="D304" s="3244">
        <v>0.15</v>
      </c>
      <c r="E304" s="3244">
        <v>0.15</v>
      </c>
      <c r="F304" s="3244">
        <v>0.14499999999999999</v>
      </c>
      <c r="G304" s="3245">
        <v>0.15</v>
      </c>
    </row>
    <row r="305" spans="1:7">
      <c r="A305" s="3254" t="s">
        <v>306</v>
      </c>
      <c r="B305" s="3243" t="s">
        <v>2954</v>
      </c>
      <c r="C305" s="3244">
        <v>0.15</v>
      </c>
      <c r="D305" s="3244">
        <v>0.15</v>
      </c>
      <c r="E305" s="3244">
        <v>0.15</v>
      </c>
      <c r="F305" s="3244">
        <v>0.111</v>
      </c>
      <c r="G305" s="3245">
        <v>0.15</v>
      </c>
    </row>
    <row r="306" spans="1:7">
      <c r="A306" s="3254" t="s">
        <v>306</v>
      </c>
      <c r="B306" s="3243" t="s">
        <v>2961</v>
      </c>
      <c r="C306" s="3244">
        <v>0.15</v>
      </c>
      <c r="D306" s="3244">
        <v>0.15</v>
      </c>
      <c r="E306" s="3244">
        <v>0.15</v>
      </c>
      <c r="F306" s="3244">
        <v>0.126</v>
      </c>
      <c r="G306" s="3245">
        <v>0.15</v>
      </c>
    </row>
    <row r="307" spans="1:7">
      <c r="A307" s="3254" t="s">
        <v>306</v>
      </c>
      <c r="B307" s="3243" t="s">
        <v>2966</v>
      </c>
      <c r="C307" s="3244">
        <v>0.15</v>
      </c>
      <c r="D307" s="3244">
        <v>0.15</v>
      </c>
      <c r="E307" s="3244">
        <v>0.15</v>
      </c>
      <c r="F307" s="3244">
        <v>0.12</v>
      </c>
      <c r="G307" s="3245">
        <v>0.15</v>
      </c>
    </row>
    <row r="308" spans="1:7">
      <c r="A308" s="3254" t="s">
        <v>306</v>
      </c>
      <c r="B308" s="3243" t="s">
        <v>2972</v>
      </c>
      <c r="C308" s="3244">
        <v>0.15</v>
      </c>
      <c r="D308" s="3244">
        <v>0.15</v>
      </c>
      <c r="E308" s="3244">
        <v>0.15</v>
      </c>
      <c r="F308" s="3244">
        <v>0.13</v>
      </c>
      <c r="G308" s="3245">
        <v>0.15</v>
      </c>
    </row>
    <row r="309" spans="1:7">
      <c r="A309" s="3254" t="s">
        <v>306</v>
      </c>
      <c r="B309" s="3243" t="s">
        <v>2976</v>
      </c>
      <c r="C309" s="3244">
        <v>0.15</v>
      </c>
      <c r="D309" s="3244">
        <v>0.15</v>
      </c>
      <c r="E309" s="3244">
        <v>0.15</v>
      </c>
      <c r="F309" s="3244">
        <v>0.14099999999999999</v>
      </c>
      <c r="G309" s="3245">
        <v>0.15</v>
      </c>
    </row>
    <row r="310" spans="1:7">
      <c r="A310" s="3254" t="s">
        <v>306</v>
      </c>
      <c r="B310" s="3243" t="s">
        <v>2981</v>
      </c>
      <c r="C310" s="3244">
        <v>0.15</v>
      </c>
      <c r="D310" s="3244">
        <v>0.15</v>
      </c>
      <c r="E310" s="3244">
        <v>0.15</v>
      </c>
      <c r="F310" s="3244">
        <v>0.15</v>
      </c>
      <c r="G310" s="3245">
        <v>0.15</v>
      </c>
    </row>
    <row r="311" spans="1:7">
      <c r="A311" s="3254" t="s">
        <v>306</v>
      </c>
      <c r="B311" s="3243" t="s">
        <v>2986</v>
      </c>
      <c r="C311" s="3244">
        <v>0.13200000000000001</v>
      </c>
      <c r="D311" s="3244">
        <v>0.13300000000000001</v>
      </c>
      <c r="E311" s="3244">
        <v>0.14499999999999999</v>
      </c>
      <c r="F311" s="3244">
        <v>0.14199999999999999</v>
      </c>
      <c r="G311" s="3245">
        <v>0.14000000000000001</v>
      </c>
    </row>
    <row r="312" spans="1:7">
      <c r="A312" s="3254" t="s">
        <v>306</v>
      </c>
      <c r="B312" s="3243" t="s">
        <v>2991</v>
      </c>
      <c r="C312" s="3244">
        <v>0.13800000000000001</v>
      </c>
      <c r="D312" s="3244">
        <v>0.14000000000000001</v>
      </c>
      <c r="E312" s="3244">
        <v>0.14599999999999999</v>
      </c>
      <c r="F312" s="3244">
        <v>0.14899999999999999</v>
      </c>
      <c r="G312" s="3245">
        <v>0.14199999999999999</v>
      </c>
    </row>
    <row r="313" spans="1:7">
      <c r="A313" s="3254" t="s">
        <v>306</v>
      </c>
      <c r="B313" s="3243" t="s">
        <v>2996</v>
      </c>
      <c r="C313" s="3244">
        <v>0.125</v>
      </c>
      <c r="D313" s="3244">
        <v>0.127</v>
      </c>
      <c r="E313" s="3244">
        <v>0.14399999999999999</v>
      </c>
      <c r="F313" s="3244">
        <v>0.115</v>
      </c>
      <c r="G313" s="3245">
        <v>0.13600000000000001</v>
      </c>
    </row>
    <row r="314" spans="1:7">
      <c r="A314" s="3254" t="s">
        <v>306</v>
      </c>
      <c r="B314" s="3243" t="s">
        <v>3205</v>
      </c>
      <c r="C314" s="3260"/>
      <c r="D314" s="3260"/>
      <c r="E314" s="3260"/>
      <c r="F314" s="3244">
        <v>0.05</v>
      </c>
      <c r="G314" s="3261"/>
    </row>
    <row r="315" spans="1:7">
      <c r="A315" s="3254" t="s">
        <v>306</v>
      </c>
      <c r="B315" s="3243" t="s">
        <v>3206</v>
      </c>
      <c r="C315" s="3260"/>
      <c r="D315" s="3260"/>
      <c r="E315" s="3260"/>
      <c r="F315" s="3244">
        <v>0.05</v>
      </c>
      <c r="G315" s="3261"/>
    </row>
    <row r="316" spans="1:7">
      <c r="A316" s="3254" t="s">
        <v>306</v>
      </c>
      <c r="B316" s="3243" t="s">
        <v>3207</v>
      </c>
      <c r="C316" s="3255"/>
      <c r="D316" s="3255"/>
      <c r="E316" s="3255"/>
      <c r="F316" s="3244">
        <v>0.05</v>
      </c>
      <c r="G316" s="3261"/>
    </row>
    <row r="317" spans="1:7">
      <c r="A317" s="3254" t="s">
        <v>306</v>
      </c>
      <c r="B317" s="3243" t="s">
        <v>3208</v>
      </c>
      <c r="C317" s="3255"/>
      <c r="D317" s="3255"/>
      <c r="E317" s="3255"/>
      <c r="F317" s="3244">
        <v>0.05</v>
      </c>
      <c r="G317" s="3261"/>
    </row>
    <row r="318" spans="1:7">
      <c r="A318" s="3254" t="s">
        <v>306</v>
      </c>
      <c r="B318" s="3243" t="s">
        <v>3209</v>
      </c>
      <c r="C318" s="3255"/>
      <c r="D318" s="3255"/>
      <c r="E318" s="3255"/>
      <c r="F318" s="3244">
        <v>0.05</v>
      </c>
      <c r="G318" s="3261"/>
    </row>
    <row r="319" spans="1:7">
      <c r="A319" s="3254" t="s">
        <v>306</v>
      </c>
      <c r="B319" s="3243" t="s">
        <v>3210</v>
      </c>
      <c r="C319" s="3255"/>
      <c r="D319" s="3255"/>
      <c r="E319" s="3255"/>
      <c r="F319" s="3244">
        <v>0.05</v>
      </c>
      <c r="G319" s="3261"/>
    </row>
    <row r="320" spans="1:7">
      <c r="A320" s="3254" t="s">
        <v>306</v>
      </c>
      <c r="B320" s="3243" t="s">
        <v>3211</v>
      </c>
      <c r="C320" s="3255"/>
      <c r="D320" s="3255"/>
      <c r="E320" s="3255"/>
      <c r="F320" s="3244">
        <v>0.05</v>
      </c>
      <c r="G320" s="3261"/>
    </row>
    <row r="321" spans="1:7">
      <c r="A321" s="3254" t="s">
        <v>306</v>
      </c>
      <c r="B321" s="3243" t="s">
        <v>3212</v>
      </c>
      <c r="C321" s="3255"/>
      <c r="D321" s="3255"/>
      <c r="E321" s="3255"/>
      <c r="F321" s="3244">
        <v>0.05</v>
      </c>
      <c r="G321" s="3261"/>
    </row>
    <row r="322" spans="1:7">
      <c r="A322" s="3254" t="s">
        <v>306</v>
      </c>
      <c r="B322" s="3243" t="s">
        <v>3213</v>
      </c>
      <c r="C322" s="3255"/>
      <c r="D322" s="3255"/>
      <c r="E322" s="3255"/>
      <c r="F322" s="3244">
        <v>0.05</v>
      </c>
      <c r="G322" s="3261"/>
    </row>
    <row r="323" spans="1:7">
      <c r="A323" s="3254" t="s">
        <v>306</v>
      </c>
      <c r="B323" s="3243" t="s">
        <v>3214</v>
      </c>
      <c r="C323" s="3255"/>
      <c r="D323" s="3255"/>
      <c r="E323" s="3255"/>
      <c r="F323" s="3244">
        <v>0.05</v>
      </c>
      <c r="G323" s="3261"/>
    </row>
    <row r="324" spans="1:7">
      <c r="A324" s="3254" t="s">
        <v>306</v>
      </c>
      <c r="B324" s="3243" t="s">
        <v>3215</v>
      </c>
      <c r="C324" s="3255"/>
      <c r="D324" s="3255"/>
      <c r="E324" s="3255"/>
      <c r="F324" s="3244">
        <v>0.05</v>
      </c>
      <c r="G324" s="3261"/>
    </row>
    <row r="325" spans="1:7">
      <c r="A325" s="3254" t="s">
        <v>306</v>
      </c>
      <c r="B325" s="3243" t="s">
        <v>3216</v>
      </c>
      <c r="C325" s="3255"/>
      <c r="D325" s="3255"/>
      <c r="E325" s="3255"/>
      <c r="F325" s="3244">
        <v>0.05</v>
      </c>
      <c r="G325" s="3261"/>
    </row>
    <row r="326" spans="1:7" ht="14.25" thickBot="1">
      <c r="A326" s="3257" t="s">
        <v>306</v>
      </c>
      <c r="B326" s="3247" t="s">
        <v>3217</v>
      </c>
      <c r="C326" s="3249"/>
      <c r="D326" s="3249"/>
      <c r="E326" s="3249"/>
      <c r="F326" s="3248">
        <v>0.05</v>
      </c>
      <c r="G326" s="3262"/>
    </row>
    <row r="327" spans="1:7">
      <c r="A327" s="3253" t="s">
        <v>307</v>
      </c>
      <c r="B327" s="3239" t="s">
        <v>2849</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2861</v>
      </c>
      <c r="C329" s="3244">
        <v>0.15</v>
      </c>
      <c r="D329" s="3244">
        <v>0.15</v>
      </c>
      <c r="E329" s="3244">
        <v>0.15</v>
      </c>
      <c r="F329" s="3244">
        <v>0.15</v>
      </c>
      <c r="G329" s="3245">
        <v>0.15</v>
      </c>
    </row>
    <row r="330" spans="1:7">
      <c r="A330" s="3254" t="s">
        <v>307</v>
      </c>
      <c r="B330" s="3243" t="s">
        <v>2865</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2873</v>
      </c>
      <c r="C332" s="3244">
        <v>0.15</v>
      </c>
      <c r="D332" s="3244">
        <v>0.15</v>
      </c>
      <c r="E332" s="3244">
        <v>0.15</v>
      </c>
      <c r="F332" s="3244">
        <v>0.15</v>
      </c>
      <c r="G332" s="3245">
        <v>0.15</v>
      </c>
    </row>
    <row r="333" spans="1:7">
      <c r="A333" s="3254" t="s">
        <v>307</v>
      </c>
      <c r="B333" s="3243" t="s">
        <v>2877</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2883</v>
      </c>
      <c r="C336" s="3244">
        <v>0.15</v>
      </c>
      <c r="D336" s="3244">
        <v>0.15</v>
      </c>
      <c r="E336" s="3244">
        <v>0.15</v>
      </c>
      <c r="F336" s="3244">
        <v>0.14199999999999999</v>
      </c>
      <c r="G336" s="3245">
        <v>0.15</v>
      </c>
    </row>
    <row r="337" spans="1:7">
      <c r="A337" s="3254" t="s">
        <v>307</v>
      </c>
      <c r="B337" s="3243" t="s">
        <v>2888</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2895</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2900</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2908</v>
      </c>
      <c r="C345" s="3244">
        <v>0.15</v>
      </c>
      <c r="D345" s="3244">
        <v>0.15</v>
      </c>
      <c r="E345" s="3244">
        <v>0.15</v>
      </c>
      <c r="F345" s="3244">
        <v>0.13800000000000001</v>
      </c>
      <c r="G345" s="3245">
        <v>0.15</v>
      </c>
    </row>
    <row r="346" spans="1:7">
      <c r="A346" s="3254" t="s">
        <v>307</v>
      </c>
      <c r="B346" s="3243" t="s">
        <v>2910</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2917</v>
      </c>
      <c r="C348" s="3244">
        <v>0.15</v>
      </c>
      <c r="D348" s="3244">
        <v>0.15</v>
      </c>
      <c r="E348" s="3244">
        <v>0.15</v>
      </c>
      <c r="F348" s="3244">
        <v>0.14399999999999999</v>
      </c>
      <c r="G348" s="3245">
        <v>0.15</v>
      </c>
    </row>
    <row r="349" spans="1:7">
      <c r="A349" s="3254" t="s">
        <v>307</v>
      </c>
      <c r="B349" s="3243" t="s">
        <v>2922</v>
      </c>
      <c r="C349" s="3244">
        <v>0.15</v>
      </c>
      <c r="D349" s="3244">
        <v>0.15</v>
      </c>
      <c r="E349" s="3244">
        <v>0.15</v>
      </c>
      <c r="F349" s="3244">
        <v>0.15</v>
      </c>
      <c r="G349" s="3245">
        <v>0.15</v>
      </c>
    </row>
    <row r="350" spans="1:7">
      <c r="A350" s="3254" t="s">
        <v>307</v>
      </c>
      <c r="B350" s="3243" t="s">
        <v>2925</v>
      </c>
      <c r="C350" s="3244">
        <v>0.15</v>
      </c>
      <c r="D350" s="3244">
        <v>0.15</v>
      </c>
      <c r="E350" s="3244">
        <v>0.15</v>
      </c>
      <c r="F350" s="3244">
        <v>0.14699999999999999</v>
      </c>
      <c r="G350" s="3245">
        <v>0.15</v>
      </c>
    </row>
    <row r="351" spans="1:7">
      <c r="A351" s="3254" t="s">
        <v>307</v>
      </c>
      <c r="B351" s="3243" t="s">
        <v>2930</v>
      </c>
      <c r="C351" s="3244">
        <v>0.15</v>
      </c>
      <c r="D351" s="3244">
        <v>0.15</v>
      </c>
      <c r="E351" s="3244">
        <v>0.15</v>
      </c>
      <c r="F351" s="3244">
        <v>0.13</v>
      </c>
      <c r="G351" s="3245">
        <v>0.15</v>
      </c>
    </row>
    <row r="352" spans="1:7">
      <c r="A352" s="3254" t="s">
        <v>307</v>
      </c>
      <c r="B352" s="3243" t="s">
        <v>2935</v>
      </c>
      <c r="C352" s="3244">
        <v>0.15</v>
      </c>
      <c r="D352" s="3244">
        <v>0.15</v>
      </c>
      <c r="E352" s="3244">
        <v>0.15</v>
      </c>
      <c r="F352" s="3244">
        <v>0.14599999999999999</v>
      </c>
      <c r="G352" s="3245">
        <v>0.15</v>
      </c>
    </row>
    <row r="353" spans="1:7">
      <c r="A353" s="3254" t="s">
        <v>307</v>
      </c>
      <c r="B353" s="3243" t="s">
        <v>2942</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2955</v>
      </c>
      <c r="C355" s="3244">
        <v>0.15</v>
      </c>
      <c r="D355" s="3244">
        <v>0.15</v>
      </c>
      <c r="E355" s="3244">
        <v>0.15</v>
      </c>
      <c r="F355" s="3244">
        <v>0.15</v>
      </c>
      <c r="G355" s="3245">
        <v>0.15</v>
      </c>
    </row>
    <row r="356" spans="1:7">
      <c r="A356" s="3254" t="s">
        <v>307</v>
      </c>
      <c r="B356" s="3243" t="s">
        <v>2962</v>
      </c>
      <c r="C356" s="3244">
        <v>0.15</v>
      </c>
      <c r="D356" s="3244">
        <v>0.15</v>
      </c>
      <c r="E356" s="3244">
        <v>0.15</v>
      </c>
      <c r="F356" s="3244">
        <v>0.15</v>
      </c>
      <c r="G356" s="3245">
        <v>0.15</v>
      </c>
    </row>
    <row r="357" spans="1:7" ht="14.25" thickBot="1">
      <c r="A357" s="3257" t="s">
        <v>307</v>
      </c>
      <c r="B357" s="3247" t="s">
        <v>2967</v>
      </c>
      <c r="C357" s="3248">
        <v>0.126</v>
      </c>
      <c r="D357" s="3248">
        <v>0.127</v>
      </c>
      <c r="E357" s="3248">
        <v>0.14299999999999999</v>
      </c>
      <c r="F357" s="3248">
        <v>0.125</v>
      </c>
      <c r="G357" s="3250">
        <v>0.129</v>
      </c>
    </row>
    <row r="358" spans="1:7">
      <c r="A358" s="3253" t="s">
        <v>2836</v>
      </c>
      <c r="B358" s="3239" t="s">
        <v>2850</v>
      </c>
      <c r="C358" s="3240">
        <v>0.15</v>
      </c>
      <c r="D358" s="3240">
        <v>0.15</v>
      </c>
      <c r="E358" s="3240">
        <v>0.15</v>
      </c>
      <c r="F358" s="3240">
        <v>0.15</v>
      </c>
      <c r="G358" s="3241">
        <v>0.15</v>
      </c>
    </row>
    <row r="359" spans="1:7">
      <c r="A359" s="3254" t="s">
        <v>2836</v>
      </c>
      <c r="B359" s="3243" t="s">
        <v>2856</v>
      </c>
      <c r="C359" s="3244">
        <v>0.1</v>
      </c>
      <c r="D359" s="3244">
        <v>0.1</v>
      </c>
      <c r="E359" s="3244">
        <v>0.1</v>
      </c>
      <c r="F359" s="3244">
        <v>0.1</v>
      </c>
      <c r="G359" s="3245">
        <v>0.1</v>
      </c>
    </row>
    <row r="360" spans="1:7">
      <c r="A360" s="3254" t="s">
        <v>2836</v>
      </c>
      <c r="B360" s="3243" t="s">
        <v>2862</v>
      </c>
      <c r="C360" s="3244">
        <v>0.15</v>
      </c>
      <c r="D360" s="3244">
        <v>0.15</v>
      </c>
      <c r="E360" s="3244">
        <v>0.15</v>
      </c>
      <c r="F360" s="3244">
        <v>0.14899999999999999</v>
      </c>
      <c r="G360" s="3245">
        <v>0.15</v>
      </c>
    </row>
    <row r="361" spans="1:7">
      <c r="A361" s="3254" t="s">
        <v>2836</v>
      </c>
      <c r="B361" s="3243" t="s">
        <v>153</v>
      </c>
      <c r="C361" s="3244">
        <v>0.15</v>
      </c>
      <c r="D361" s="3244">
        <v>0.15</v>
      </c>
      <c r="E361" s="3244">
        <v>0.15</v>
      </c>
      <c r="F361" s="3244">
        <v>0.115</v>
      </c>
      <c r="G361" s="3245">
        <v>0.15</v>
      </c>
    </row>
    <row r="362" spans="1:7">
      <c r="A362" s="3254" t="s">
        <v>2836</v>
      </c>
      <c r="B362" s="3243" t="s">
        <v>2869</v>
      </c>
      <c r="C362" s="3244">
        <v>0.15</v>
      </c>
      <c r="D362" s="3244">
        <v>0.15</v>
      </c>
      <c r="E362" s="3244">
        <v>0.15</v>
      </c>
      <c r="F362" s="3244">
        <v>0.106</v>
      </c>
      <c r="G362" s="3245">
        <v>0.15</v>
      </c>
    </row>
    <row r="363" spans="1:7">
      <c r="A363" s="3254" t="s">
        <v>2836</v>
      </c>
      <c r="B363" s="3243" t="s">
        <v>2874</v>
      </c>
      <c r="C363" s="3244">
        <v>0.15</v>
      </c>
      <c r="D363" s="3244">
        <v>0.15</v>
      </c>
      <c r="E363" s="3244">
        <v>0.15</v>
      </c>
      <c r="F363" s="3244">
        <v>0.14699999999999999</v>
      </c>
      <c r="G363" s="3245">
        <v>0.15</v>
      </c>
    </row>
    <row r="364" spans="1:7">
      <c r="A364" s="3254" t="s">
        <v>2836</v>
      </c>
      <c r="B364" s="3243" t="s">
        <v>2878</v>
      </c>
      <c r="C364" s="3244">
        <v>0.15</v>
      </c>
      <c r="D364" s="3244">
        <v>0.15</v>
      </c>
      <c r="E364" s="3244">
        <v>0.15</v>
      </c>
      <c r="F364" s="3244">
        <v>0.14799999999999999</v>
      </c>
      <c r="G364" s="3245">
        <v>0.15</v>
      </c>
    </row>
    <row r="365" spans="1:7">
      <c r="A365" s="3254" t="s">
        <v>2836</v>
      </c>
      <c r="B365" s="3243" t="s">
        <v>200</v>
      </c>
      <c r="C365" s="3244">
        <v>0.15</v>
      </c>
      <c r="D365" s="3244">
        <v>0.15</v>
      </c>
      <c r="E365" s="3244">
        <v>0.15</v>
      </c>
      <c r="F365" s="3244">
        <v>0.15</v>
      </c>
      <c r="G365" s="3245">
        <v>0.15</v>
      </c>
    </row>
    <row r="366" spans="1:7">
      <c r="A366" s="3254" t="s">
        <v>2836</v>
      </c>
      <c r="B366" s="3243" t="s">
        <v>2881</v>
      </c>
      <c r="C366" s="3244">
        <v>0.15</v>
      </c>
      <c r="D366" s="3244">
        <v>0.15</v>
      </c>
      <c r="E366" s="3244">
        <v>0.15</v>
      </c>
      <c r="F366" s="3244">
        <v>0.15</v>
      </c>
      <c r="G366" s="3245">
        <v>0.15</v>
      </c>
    </row>
    <row r="367" spans="1:7">
      <c r="A367" s="3254" t="s">
        <v>2836</v>
      </c>
      <c r="B367" s="3243" t="s">
        <v>2884</v>
      </c>
      <c r="C367" s="3244">
        <v>0.15</v>
      </c>
      <c r="D367" s="3244">
        <v>0.15</v>
      </c>
      <c r="E367" s="3244">
        <v>0.15</v>
      </c>
      <c r="F367" s="3244">
        <v>0.14699999999999999</v>
      </c>
      <c r="G367" s="3245">
        <v>0.15</v>
      </c>
    </row>
    <row r="368" spans="1:7">
      <c r="A368" s="3254" t="s">
        <v>2836</v>
      </c>
      <c r="B368" s="3243" t="s">
        <v>2889</v>
      </c>
      <c r="C368" s="3244">
        <v>0.15</v>
      </c>
      <c r="D368" s="3244">
        <v>0.15</v>
      </c>
      <c r="E368" s="3244">
        <v>0.15</v>
      </c>
      <c r="F368" s="3244">
        <v>0.13600000000000001</v>
      </c>
      <c r="G368" s="3245">
        <v>0.15</v>
      </c>
    </row>
    <row r="369" spans="1:7">
      <c r="A369" s="3254" t="s">
        <v>2836</v>
      </c>
      <c r="B369" s="3243" t="s">
        <v>214</v>
      </c>
      <c r="C369" s="3244">
        <v>0.15</v>
      </c>
      <c r="D369" s="3244">
        <v>0.15</v>
      </c>
      <c r="E369" s="3244">
        <v>0.15</v>
      </c>
      <c r="F369" s="3244">
        <v>0.14399999999999999</v>
      </c>
      <c r="G369" s="3245">
        <v>0.15</v>
      </c>
    </row>
    <row r="370" spans="1:7">
      <c r="A370" s="3254" t="s">
        <v>2836</v>
      </c>
      <c r="B370" s="3243" t="s">
        <v>221</v>
      </c>
      <c r="C370" s="3244">
        <v>0.15</v>
      </c>
      <c r="D370" s="3244">
        <v>0.15</v>
      </c>
      <c r="E370" s="3244">
        <v>0.15</v>
      </c>
      <c r="F370" s="3244">
        <v>0.14599999999999999</v>
      </c>
      <c r="G370" s="3245">
        <v>0.15</v>
      </c>
    </row>
    <row r="371" spans="1:7">
      <c r="A371" s="3254" t="s">
        <v>2836</v>
      </c>
      <c r="B371" s="3243" t="s">
        <v>229</v>
      </c>
      <c r="C371" s="3244">
        <v>0.15</v>
      </c>
      <c r="D371" s="3244">
        <v>0.15</v>
      </c>
      <c r="E371" s="3244">
        <v>0.15</v>
      </c>
      <c r="F371" s="3244">
        <v>0.12</v>
      </c>
      <c r="G371" s="3245">
        <v>0.15</v>
      </c>
    </row>
    <row r="372" spans="1:7">
      <c r="A372" s="3254" t="s">
        <v>2836</v>
      </c>
      <c r="B372" s="3243" t="s">
        <v>2897</v>
      </c>
      <c r="C372" s="3244">
        <v>0.15</v>
      </c>
      <c r="D372" s="3244">
        <v>0.15</v>
      </c>
      <c r="E372" s="3244">
        <v>0.15</v>
      </c>
      <c r="F372" s="3244">
        <v>0.14299999999999999</v>
      </c>
      <c r="G372" s="3245">
        <v>0.15</v>
      </c>
    </row>
    <row r="373" spans="1:7">
      <c r="A373" s="3254" t="s">
        <v>2836</v>
      </c>
      <c r="B373" s="3243" t="s">
        <v>258</v>
      </c>
      <c r="C373" s="3244">
        <v>0.15</v>
      </c>
      <c r="D373" s="3244">
        <v>0.15</v>
      </c>
      <c r="E373" s="3244">
        <v>0.15</v>
      </c>
      <c r="F373" s="3244">
        <v>0.14599999999999999</v>
      </c>
      <c r="G373" s="3245">
        <v>0.15</v>
      </c>
    </row>
    <row r="374" spans="1:7">
      <c r="A374" s="3254" t="s">
        <v>2836</v>
      </c>
      <c r="B374" s="3243" t="s">
        <v>266</v>
      </c>
      <c r="C374" s="3244">
        <v>0.15</v>
      </c>
      <c r="D374" s="3244">
        <v>0.15</v>
      </c>
      <c r="E374" s="3244">
        <v>0.15</v>
      </c>
      <c r="F374" s="3244">
        <v>0.14399999999999999</v>
      </c>
      <c r="G374" s="3245">
        <v>0.15</v>
      </c>
    </row>
    <row r="375" spans="1:7">
      <c r="A375" s="3254" t="s">
        <v>2836</v>
      </c>
      <c r="B375" s="3243" t="s">
        <v>2905</v>
      </c>
      <c r="C375" s="3244">
        <v>0.15</v>
      </c>
      <c r="D375" s="3244">
        <v>0.15</v>
      </c>
      <c r="E375" s="3244">
        <v>0.15</v>
      </c>
      <c r="F375" s="3244">
        <v>0.13</v>
      </c>
      <c r="G375" s="3245">
        <v>0.15</v>
      </c>
    </row>
    <row r="376" spans="1:7">
      <c r="A376" s="3254" t="s">
        <v>2836</v>
      </c>
      <c r="B376" s="3243" t="s">
        <v>277</v>
      </c>
      <c r="C376" s="3244">
        <v>0.15</v>
      </c>
      <c r="D376" s="3244">
        <v>0.15</v>
      </c>
      <c r="E376" s="3244">
        <v>0.15</v>
      </c>
      <c r="F376" s="3244">
        <v>0.14199999999999999</v>
      </c>
      <c r="G376" s="3245">
        <v>0.15</v>
      </c>
    </row>
    <row r="377" spans="1:7" ht="14.25" thickBot="1">
      <c r="A377" s="3257" t="s">
        <v>2836</v>
      </c>
      <c r="B377" s="3247" t="s">
        <v>2911</v>
      </c>
      <c r="C377" s="3248">
        <v>0.15</v>
      </c>
      <c r="D377" s="3248">
        <v>0.15</v>
      </c>
      <c r="E377" s="3248">
        <v>0.15</v>
      </c>
      <c r="F377" s="3248">
        <v>0.14000000000000001</v>
      </c>
      <c r="G377" s="3250">
        <v>0.15</v>
      </c>
    </row>
    <row r="378" spans="1:7">
      <c r="A378" s="3253" t="s">
        <v>2837</v>
      </c>
      <c r="B378" s="3239" t="s">
        <v>2851</v>
      </c>
      <c r="C378" s="3240">
        <v>0.15</v>
      </c>
      <c r="D378" s="3240">
        <v>0.15</v>
      </c>
      <c r="E378" s="3240">
        <v>0.15</v>
      </c>
      <c r="F378" s="3240">
        <v>0.107</v>
      </c>
      <c r="G378" s="3241">
        <v>0.15</v>
      </c>
    </row>
    <row r="379" spans="1:7">
      <c r="A379" s="3254" t="s">
        <v>2837</v>
      </c>
      <c r="B379" s="3243" t="s">
        <v>2857</v>
      </c>
      <c r="C379" s="3244">
        <v>0.15</v>
      </c>
      <c r="D379" s="3244">
        <v>0.15</v>
      </c>
      <c r="E379" s="3244">
        <v>0.15</v>
      </c>
      <c r="F379" s="3244">
        <v>0.115</v>
      </c>
      <c r="G379" s="3245">
        <v>0.14899999999999999</v>
      </c>
    </row>
    <row r="380" spans="1:7">
      <c r="A380" s="3254" t="s">
        <v>2837</v>
      </c>
      <c r="B380" s="3243" t="s">
        <v>2863</v>
      </c>
      <c r="C380" s="3244">
        <v>0.15</v>
      </c>
      <c r="D380" s="3244">
        <v>0.15</v>
      </c>
      <c r="E380" s="3244">
        <v>0.15</v>
      </c>
      <c r="F380" s="3244">
        <v>0.1</v>
      </c>
      <c r="G380" s="3245">
        <v>0.14799999999999999</v>
      </c>
    </row>
    <row r="381" spans="1:7">
      <c r="A381" s="3254" t="s">
        <v>2837</v>
      </c>
      <c r="B381" s="3243" t="s">
        <v>2866</v>
      </c>
      <c r="C381" s="3244">
        <v>0.15</v>
      </c>
      <c r="D381" s="3244">
        <v>0.15</v>
      </c>
      <c r="E381" s="3244">
        <v>0.15</v>
      </c>
      <c r="F381" s="3244">
        <v>0.126</v>
      </c>
      <c r="G381" s="3245">
        <v>0.15</v>
      </c>
    </row>
    <row r="382" spans="1:7">
      <c r="A382" s="3254" t="s">
        <v>2837</v>
      </c>
      <c r="B382" s="3243" t="s">
        <v>2870</v>
      </c>
      <c r="C382" s="3244">
        <v>0.15</v>
      </c>
      <c r="D382" s="3244">
        <v>0.15</v>
      </c>
      <c r="E382" s="3244">
        <v>0.15</v>
      </c>
      <c r="F382" s="3244">
        <v>0.15</v>
      </c>
      <c r="G382" s="3245">
        <v>0.15</v>
      </c>
    </row>
    <row r="383" spans="1:7">
      <c r="A383" s="3254" t="s">
        <v>2837</v>
      </c>
      <c r="B383" s="3243" t="s">
        <v>2875</v>
      </c>
      <c r="C383" s="3244">
        <v>0.15</v>
      </c>
      <c r="D383" s="3244">
        <v>0.15</v>
      </c>
      <c r="E383" s="3244">
        <v>0.15</v>
      </c>
      <c r="F383" s="3244">
        <v>0.14699999999999999</v>
      </c>
      <c r="G383" s="3245">
        <v>0.15</v>
      </c>
    </row>
    <row r="384" spans="1:7" ht="14.25" thickBot="1">
      <c r="A384" s="3264" t="s">
        <v>2837</v>
      </c>
      <c r="B384" s="3265" t="s">
        <v>2879</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94" t="s">
        <v>3218</v>
      </c>
      <c r="B1" s="3794"/>
      <c r="C1" s="3794"/>
      <c r="D1" s="3794"/>
      <c r="E1" s="3794"/>
      <c r="F1" s="3795"/>
    </row>
    <row r="2" spans="1:6">
      <c r="A2" s="3270" t="s">
        <v>3219</v>
      </c>
      <c r="B2" s="3271"/>
      <c r="C2" s="3271"/>
      <c r="D2" s="3271"/>
      <c r="E2" s="3271"/>
      <c r="F2" s="3271"/>
    </row>
    <row r="3" spans="1:6">
      <c r="A3" s="3270" t="s">
        <v>3220</v>
      </c>
      <c r="B3" s="3271"/>
      <c r="C3" s="3271"/>
      <c r="D3" s="3271"/>
      <c r="E3" s="3271"/>
      <c r="F3" s="3272" t="s">
        <v>3221</v>
      </c>
    </row>
    <row r="4" spans="1:6">
      <c r="A4" s="3273" t="s">
        <v>672</v>
      </c>
      <c r="B4" s="3273" t="s">
        <v>673</v>
      </c>
      <c r="C4" s="3273" t="s">
        <v>21</v>
      </c>
      <c r="D4" s="3273" t="s">
        <v>674</v>
      </c>
      <c r="E4" s="3273" t="s">
        <v>3</v>
      </c>
      <c r="F4" s="3273" t="s">
        <v>3222</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0">
        <f>基准地价修正!G23</f>
        <v>45421</v>
      </c>
      <c r="B1" s="3189" t="s">
        <v>3357</v>
      </c>
      <c r="C1" s="3190"/>
      <c r="D1" s="3190"/>
      <c r="E1" s="3190"/>
      <c r="F1" s="3190"/>
      <c r="G1" s="3190"/>
      <c r="H1" s="3190"/>
      <c r="I1" s="3190"/>
      <c r="J1" s="3144"/>
      <c r="K1" s="3190" t="s">
        <v>454</v>
      </c>
      <c r="L1" s="3190"/>
      <c r="M1" s="3190"/>
      <c r="N1" s="3190"/>
      <c r="O1" s="3190"/>
      <c r="P1" s="3190"/>
      <c r="Q1" s="3144"/>
      <c r="R1" s="3796" t="s">
        <v>456</v>
      </c>
      <c r="S1" s="3797"/>
      <c r="T1" s="3797"/>
      <c r="U1" s="3797"/>
      <c r="V1" s="3797"/>
      <c r="W1" s="3797"/>
      <c r="X1" s="3144"/>
      <c r="Y1" s="3796" t="s">
        <v>457</v>
      </c>
      <c r="Z1" s="3797"/>
      <c r="AA1" s="3797"/>
      <c r="AB1" s="3797"/>
      <c r="AC1" s="3797"/>
      <c r="AD1" s="3797"/>
    </row>
    <row r="2" spans="1:30" s="3122" customFormat="1" ht="14.25" thickBot="1">
      <c r="B2" s="3123"/>
      <c r="C2" s="3124"/>
      <c r="D2" s="3125" t="s">
        <v>2796</v>
      </c>
      <c r="E2" s="3126" t="s">
        <v>2797</v>
      </c>
      <c r="F2" s="3126" t="s">
        <v>2798</v>
      </c>
      <c r="G2" s="3126" t="s">
        <v>2799</v>
      </c>
      <c r="H2" s="3126" t="s">
        <v>2800</v>
      </c>
      <c r="I2" s="3126" t="s">
        <v>2617</v>
      </c>
      <c r="J2" s="3127"/>
      <c r="K2" s="3125" t="s">
        <v>2796</v>
      </c>
      <c r="L2" s="3126" t="s">
        <v>2797</v>
      </c>
      <c r="M2" s="3126" t="s">
        <v>2798</v>
      </c>
      <c r="N2" s="3126" t="s">
        <v>2799</v>
      </c>
      <c r="O2" s="3126" t="s">
        <v>2801</v>
      </c>
      <c r="P2" s="3126" t="s">
        <v>2617</v>
      </c>
      <c r="Q2" s="3127"/>
      <c r="R2" s="3125" t="s">
        <v>2796</v>
      </c>
      <c r="S2" s="3126" t="s">
        <v>2797</v>
      </c>
      <c r="T2" s="3126" t="s">
        <v>2798</v>
      </c>
      <c r="U2" s="3126" t="s">
        <v>2802</v>
      </c>
      <c r="V2" s="3126" t="s">
        <v>2803</v>
      </c>
      <c r="W2" s="3126" t="s">
        <v>2617</v>
      </c>
      <c r="X2" s="3127"/>
      <c r="Y2" s="3125" t="s">
        <v>2796</v>
      </c>
      <c r="Z2" s="3126" t="s">
        <v>2797</v>
      </c>
      <c r="AA2" s="3126" t="s">
        <v>2798</v>
      </c>
      <c r="AB2" s="3126" t="s">
        <v>2804</v>
      </c>
      <c r="AC2" s="3126" t="s">
        <v>2803</v>
      </c>
      <c r="AD2" s="3126" t="s">
        <v>2617</v>
      </c>
    </row>
    <row r="3" spans="1:30" s="3140" customFormat="1" ht="12.75">
      <c r="A3" s="3128" t="s">
        <v>2805</v>
      </c>
      <c r="B3" s="3129"/>
      <c r="C3" s="3130"/>
      <c r="D3" s="3130">
        <f>ROUND(AVERAGEIF(D4:D18,"&lt;&gt;0"),2)</f>
        <v>0.73</v>
      </c>
      <c r="E3" s="3130">
        <f t="shared" ref="E3:H3" si="0">ROUND(AVERAGEIF(E4:E18,"&lt;&gt;0"),2)</f>
        <v>0.4</v>
      </c>
      <c r="F3" s="3130">
        <f t="shared" si="0"/>
        <v>0.2</v>
      </c>
      <c r="G3" s="3130">
        <f t="shared" si="0"/>
        <v>0.78</v>
      </c>
      <c r="H3" s="3130">
        <f t="shared" si="0"/>
        <v>0.63</v>
      </c>
      <c r="I3" s="3130">
        <f>F3</f>
        <v>0.2</v>
      </c>
      <c r="J3" s="3131"/>
      <c r="K3" s="3132">
        <f>ROUND(AVERAGEIF(K4:K18,"&lt;&gt;0"),4)</f>
        <v>7.3000000000000001E-3</v>
      </c>
      <c r="L3" s="3133">
        <f t="shared" ref="L3:O3" si="1">ROUND(AVERAGEIF(L4:L18,"&lt;&gt;0"),4)</f>
        <v>4.0000000000000001E-3</v>
      </c>
      <c r="M3" s="3133">
        <f t="shared" si="1"/>
        <v>2E-3</v>
      </c>
      <c r="N3" s="3133">
        <f t="shared" si="1"/>
        <v>7.7999999999999996E-3</v>
      </c>
      <c r="O3" s="3133">
        <f t="shared" si="1"/>
        <v>6.3E-3</v>
      </c>
      <c r="P3" s="3133">
        <f>M3</f>
        <v>2E-3</v>
      </c>
      <c r="Q3" s="3131"/>
      <c r="R3" s="3134">
        <f>ROUND(SUMPRODUCT(PRODUCT(1+K4:K18)),4)</f>
        <v>1.0908</v>
      </c>
      <c r="S3" s="3135">
        <f t="shared" ref="S3:V3" si="2">ROUND(SUMPRODUCT(PRODUCT(1+L4:L18)),4)</f>
        <v>1.0488</v>
      </c>
      <c r="T3" s="3135">
        <f t="shared" si="2"/>
        <v>1.024</v>
      </c>
      <c r="U3" s="3135">
        <f t="shared" si="2"/>
        <v>1.0980000000000001</v>
      </c>
      <c r="V3" s="3135">
        <f t="shared" si="2"/>
        <v>1.0779000000000001</v>
      </c>
      <c r="W3" s="3134">
        <f>T3</f>
        <v>1.024</v>
      </c>
      <c r="X3" s="3131"/>
      <c r="Y3" s="3136">
        <f>ROUND(AVERAGEIF(Y5:Y18,"&lt;&gt;0"),4)</f>
        <v>8.6999999999999994E-3</v>
      </c>
      <c r="Z3" s="3137">
        <f t="shared" ref="Z3:AC3" si="3">ROUND(AVERAGEIF(Z5:Z18,"&lt;&gt;0"),4)</f>
        <v>3.5000000000000001E-3</v>
      </c>
      <c r="AA3" s="3138">
        <f t="shared" si="3"/>
        <v>8.9999999999999998E-4</v>
      </c>
      <c r="AB3" s="3136">
        <f t="shared" si="3"/>
        <v>9.4999999999999998E-3</v>
      </c>
      <c r="AC3" s="3139">
        <f t="shared" si="3"/>
        <v>6.1000000000000004E-3</v>
      </c>
      <c r="AD3" s="3136">
        <f>AA3</f>
        <v>8.9999999999999998E-4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2205" t="s">
        <v>3360</v>
      </c>
      <c r="B5" s="3156">
        <v>2024</v>
      </c>
      <c r="C5" s="3157">
        <v>2</v>
      </c>
      <c r="D5" s="3158">
        <v>0</v>
      </c>
      <c r="E5" s="3158">
        <v>0</v>
      </c>
      <c r="F5" s="3158">
        <v>0</v>
      </c>
      <c r="G5" s="3158">
        <v>0</v>
      </c>
      <c r="H5" s="3158">
        <v>0</v>
      </c>
      <c r="I5" s="3159">
        <f t="shared" ref="I5:I18" si="4">F5</f>
        <v>0</v>
      </c>
      <c r="J5" s="3160"/>
      <c r="K5" s="3161">
        <f t="shared" ref="K5:O18" si="5">D5/100</f>
        <v>0</v>
      </c>
      <c r="L5" s="3151">
        <f t="shared" si="5"/>
        <v>0</v>
      </c>
      <c r="M5" s="3151">
        <f t="shared" si="5"/>
        <v>0</v>
      </c>
      <c r="N5" s="3151">
        <f t="shared" si="5"/>
        <v>0</v>
      </c>
      <c r="O5" s="3151">
        <f t="shared" si="5"/>
        <v>0</v>
      </c>
      <c r="P5" s="3151">
        <f>M5</f>
        <v>0</v>
      </c>
      <c r="Q5" s="3160"/>
      <c r="R5" s="3162">
        <f>ROUND(IF(项目基本情况!$B$8="出让",SUMPRODUCT(PRODUCT(1+K5:$K$18)),SUMPRODUCT(PRODUCT(1+K5:$K$17))),4)</f>
        <v>1.0804</v>
      </c>
      <c r="S5" s="3162">
        <f>ROUND(IF(项目基本情况!$B$8="出让",SUMPRODUCT(PRODUCT(1+L5:$L$18)),SUMPRODUCT(PRODUCT(1+L5:$L$17))),4)</f>
        <v>1.0471999999999999</v>
      </c>
      <c r="T5" s="3162">
        <f>ROUND(IF(项目基本情况!$B$8="出让",SUMPRODUCT(PRODUCT(1+M5:$M$18)),SUMPRODUCT(PRODUCT(1+M5:$M$17))),4)</f>
        <v>1.0266</v>
      </c>
      <c r="U5" s="3162">
        <f>ROUND(IF(项目基本情况!$B$8="出让",SUMPRODUCT(PRODUCT(1+N5:$N$18)),SUMPRODUCT(PRODUCT(1+N5:$N$17))),4)</f>
        <v>1.0859000000000001</v>
      </c>
      <c r="V5" s="3162">
        <f>ROUND(IF(项目基本情况!$B$8="出让",SUMPRODUCT(PRODUCT(1+O5:$O$18)),SUMPRODUCT(PRODUCT(1+O5:$O$17))),4)</f>
        <v>1.0741000000000001</v>
      </c>
      <c r="W5" s="3162">
        <f>T5</f>
        <v>1.0266</v>
      </c>
      <c r="X5" s="3160"/>
      <c r="Y5" s="3163">
        <f>IF(D5=0,0,ROUND(AVERAGE(D5:D18)/100,4))</f>
        <v>0</v>
      </c>
      <c r="Z5" s="3163">
        <f t="shared" ref="Z5:AC5" si="6">IF(E5=0,0,ROUND(AVERAGE(E5:E18)/100,4))</f>
        <v>0</v>
      </c>
      <c r="AA5" s="3163">
        <f t="shared" si="6"/>
        <v>0</v>
      </c>
      <c r="AB5" s="3163">
        <f t="shared" si="6"/>
        <v>0</v>
      </c>
      <c r="AC5" s="3163">
        <f t="shared" si="6"/>
        <v>0</v>
      </c>
      <c r="AD5" s="3163">
        <f t="shared" ref="AD5:AD17" si="7">AA5</f>
        <v>0</v>
      </c>
    </row>
    <row r="6" spans="1:30" s="3164" customFormat="1" ht="12.75">
      <c r="A6" s="2205" t="s">
        <v>3361</v>
      </c>
      <c r="B6" s="3156">
        <v>2024</v>
      </c>
      <c r="C6" s="3157">
        <v>1</v>
      </c>
      <c r="D6" s="3158">
        <v>0</v>
      </c>
      <c r="E6" s="3158">
        <v>0</v>
      </c>
      <c r="F6" s="3158">
        <v>0</v>
      </c>
      <c r="G6" s="3158">
        <v>0</v>
      </c>
      <c r="H6" s="3175">
        <v>0</v>
      </c>
      <c r="I6" s="3159">
        <v>0</v>
      </c>
      <c r="J6" s="3160"/>
      <c r="K6" s="3161">
        <f t="shared" ref="K6" si="8">D6/100</f>
        <v>0</v>
      </c>
      <c r="L6" s="3151">
        <f t="shared" ref="L6" si="9">E6/100</f>
        <v>0</v>
      </c>
      <c r="M6" s="3151">
        <f t="shared" ref="M6" si="10">F6/100</f>
        <v>0</v>
      </c>
      <c r="N6" s="3151">
        <f t="shared" ref="N6" si="11">G6/100</f>
        <v>0</v>
      </c>
      <c r="O6" s="3151">
        <f t="shared" ref="O6" si="12">H6/100</f>
        <v>0</v>
      </c>
      <c r="P6" s="3151">
        <f t="shared" ref="P6" si="13">M6</f>
        <v>0</v>
      </c>
      <c r="Q6" s="3160"/>
      <c r="R6" s="3162">
        <f>ROUND(IF(项目基本情况!$B$8="出让",SUMPRODUCT(PRODUCT(1+K6:$K$18)),SUMPRODUCT(PRODUCT(1+K6:$K$17))),4)</f>
        <v>1.0804</v>
      </c>
      <c r="S6" s="3162">
        <f>ROUND(IF(项目基本情况!$B$8="出让",SUMPRODUCT(PRODUCT(1+L6:$L$18)),SUMPRODUCT(PRODUCT(1+L6:$L$17))),4)</f>
        <v>1.0471999999999999</v>
      </c>
      <c r="T6" s="3162">
        <f>ROUND(IF(项目基本情况!$B$8="出让",SUMPRODUCT(PRODUCT(1+M6:$M$18)),SUMPRODUCT(PRODUCT(1+M6:$M$17))),4)</f>
        <v>1.0266</v>
      </c>
      <c r="U6" s="3162">
        <f>ROUND(IF(项目基本情况!$B$8="出让",SUMPRODUCT(PRODUCT(1+N6:$N$18)),SUMPRODUCT(PRODUCT(1+N6:$N$17))),4)</f>
        <v>1.0859000000000001</v>
      </c>
      <c r="V6" s="3162">
        <f>ROUND(IF(项目基本情况!$B$8="出让",SUMPRODUCT(PRODUCT(1+O6:$O$18)),SUMPRODUCT(PRODUCT(1+O6:$O$17))),4)</f>
        <v>1.0741000000000001</v>
      </c>
      <c r="W6" s="3162">
        <f t="shared" ref="W6" si="14">T6</f>
        <v>1.0266</v>
      </c>
      <c r="X6" s="3160"/>
      <c r="Y6" s="3163"/>
      <c r="Z6" s="3163"/>
      <c r="AA6" s="3163"/>
      <c r="AB6" s="3163"/>
      <c r="AC6" s="3163"/>
      <c r="AD6" s="3163"/>
    </row>
    <row r="7" spans="1:30" s="3174" customFormat="1" ht="12.75">
      <c r="A7" s="3165" t="s">
        <v>3363</v>
      </c>
      <c r="B7" s="3166">
        <v>2023</v>
      </c>
      <c r="C7" s="3167">
        <v>4</v>
      </c>
      <c r="D7" s="3168">
        <v>0.19</v>
      </c>
      <c r="E7" s="3168">
        <v>0.24</v>
      </c>
      <c r="F7" s="3168">
        <v>-0.16</v>
      </c>
      <c r="G7" s="3168">
        <v>0.17</v>
      </c>
      <c r="H7" s="3169">
        <v>0.61</v>
      </c>
      <c r="I7" s="3170">
        <f>F7</f>
        <v>-0.16</v>
      </c>
      <c r="J7" s="3171"/>
      <c r="K7" s="3172">
        <f t="shared" si="5"/>
        <v>1.9E-3</v>
      </c>
      <c r="L7" s="3173">
        <f t="shared" si="5"/>
        <v>2.3999999999999998E-3</v>
      </c>
      <c r="M7" s="3173">
        <f t="shared" si="5"/>
        <v>-1.6000000000000001E-3</v>
      </c>
      <c r="N7" s="3173">
        <f t="shared" si="5"/>
        <v>1.7000000000000001E-3</v>
      </c>
      <c r="O7" s="3173">
        <f t="shared" si="5"/>
        <v>6.0999999999999995E-3</v>
      </c>
      <c r="P7" s="3173">
        <f t="shared" ref="P7" si="15">M7</f>
        <v>-1.6000000000000001E-3</v>
      </c>
      <c r="Q7" s="3171"/>
      <c r="R7" s="3171">
        <f>ROUND(IF(项目基本情况!$B$8="出让",SUMPRODUCT(PRODUCT(1+K7:$K$18)),SUMPRODUCT(PRODUCT(1+K7:$K$17))),4)</f>
        <v>1.0804</v>
      </c>
      <c r="S7" s="3171">
        <f>ROUND(IF(项目基本情况!$B$8="出让",SUMPRODUCT(PRODUCT(1+L7:$L$18)),SUMPRODUCT(PRODUCT(1+L7:$L$17))),4)</f>
        <v>1.0471999999999999</v>
      </c>
      <c r="T7" s="3171">
        <f>ROUND(IF(项目基本情况!$B$8="出让",SUMPRODUCT(PRODUCT(1+M7:$M$18)),SUMPRODUCT(PRODUCT(1+M7:$M$17))),4)</f>
        <v>1.0266</v>
      </c>
      <c r="U7" s="3171">
        <f>ROUND(IF(项目基本情况!$B$8="出让",SUMPRODUCT(PRODUCT(1+N7:$N$18)),SUMPRODUCT(PRODUCT(1+N7:$N$17))),4)</f>
        <v>1.0859000000000001</v>
      </c>
      <c r="V7" s="3171">
        <f>ROUND(IF(项目基本情况!$B$8="出让",SUMPRODUCT(PRODUCT(1+O7:$O$18)),SUMPRODUCT(PRODUCT(1+O7:$O$17))),4)</f>
        <v>1.0741000000000001</v>
      </c>
      <c r="W7" s="3171">
        <f t="shared" ref="W7" si="16">T7</f>
        <v>1.0266</v>
      </c>
      <c r="X7" s="3171"/>
      <c r="Y7" s="3173"/>
      <c r="Z7" s="3173"/>
      <c r="AA7" s="3173"/>
      <c r="AB7" s="3173"/>
      <c r="AC7" s="3173"/>
      <c r="AD7" s="3173"/>
    </row>
    <row r="8" spans="1:30" s="3164" customFormat="1" ht="12.75">
      <c r="A8" s="3155" t="s">
        <v>3364</v>
      </c>
      <c r="B8" s="3156">
        <v>2023</v>
      </c>
      <c r="C8" s="3157">
        <v>3</v>
      </c>
      <c r="D8" s="3158">
        <v>0.25</v>
      </c>
      <c r="E8" s="3158">
        <v>0.5</v>
      </c>
      <c r="F8" s="3158">
        <v>0.31</v>
      </c>
      <c r="G8" s="3158">
        <v>0.21</v>
      </c>
      <c r="H8" s="3175">
        <v>0.43</v>
      </c>
      <c r="I8" s="3159">
        <f t="shared" si="4"/>
        <v>0.31</v>
      </c>
      <c r="J8" s="3160"/>
      <c r="K8" s="3161">
        <f t="shared" ref="K8:K10" si="17">D8/100</f>
        <v>2.5000000000000001E-3</v>
      </c>
      <c r="L8" s="3151">
        <f t="shared" ref="L8:L10" si="18">E8/100</f>
        <v>5.0000000000000001E-3</v>
      </c>
      <c r="M8" s="3151">
        <f t="shared" ref="M8:M10" si="19">F8/100</f>
        <v>3.0999999999999999E-3</v>
      </c>
      <c r="N8" s="3151">
        <f t="shared" ref="N8:N10" si="20">G8/100</f>
        <v>2.0999999999999999E-3</v>
      </c>
      <c r="O8" s="3151">
        <f t="shared" ref="O8:O10" si="21">H8/100</f>
        <v>4.3E-3</v>
      </c>
      <c r="P8" s="3151">
        <f t="shared" ref="P8:P10" si="22">M8</f>
        <v>3.0999999999999999E-3</v>
      </c>
      <c r="Q8" s="3160"/>
      <c r="R8" s="3162">
        <f>ROUND(IF(项目基本情况!$B$8="出让",SUMPRODUCT(PRODUCT(1+K8:$K$18)),SUMPRODUCT(PRODUCT(1+K8:$K$17))),4)</f>
        <v>1.0783</v>
      </c>
      <c r="S8" s="3162">
        <f>ROUND(IF(项目基本情况!$B$8="出让",SUMPRODUCT(PRODUCT(1+L8:$L$18)),SUMPRODUCT(PRODUCT(1+L8:$L$17))),4)</f>
        <v>1.0447</v>
      </c>
      <c r="T8" s="3162">
        <f>ROUND(IF(项目基本情况!$B$8="出让",SUMPRODUCT(PRODUCT(1+M8:$M$18)),SUMPRODUCT(PRODUCT(1+M8:$M$17))),4)</f>
        <v>1.0282</v>
      </c>
      <c r="U8" s="3162">
        <f>ROUND(IF(项目基本情况!$B$8="出让",SUMPRODUCT(PRODUCT(1+N8:$N$18)),SUMPRODUCT(PRODUCT(1+N8:$N$17))),4)</f>
        <v>1.0841000000000001</v>
      </c>
      <c r="V8" s="3162">
        <f>ROUND(IF(项目基本情况!$B$8="出让",SUMPRODUCT(PRODUCT(1+O8:$O$18)),SUMPRODUCT(PRODUCT(1+O8:$O$17))),4)</f>
        <v>1.0674999999999999</v>
      </c>
      <c r="W8" s="3162">
        <f t="shared" ref="W8:W9" si="23">T8</f>
        <v>1.0282</v>
      </c>
      <c r="X8" s="3160"/>
      <c r="Y8" s="3163"/>
      <c r="Z8" s="3163"/>
      <c r="AA8" s="3163"/>
      <c r="AB8" s="3163"/>
      <c r="AC8" s="3163"/>
      <c r="AD8" s="3163"/>
    </row>
    <row r="9" spans="1:30" s="3164" customFormat="1" ht="12.75">
      <c r="A9" s="3155" t="s">
        <v>3356</v>
      </c>
      <c r="B9" s="3156">
        <v>2023</v>
      </c>
      <c r="C9" s="3157">
        <v>2</v>
      </c>
      <c r="D9" s="3158">
        <v>0.91</v>
      </c>
      <c r="E9" s="3158">
        <v>0.66</v>
      </c>
      <c r="F9" s="3158">
        <v>0.47</v>
      </c>
      <c r="G9" s="3158">
        <v>0.96</v>
      </c>
      <c r="H9" s="3175">
        <v>0.71</v>
      </c>
      <c r="I9" s="3159">
        <f t="shared" si="4"/>
        <v>0.47</v>
      </c>
      <c r="J9" s="3160"/>
      <c r="K9" s="3161">
        <f t="shared" si="17"/>
        <v>9.1000000000000004E-3</v>
      </c>
      <c r="L9" s="3151">
        <f t="shared" si="18"/>
        <v>6.6E-3</v>
      </c>
      <c r="M9" s="3151">
        <f t="shared" si="19"/>
        <v>4.6999999999999993E-3</v>
      </c>
      <c r="N9" s="3151">
        <f t="shared" si="20"/>
        <v>9.5999999999999992E-3</v>
      </c>
      <c r="O9" s="3151">
        <f t="shared" si="21"/>
        <v>7.0999999999999995E-3</v>
      </c>
      <c r="P9" s="3151">
        <f t="shared" si="22"/>
        <v>4.6999999999999993E-3</v>
      </c>
      <c r="Q9" s="3160"/>
      <c r="R9" s="3162">
        <f>ROUND(IF(项目基本情况!$B$8="出让",SUMPRODUCT(PRODUCT(1+K9:$K$18)),SUMPRODUCT(PRODUCT(1+K9:$K$17))),4)</f>
        <v>1.0755999999999999</v>
      </c>
      <c r="S9" s="3162">
        <f>ROUND(IF(项目基本情况!$B$8="出让",SUMPRODUCT(PRODUCT(1+L9:$L$18)),SUMPRODUCT(PRODUCT(1+L9:$L$17))),4)</f>
        <v>1.0395000000000001</v>
      </c>
      <c r="T9" s="3162">
        <f>ROUND(IF(项目基本情况!$B$8="出让",SUMPRODUCT(PRODUCT(1+M9:$M$18)),SUMPRODUCT(PRODUCT(1+M9:$M$17))),4)</f>
        <v>1.0250999999999999</v>
      </c>
      <c r="U9" s="3162">
        <f>ROUND(IF(项目基本情况!$B$8="出让",SUMPRODUCT(PRODUCT(1+N9:$N$18)),SUMPRODUCT(PRODUCT(1+N9:$N$17))),4)</f>
        <v>1.0818000000000001</v>
      </c>
      <c r="V9" s="3162">
        <f>ROUND(IF(项目基本情况!$B$8="出让",SUMPRODUCT(PRODUCT(1+O9:$O$18)),SUMPRODUCT(PRODUCT(1+O9:$O$17))),4)</f>
        <v>1.0629999999999999</v>
      </c>
      <c r="W9" s="3162">
        <f t="shared" si="23"/>
        <v>1.0250999999999999</v>
      </c>
      <c r="X9" s="3160"/>
      <c r="Y9" s="3163"/>
      <c r="Z9" s="3163"/>
      <c r="AA9" s="3163"/>
      <c r="AB9" s="3163"/>
      <c r="AC9" s="3163"/>
      <c r="AD9" s="3163"/>
    </row>
    <row r="10" spans="1:30" s="3164" customFormat="1" ht="12.75">
      <c r="A10" s="3155" t="s">
        <v>3355</v>
      </c>
      <c r="B10" s="3156">
        <v>2023</v>
      </c>
      <c r="C10" s="3157">
        <v>1</v>
      </c>
      <c r="D10" s="3158">
        <v>0.89</v>
      </c>
      <c r="E10" s="3158">
        <v>0.74</v>
      </c>
      <c r="F10" s="3158">
        <v>0.56999999999999995</v>
      </c>
      <c r="G10" s="3158">
        <v>0.92</v>
      </c>
      <c r="H10" s="3175">
        <v>0.5</v>
      </c>
      <c r="I10" s="3159">
        <f t="shared" si="4"/>
        <v>0.56999999999999995</v>
      </c>
      <c r="J10" s="3160"/>
      <c r="K10" s="3161">
        <f t="shared" si="17"/>
        <v>8.8999999999999999E-3</v>
      </c>
      <c r="L10" s="3151">
        <f t="shared" si="18"/>
        <v>7.4000000000000003E-3</v>
      </c>
      <c r="M10" s="3151">
        <f t="shared" si="19"/>
        <v>5.6999999999999993E-3</v>
      </c>
      <c r="N10" s="3151">
        <f t="shared" si="20"/>
        <v>9.1999999999999998E-3</v>
      </c>
      <c r="O10" s="3151">
        <f t="shared" si="21"/>
        <v>5.0000000000000001E-3</v>
      </c>
      <c r="P10" s="3151">
        <f t="shared" si="22"/>
        <v>5.6999999999999993E-3</v>
      </c>
      <c r="Q10" s="3160"/>
      <c r="R10" s="3162">
        <f>ROUND(IF(项目基本情况!$B$8="出让",SUMPRODUCT(PRODUCT(1+K10:$K$18)),SUMPRODUCT(PRODUCT(1+K10:$K$17))),4)</f>
        <v>1.0659000000000001</v>
      </c>
      <c r="S10" s="3162">
        <f>ROUND(IF(项目基本情况!$B$8="出让",SUMPRODUCT(PRODUCT(1+L10:$L$18)),SUMPRODUCT(PRODUCT(1+L10:$L$17))),4)</f>
        <v>1.0326</v>
      </c>
      <c r="T10" s="3162">
        <f>ROUND(IF(项目基本情况!$B$8="出让",SUMPRODUCT(PRODUCT(1+M10:$M$18)),SUMPRODUCT(PRODUCT(1+M10:$M$17))),4)</f>
        <v>1.0203</v>
      </c>
      <c r="U10" s="3162">
        <f>ROUND(IF(项目基本情况!$B$8="出让",SUMPRODUCT(PRODUCT(1+N10:$N$18)),SUMPRODUCT(PRODUCT(1+N10:$N$17))),4)</f>
        <v>1.0714999999999999</v>
      </c>
      <c r="V10" s="3162">
        <f>ROUND(IF(项目基本情况!$B$8="出让",SUMPRODUCT(PRODUCT(1+O10:$O$18)),SUMPRODUCT(PRODUCT(1+O10:$O$17))),4)</f>
        <v>1.0555000000000001</v>
      </c>
      <c r="W10" s="3162">
        <f t="shared" ref="W10:W17" si="24">T10</f>
        <v>1.0203</v>
      </c>
      <c r="X10" s="3160"/>
      <c r="Y10" s="3163"/>
      <c r="Z10" s="3163"/>
      <c r="AA10" s="3163"/>
      <c r="AB10" s="3163"/>
      <c r="AC10" s="3163"/>
      <c r="AD10" s="3163"/>
    </row>
    <row r="11" spans="1:30" s="3164" customFormat="1" ht="12.75">
      <c r="A11" s="3155" t="s">
        <v>3354</v>
      </c>
      <c r="B11" s="3156">
        <v>2022</v>
      </c>
      <c r="C11" s="3157">
        <v>4</v>
      </c>
      <c r="D11" s="3158">
        <v>0.62</v>
      </c>
      <c r="E11" s="3158">
        <v>0.2</v>
      </c>
      <c r="F11" s="3158">
        <v>0.11</v>
      </c>
      <c r="G11" s="3158">
        <v>0.69</v>
      </c>
      <c r="H11" s="3175">
        <v>0.53</v>
      </c>
      <c r="I11" s="3159">
        <f t="shared" si="4"/>
        <v>0.11</v>
      </c>
      <c r="J11" s="3160"/>
      <c r="K11" s="3161">
        <f t="shared" si="5"/>
        <v>6.1999999999999998E-3</v>
      </c>
      <c r="L11" s="3151">
        <f t="shared" si="5"/>
        <v>2E-3</v>
      </c>
      <c r="M11" s="3151">
        <f t="shared" si="5"/>
        <v>1.1000000000000001E-3</v>
      </c>
      <c r="N11" s="3151">
        <f t="shared" si="5"/>
        <v>6.8999999999999999E-3</v>
      </c>
      <c r="O11" s="3151">
        <f t="shared" si="5"/>
        <v>5.3E-3</v>
      </c>
      <c r="P11" s="3151">
        <f t="shared" ref="P11:P18" si="25">M11</f>
        <v>1.1000000000000001E-3</v>
      </c>
      <c r="Q11" s="3160"/>
      <c r="R11" s="3162">
        <f>ROUND(IF(项目基本情况!$B$8="出让",SUMPRODUCT(PRODUCT(1+K11:$K$18)),SUMPRODUCT(PRODUCT(1+K11:$K$17))),4)</f>
        <v>1.0565</v>
      </c>
      <c r="S11" s="3162">
        <f>ROUND(IF(项目基本情况!$B$8="出让",SUMPRODUCT(PRODUCT(1+L11:$L$18)),SUMPRODUCT(PRODUCT(1+L11:$L$17))),4)</f>
        <v>1.0250999999999999</v>
      </c>
      <c r="T11" s="3162">
        <f>ROUND(IF(项目基本情况!$B$8="出让",SUMPRODUCT(PRODUCT(1+M11:$M$18)),SUMPRODUCT(PRODUCT(1+M11:$M$17))),4)</f>
        <v>1.0145</v>
      </c>
      <c r="U11" s="3162">
        <f>ROUND(IF(项目基本情况!$B$8="出让",SUMPRODUCT(PRODUCT(1+N11:$N$18)),SUMPRODUCT(PRODUCT(1+N11:$N$17))),4)</f>
        <v>1.0618000000000001</v>
      </c>
      <c r="V11" s="3162">
        <f>ROUND(IF(项目基本情况!$B$8="出让",SUMPRODUCT(PRODUCT(1+O11:$O$18)),SUMPRODUCT(PRODUCT(1+O11:$O$17))),4)</f>
        <v>1.0502</v>
      </c>
      <c r="W11" s="3162">
        <f t="shared" si="24"/>
        <v>1.0145</v>
      </c>
      <c r="X11" s="3160"/>
      <c r="Y11" s="3163">
        <f>IF(D11=0,0,ROUND(AVERAGE(D11:D19)/100,4))</f>
        <v>8.0999999999999996E-3</v>
      </c>
      <c r="Z11" s="3163">
        <f t="shared" ref="Z11:AC11" si="26">IF(E11=0,0,ROUND(AVERAGE(E11:E18)/100,4))</f>
        <v>3.3E-3</v>
      </c>
      <c r="AA11" s="3163">
        <f t="shared" si="26"/>
        <v>1.5E-3</v>
      </c>
      <c r="AB11" s="3163">
        <f t="shared" si="26"/>
        <v>8.8999999999999999E-3</v>
      </c>
      <c r="AC11" s="3163">
        <f t="shared" si="26"/>
        <v>6.6E-3</v>
      </c>
      <c r="AD11" s="3163">
        <f t="shared" si="7"/>
        <v>1.5E-3</v>
      </c>
    </row>
    <row r="12" spans="1:30" s="3164" customFormat="1" ht="12.75">
      <c r="A12" s="3155" t="s">
        <v>3350</v>
      </c>
      <c r="B12" s="3156">
        <v>2022</v>
      </c>
      <c r="C12" s="3157">
        <v>3</v>
      </c>
      <c r="D12" s="3158">
        <v>0.66</v>
      </c>
      <c r="E12" s="3158">
        <v>0.32</v>
      </c>
      <c r="F12" s="3158">
        <v>0.23</v>
      </c>
      <c r="G12" s="3158">
        <v>0.72</v>
      </c>
      <c r="H12" s="3175">
        <v>0.63</v>
      </c>
      <c r="I12" s="3159">
        <f t="shared" si="4"/>
        <v>0.23</v>
      </c>
      <c r="J12" s="3160"/>
      <c r="K12" s="3161">
        <f t="shared" si="5"/>
        <v>6.6E-3</v>
      </c>
      <c r="L12" s="3151">
        <f t="shared" si="5"/>
        <v>3.2000000000000002E-3</v>
      </c>
      <c r="M12" s="3151">
        <f t="shared" si="5"/>
        <v>2.3E-3</v>
      </c>
      <c r="N12" s="3151">
        <f t="shared" si="5"/>
        <v>7.1999999999999998E-3</v>
      </c>
      <c r="O12" s="3151">
        <f t="shared" si="5"/>
        <v>6.3E-3</v>
      </c>
      <c r="P12" s="3151">
        <f t="shared" si="25"/>
        <v>2.3E-3</v>
      </c>
      <c r="Q12" s="3160"/>
      <c r="R12" s="3162">
        <f>ROUND(IF(项目基本情况!$B$8="出让",SUMPRODUCT(PRODUCT(1+K12:$K$18)),SUMPRODUCT(PRODUCT(1+K12:$K$17))),4)</f>
        <v>1.05</v>
      </c>
      <c r="S12" s="3162">
        <f>ROUND(IF(项目基本情况!$B$8="出让",SUMPRODUCT(PRODUCT(1+L12:$L$18)),SUMPRODUCT(PRODUCT(1+L12:$L$17))),4)</f>
        <v>1.0229999999999999</v>
      </c>
      <c r="T12" s="3162">
        <f>ROUND(IF(项目基本情况!$B$8="出让",SUMPRODUCT(PRODUCT(1+M12:$M$18)),SUMPRODUCT(PRODUCT(1+M12:$M$17))),4)</f>
        <v>1.0134000000000001</v>
      </c>
      <c r="U12" s="3162">
        <f>ROUND(IF(项目基本情况!$B$8="出让",SUMPRODUCT(PRODUCT(1+N12:$N$18)),SUMPRODUCT(PRODUCT(1+N12:$N$17))),4)</f>
        <v>1.0545</v>
      </c>
      <c r="V12" s="3162">
        <f>ROUND(IF(项目基本情况!$B$8="出让",SUMPRODUCT(PRODUCT(1+O12:$O$18)),SUMPRODUCT(PRODUCT(1+O12:$O$17))),4)</f>
        <v>1.0447</v>
      </c>
      <c r="W12" s="3162">
        <f t="shared" si="24"/>
        <v>1.0134000000000001</v>
      </c>
      <c r="X12" s="3160"/>
      <c r="Y12" s="3163">
        <f>IF(D12=0,0,ROUND(AVERAGE(D12:D18)/100,4))</f>
        <v>8.3999999999999995E-3</v>
      </c>
      <c r="Z12" s="3163">
        <f t="shared" ref="Z12:AC12" si="27">IF(E12=0,0,ROUND(AVERAGE(E12:E18)/100,4))</f>
        <v>3.5000000000000001E-3</v>
      </c>
      <c r="AA12" s="3163">
        <f t="shared" si="27"/>
        <v>1.5E-3</v>
      </c>
      <c r="AB12" s="3163">
        <f t="shared" si="27"/>
        <v>9.1999999999999998E-3</v>
      </c>
      <c r="AC12" s="3163">
        <f t="shared" si="27"/>
        <v>6.7999999999999996E-3</v>
      </c>
      <c r="AD12" s="3163">
        <f t="shared" si="7"/>
        <v>1.5E-3</v>
      </c>
    </row>
    <row r="13" spans="1:30" s="3164" customFormat="1" ht="12.75">
      <c r="A13" s="3155" t="s">
        <v>3341</v>
      </c>
      <c r="B13" s="3156">
        <v>2022</v>
      </c>
      <c r="C13" s="3157">
        <v>2</v>
      </c>
      <c r="D13" s="3158">
        <v>0.93</v>
      </c>
      <c r="E13" s="3158">
        <v>0.15</v>
      </c>
      <c r="F13" s="3158">
        <v>0.01</v>
      </c>
      <c r="G13" s="3158">
        <v>1.05</v>
      </c>
      <c r="H13" s="3175">
        <v>1.08</v>
      </c>
      <c r="I13" s="3159">
        <f t="shared" si="4"/>
        <v>0.01</v>
      </c>
      <c r="J13" s="3160"/>
      <c r="K13" s="3161">
        <f t="shared" si="5"/>
        <v>9.300000000000001E-3</v>
      </c>
      <c r="L13" s="3151">
        <f t="shared" si="5"/>
        <v>1.5E-3</v>
      </c>
      <c r="M13" s="3151">
        <f t="shared" si="5"/>
        <v>1E-4</v>
      </c>
      <c r="N13" s="3151">
        <f t="shared" si="5"/>
        <v>1.0500000000000001E-2</v>
      </c>
      <c r="O13" s="3151">
        <f t="shared" si="5"/>
        <v>1.0800000000000001E-2</v>
      </c>
      <c r="P13" s="3151">
        <f t="shared" si="25"/>
        <v>1E-4</v>
      </c>
      <c r="Q13" s="3160"/>
      <c r="R13" s="3162">
        <f>ROUND(IF(项目基本情况!$B$8="出让",SUMPRODUCT(PRODUCT(1+K13:$K$18)),SUMPRODUCT(PRODUCT(1+K13:$K$17))),4)</f>
        <v>1.0430999999999999</v>
      </c>
      <c r="S13" s="3162">
        <f>ROUND(IF(项目基本情况!$B$8="出让",SUMPRODUCT(PRODUCT(1+L13:$L$18)),SUMPRODUCT(PRODUCT(1+L13:$L$17))),4)</f>
        <v>1.0197000000000001</v>
      </c>
      <c r="T13" s="3162">
        <f>ROUND(IF(项目基本情况!$B$8="出让",SUMPRODUCT(PRODUCT(1+M13:$M$18)),SUMPRODUCT(PRODUCT(1+M13:$M$17))),4)</f>
        <v>1.0109999999999999</v>
      </c>
      <c r="U13" s="3162">
        <f>ROUND(IF(项目基本情况!$B$8="出让",SUMPRODUCT(PRODUCT(1+N13:$N$18)),SUMPRODUCT(PRODUCT(1+N13:$N$17))),4)</f>
        <v>1.0468999999999999</v>
      </c>
      <c r="V13" s="3162">
        <f>ROUND(IF(项目基本情况!$B$8="出让",SUMPRODUCT(PRODUCT(1+O13:$O$18)),SUMPRODUCT(PRODUCT(1+O13:$O$17))),4)</f>
        <v>1.0382</v>
      </c>
      <c r="W13" s="3162">
        <f t="shared" si="24"/>
        <v>1.0109999999999999</v>
      </c>
      <c r="X13" s="3160"/>
      <c r="Y13" s="3163">
        <f>IF(D13=0,0,ROUND(AVERAGE(D13:D18)/100,4))</f>
        <v>8.6999999999999994E-3</v>
      </c>
      <c r="Z13" s="3163">
        <f t="shared" ref="Z13:AC13" si="28">IF(E13=0,0,ROUND(AVERAGE(E13:E18)/100,4))</f>
        <v>3.5000000000000001E-3</v>
      </c>
      <c r="AA13" s="3163">
        <f t="shared" si="28"/>
        <v>1.4E-3</v>
      </c>
      <c r="AB13" s="3163">
        <f t="shared" si="28"/>
        <v>9.4999999999999998E-3</v>
      </c>
      <c r="AC13" s="3163">
        <f t="shared" si="28"/>
        <v>6.8999999999999999E-3</v>
      </c>
      <c r="AD13" s="3163">
        <f t="shared" si="7"/>
        <v>1.4E-3</v>
      </c>
    </row>
    <row r="14" spans="1:30" s="3164" customFormat="1" ht="12.75">
      <c r="A14" s="3155" t="s">
        <v>2806</v>
      </c>
      <c r="B14" s="3156">
        <v>2022</v>
      </c>
      <c r="C14" s="3157">
        <v>1</v>
      </c>
      <c r="D14" s="3158">
        <v>0.89</v>
      </c>
      <c r="E14" s="3158">
        <v>0.44</v>
      </c>
      <c r="F14" s="3158">
        <v>0.37</v>
      </c>
      <c r="G14" s="3158">
        <v>0.96</v>
      </c>
      <c r="H14" s="3175">
        <v>0.64</v>
      </c>
      <c r="I14" s="3159">
        <f t="shared" si="4"/>
        <v>0.37</v>
      </c>
      <c r="J14" s="3160"/>
      <c r="K14" s="3161">
        <f t="shared" si="5"/>
        <v>8.8999999999999999E-3</v>
      </c>
      <c r="L14" s="3151">
        <f t="shared" si="5"/>
        <v>4.4000000000000003E-3</v>
      </c>
      <c r="M14" s="3151">
        <f t="shared" si="5"/>
        <v>3.7000000000000002E-3</v>
      </c>
      <c r="N14" s="3151">
        <f t="shared" si="5"/>
        <v>9.5999999999999992E-3</v>
      </c>
      <c r="O14" s="3151">
        <f t="shared" si="5"/>
        <v>6.4000000000000003E-3</v>
      </c>
      <c r="P14" s="3151">
        <f t="shared" si="25"/>
        <v>3.7000000000000002E-3</v>
      </c>
      <c r="Q14" s="3160"/>
      <c r="R14" s="3162">
        <f>ROUND(IF(项目基本情况!$B$8="出让",SUMPRODUCT(PRODUCT(1+K14:$K$18)),SUMPRODUCT(PRODUCT(1+K14:$K$17))),4)</f>
        <v>1.0335000000000001</v>
      </c>
      <c r="S14" s="3162">
        <f>ROUND(IF(项目基本情况!$B$8="出让",SUMPRODUCT(PRODUCT(1+L14:$L$18)),SUMPRODUCT(PRODUCT(1+L14:$L$17))),4)</f>
        <v>1.0182</v>
      </c>
      <c r="T14" s="3162">
        <f>ROUND(IF(项目基本情况!$B$8="出让",SUMPRODUCT(PRODUCT(1+M14:$M$18)),SUMPRODUCT(PRODUCT(1+M14:$M$17))),4)</f>
        <v>1.0108999999999999</v>
      </c>
      <c r="U14" s="3162">
        <f>ROUND(IF(项目基本情况!$B$8="出让",SUMPRODUCT(PRODUCT(1+N14:$N$18)),SUMPRODUCT(PRODUCT(1+N14:$N$17))),4)</f>
        <v>1.0361</v>
      </c>
      <c r="V14" s="3162">
        <f>ROUND(IF(项目基本情况!$B$8="出让",SUMPRODUCT(PRODUCT(1+O14:$O$18)),SUMPRODUCT(PRODUCT(1+O14:$O$17))),4)</f>
        <v>1.0270999999999999</v>
      </c>
      <c r="W14" s="3162">
        <f t="shared" si="24"/>
        <v>1.0108999999999999</v>
      </c>
      <c r="X14" s="3160"/>
      <c r="Y14" s="3163">
        <f>IF(D14=0,0,ROUND(AVERAGE(D14:D18)/100,4))</f>
        <v>8.6E-3</v>
      </c>
      <c r="Z14" s="3163">
        <f t="shared" ref="Z14:AC14" si="29">IF(E14=0,0,ROUND(AVERAGE(E14:E18)/100,4))</f>
        <v>3.8999999999999998E-3</v>
      </c>
      <c r="AA14" s="3163">
        <f t="shared" si="29"/>
        <v>1.6999999999999999E-3</v>
      </c>
      <c r="AB14" s="3163">
        <f t="shared" si="29"/>
        <v>9.2999999999999992E-3</v>
      </c>
      <c r="AC14" s="3163">
        <f t="shared" si="29"/>
        <v>6.1000000000000004E-3</v>
      </c>
      <c r="AD14" s="3163">
        <f t="shared" si="7"/>
        <v>1.6999999999999999E-3</v>
      </c>
    </row>
    <row r="15" spans="1:30" s="3164" customFormat="1" ht="12.75">
      <c r="A15" s="3155" t="s">
        <v>2807</v>
      </c>
      <c r="B15" s="3156">
        <v>2021</v>
      </c>
      <c r="C15" s="3157">
        <v>4</v>
      </c>
      <c r="D15" s="3158">
        <v>1.03</v>
      </c>
      <c r="E15" s="3158">
        <v>0.24</v>
      </c>
      <c r="F15" s="3158">
        <v>7.0000000000000007E-2</v>
      </c>
      <c r="G15" s="3158">
        <v>1.17</v>
      </c>
      <c r="H15" s="3175">
        <v>0.55000000000000004</v>
      </c>
      <c r="I15" s="3159">
        <f t="shared" si="4"/>
        <v>7.0000000000000007E-2</v>
      </c>
      <c r="J15" s="3160"/>
      <c r="K15" s="3161">
        <f t="shared" si="5"/>
        <v>1.03E-2</v>
      </c>
      <c r="L15" s="3151">
        <f t="shared" si="5"/>
        <v>2.3999999999999998E-3</v>
      </c>
      <c r="M15" s="3151">
        <f t="shared" si="5"/>
        <v>7.000000000000001E-4</v>
      </c>
      <c r="N15" s="3151">
        <f t="shared" si="5"/>
        <v>1.1699999999999999E-2</v>
      </c>
      <c r="O15" s="3151">
        <f t="shared" si="5"/>
        <v>5.5000000000000005E-3</v>
      </c>
      <c r="P15" s="3151">
        <f t="shared" si="25"/>
        <v>7.000000000000001E-4</v>
      </c>
      <c r="Q15" s="3160"/>
      <c r="R15" s="3162">
        <f>ROUND(IF(项目基本情况!$B$8="出让",SUMPRODUCT(PRODUCT(1+K15:$K$18)),SUMPRODUCT(PRODUCT(1+K15:$K$17))),4)</f>
        <v>1.0244</v>
      </c>
      <c r="S15" s="3162">
        <f>ROUND(IF(项目基本情况!$B$8="出让",SUMPRODUCT(PRODUCT(1+L15:$L$18)),SUMPRODUCT(PRODUCT(1+L15:$L$17))),4)</f>
        <v>1.0138</v>
      </c>
      <c r="T15" s="3162">
        <f>ROUND(IF(项目基本情况!$B$8="出让",SUMPRODUCT(PRODUCT(1+M15:$M$18)),SUMPRODUCT(PRODUCT(1+M15:$M$17))),4)</f>
        <v>1.0072000000000001</v>
      </c>
      <c r="U15" s="3162">
        <f>ROUND(IF(项目基本情况!$B$8="出让",SUMPRODUCT(PRODUCT(1+N15:$N$18)),SUMPRODUCT(PRODUCT(1+N15:$N$17))),4)</f>
        <v>1.0262</v>
      </c>
      <c r="V15" s="3162">
        <f>ROUND(IF(项目基本情况!$B$8="出让",SUMPRODUCT(PRODUCT(1+O15:$O$18)),SUMPRODUCT(PRODUCT(1+O15:$O$17))),4)</f>
        <v>1.0205</v>
      </c>
      <c r="W15" s="3162">
        <f t="shared" si="24"/>
        <v>1.0072000000000001</v>
      </c>
      <c r="X15" s="3160"/>
      <c r="Y15" s="3163">
        <f>IF(D15=0,0,ROUND(AVERAGE(D15:D18)/100,4))</f>
        <v>8.5000000000000006E-3</v>
      </c>
      <c r="Z15" s="3163">
        <f t="shared" ref="Z15:AC15" si="30">IF(E15=0,0,ROUND(AVERAGE(E15:E18)/100,4))</f>
        <v>3.8E-3</v>
      </c>
      <c r="AA15" s="3163">
        <f t="shared" si="30"/>
        <v>1.1999999999999999E-3</v>
      </c>
      <c r="AB15" s="3163">
        <f t="shared" si="30"/>
        <v>9.2999999999999992E-3</v>
      </c>
      <c r="AC15" s="3163">
        <f t="shared" si="30"/>
        <v>6.0000000000000001E-3</v>
      </c>
      <c r="AD15" s="3163">
        <f t="shared" si="7"/>
        <v>1.1999999999999999E-3</v>
      </c>
    </row>
    <row r="16" spans="1:30" s="3164" customFormat="1" ht="12.75">
      <c r="A16" s="3155" t="s">
        <v>2808</v>
      </c>
      <c r="B16" s="3156">
        <v>2021</v>
      </c>
      <c r="C16" s="3157">
        <v>3</v>
      </c>
      <c r="D16" s="3158">
        <v>0.47</v>
      </c>
      <c r="E16" s="3158">
        <v>0.41</v>
      </c>
      <c r="F16" s="3158">
        <v>0.24</v>
      </c>
      <c r="G16" s="3158">
        <v>0.48</v>
      </c>
      <c r="H16" s="3175">
        <v>0.48</v>
      </c>
      <c r="I16" s="3159">
        <f t="shared" si="4"/>
        <v>0.24</v>
      </c>
      <c r="J16" s="3160"/>
      <c r="K16" s="3161">
        <f t="shared" si="5"/>
        <v>4.6999999999999993E-3</v>
      </c>
      <c r="L16" s="3151">
        <f t="shared" si="5"/>
        <v>4.0999999999999995E-3</v>
      </c>
      <c r="M16" s="3151">
        <f t="shared" si="5"/>
        <v>2.3999999999999998E-3</v>
      </c>
      <c r="N16" s="3151">
        <f t="shared" si="5"/>
        <v>4.7999999999999996E-3</v>
      </c>
      <c r="O16" s="3151">
        <f t="shared" si="5"/>
        <v>4.7999999999999996E-3</v>
      </c>
      <c r="P16" s="3151">
        <f t="shared" si="25"/>
        <v>2.3999999999999998E-3</v>
      </c>
      <c r="Q16" s="3160"/>
      <c r="R16" s="3162">
        <f>ROUND(IF(项目基本情况!$B$8="出让",SUMPRODUCT(PRODUCT(1+K16:$K$18)),SUMPRODUCT(PRODUCT(1+K16:$K$17))),4)</f>
        <v>1.0139</v>
      </c>
      <c r="S16" s="3162">
        <f>ROUND(IF(项目基本情况!$B$8="出让",SUMPRODUCT(PRODUCT(1+L16:$L$18)),SUMPRODUCT(PRODUCT(1+L16:$L$17))),4)</f>
        <v>1.0113000000000001</v>
      </c>
      <c r="T16" s="3162">
        <f>ROUND(IF(项目基本情况!$B$8="出让",SUMPRODUCT(PRODUCT(1+M16:$M$18)),SUMPRODUCT(PRODUCT(1+M16:$M$17))),4)</f>
        <v>1.0065</v>
      </c>
      <c r="U16" s="3162">
        <f>ROUND(IF(项目基本情况!$B$8="出让",SUMPRODUCT(PRODUCT(1+N16:$N$18)),SUMPRODUCT(PRODUCT(1+N16:$N$17))),4)</f>
        <v>1.0143</v>
      </c>
      <c r="V16" s="3162">
        <f>ROUND(IF(项目基本情况!$B$8="出让",SUMPRODUCT(PRODUCT(1+O16:$O$18)),SUMPRODUCT(PRODUCT(1+O16:$O$17))),4)</f>
        <v>1.0148999999999999</v>
      </c>
      <c r="W16" s="3162">
        <f t="shared" si="24"/>
        <v>1.0065</v>
      </c>
      <c r="X16" s="3160"/>
      <c r="Y16" s="3163">
        <f>IF(D16=0,0,ROUND(AVERAGE(D16:D18)/100,4))</f>
        <v>7.9000000000000008E-3</v>
      </c>
      <c r="Z16" s="3163">
        <f>IF(E16=0,0,ROUND(AVERAGE(E16:E18)/100,4))</f>
        <v>4.3E-3</v>
      </c>
      <c r="AA16" s="3163">
        <f>IF(F16=0,0,ROUND(AVERAGE(F16:F18)/100,4))</f>
        <v>1.2999999999999999E-3</v>
      </c>
      <c r="AB16" s="3163">
        <f>IF(G16=0,0,ROUND(AVERAGE(G16:G18)/100,4))</f>
        <v>8.5000000000000006E-3</v>
      </c>
      <c r="AC16" s="3163">
        <f>IF(H16=0,0,ROUND(AVERAGE(H16:H18)/100,4))</f>
        <v>6.1999999999999998E-3</v>
      </c>
      <c r="AD16" s="3163">
        <f t="shared" si="7"/>
        <v>1.2999999999999999E-3</v>
      </c>
    </row>
    <row r="17" spans="1:30" s="3164" customFormat="1" ht="12.75">
      <c r="A17" s="3155" t="s">
        <v>2809</v>
      </c>
      <c r="B17" s="3156">
        <v>2021</v>
      </c>
      <c r="C17" s="3157">
        <v>2</v>
      </c>
      <c r="D17" s="3158">
        <v>0.92</v>
      </c>
      <c r="E17" s="3158">
        <v>0.72</v>
      </c>
      <c r="F17" s="3158">
        <v>0.41</v>
      </c>
      <c r="G17" s="3158">
        <v>0.95</v>
      </c>
      <c r="H17" s="3175">
        <v>1.01</v>
      </c>
      <c r="I17" s="3159">
        <f t="shared" si="4"/>
        <v>0.41</v>
      </c>
      <c r="J17" s="3160"/>
      <c r="K17" s="3161">
        <f t="shared" si="5"/>
        <v>9.1999999999999998E-3</v>
      </c>
      <c r="L17" s="3151">
        <f t="shared" si="5"/>
        <v>7.1999999999999998E-3</v>
      </c>
      <c r="M17" s="3151">
        <f t="shared" si="5"/>
        <v>4.0999999999999995E-3</v>
      </c>
      <c r="N17" s="3151">
        <f t="shared" si="5"/>
        <v>9.4999999999999998E-3</v>
      </c>
      <c r="O17" s="3151">
        <f t="shared" si="5"/>
        <v>1.01E-2</v>
      </c>
      <c r="P17" s="3151">
        <f t="shared" si="25"/>
        <v>4.0999999999999995E-3</v>
      </c>
      <c r="Q17" s="3160"/>
      <c r="R17" s="3162">
        <f>ROUND(IF(项目基本情况!$B$8="出让",SUMPRODUCT(PRODUCT(1+K17:$K$18)),SUMPRODUCT(PRODUCT(1+K17:$K$17))),4)</f>
        <v>1.0092000000000001</v>
      </c>
      <c r="S17" s="3162">
        <f>ROUND(IF(项目基本情况!$B$8="出让",SUMPRODUCT(PRODUCT(1+L17:$L$18)),SUMPRODUCT(PRODUCT(1+L17:$L$17))),4)</f>
        <v>1.0072000000000001</v>
      </c>
      <c r="T17" s="3162">
        <f>ROUND(IF(项目基本情况!$B$8="出让",SUMPRODUCT(PRODUCT(1+M17:$M$18)),SUMPRODUCT(PRODUCT(1+M17:$M$17))),4)</f>
        <v>1.0041</v>
      </c>
      <c r="U17" s="3162">
        <f>ROUND(IF(项目基本情况!$B$8="出让",SUMPRODUCT(PRODUCT(1+N17:$N$18)),SUMPRODUCT(PRODUCT(1+N17:$N$17))),4)</f>
        <v>1.0095000000000001</v>
      </c>
      <c r="V17" s="3162">
        <f>ROUND(IF(项目基本情况!$B$8="出让",SUMPRODUCT(PRODUCT(1+O17:$O$18)),SUMPRODUCT(PRODUCT(1+O17:$O$17))),4)</f>
        <v>1.0101</v>
      </c>
      <c r="W17" s="3162">
        <f t="shared" si="24"/>
        <v>1.0041</v>
      </c>
      <c r="X17" s="3160"/>
      <c r="Y17" s="3163">
        <f>IF(D17=0,0,ROUND(AVERAGE(D17:D18)/100,4))</f>
        <v>9.4999999999999998E-3</v>
      </c>
      <c r="Z17" s="3163">
        <f>IF(E17=0,0,ROUND(AVERAGE(E17:E18)/100,4))</f>
        <v>4.4000000000000003E-3</v>
      </c>
      <c r="AA17" s="3163">
        <f>IF(F17=0,0,ROUND(AVERAGE(F17:F18)/100,4))</f>
        <v>8.0000000000000004E-4</v>
      </c>
      <c r="AB17" s="3163">
        <f>IF(G17=0,0,ROUND(AVERAGE(G17:G18)/100,4))</f>
        <v>1.03E-2</v>
      </c>
      <c r="AC17" s="3163">
        <f>IF(H17=0,0,ROUND(AVERAGE(H17:H18)/100,4))</f>
        <v>6.8999999999999999E-3</v>
      </c>
      <c r="AD17" s="3163">
        <f t="shared" si="7"/>
        <v>8.0000000000000004E-4</v>
      </c>
    </row>
    <row r="18" spans="1:30" s="3186" customFormat="1" thickBot="1">
      <c r="A18" s="3176" t="s">
        <v>2810</v>
      </c>
      <c r="B18" s="3177">
        <v>2021</v>
      </c>
      <c r="C18" s="3178">
        <v>1</v>
      </c>
      <c r="D18" s="3179">
        <v>0.97</v>
      </c>
      <c r="E18" s="3179">
        <v>0.16</v>
      </c>
      <c r="F18" s="3179">
        <v>-0.25</v>
      </c>
      <c r="G18" s="3179">
        <v>1.1100000000000001</v>
      </c>
      <c r="H18" s="3180">
        <v>0.36</v>
      </c>
      <c r="I18" s="3181">
        <f t="shared" si="4"/>
        <v>-0.25</v>
      </c>
      <c r="J18" s="3182"/>
      <c r="K18" s="3183">
        <f t="shared" si="5"/>
        <v>9.7000000000000003E-3</v>
      </c>
      <c r="L18" s="3184">
        <f t="shared" si="5"/>
        <v>1.6000000000000001E-3</v>
      </c>
      <c r="M18" s="3184">
        <f>F18/100</f>
        <v>-2.5000000000000001E-3</v>
      </c>
      <c r="N18" s="3184">
        <f t="shared" si="5"/>
        <v>1.11E-2</v>
      </c>
      <c r="O18" s="3184">
        <f t="shared" si="5"/>
        <v>3.5999999999999999E-3</v>
      </c>
      <c r="P18" s="3184">
        <f t="shared" si="25"/>
        <v>-2.5000000000000001E-3</v>
      </c>
      <c r="Q18" s="3182"/>
      <c r="R18" s="3185">
        <v>1</v>
      </c>
      <c r="S18" s="3185">
        <v>1</v>
      </c>
      <c r="T18" s="3185">
        <v>1</v>
      </c>
      <c r="U18" s="3185">
        <v>1</v>
      </c>
      <c r="V18" s="3185">
        <v>1</v>
      </c>
      <c r="W18" s="3185">
        <f t="shared" ref="W18" si="31">T18</f>
        <v>1</v>
      </c>
      <c r="X18" s="3182"/>
      <c r="Y18" s="3184">
        <f>IF(D18=0,0,ROUND(AVERAGE(D18:D18)/100,4))</f>
        <v>9.7000000000000003E-3</v>
      </c>
      <c r="Z18" s="3184">
        <f>IF(E18=0,0,ROUND(AVERAGE(E18:E18)/100,4))</f>
        <v>1.6000000000000001E-3</v>
      </c>
      <c r="AA18" s="3184">
        <f>IF(F18=0,0,ROUND(AVERAGE(F18:F18)/100,4))</f>
        <v>-2.5000000000000001E-3</v>
      </c>
      <c r="AB18" s="3184">
        <f>IF(G18=0,0,ROUND(AVERAGE(G18:G18)/100,4))</f>
        <v>1.11E-2</v>
      </c>
      <c r="AC18" s="3184">
        <f>IF(H18=0,0,ROUND(AVERAGE(H18:H18)/100,4))</f>
        <v>3.5999999999999999E-3</v>
      </c>
      <c r="AD18" s="3184">
        <f>AA18</f>
        <v>-2.5000000000000001E-3</v>
      </c>
    </row>
    <row r="19" spans="1:30" s="2988" customFormat="1" ht="14.25" thickTop="1"/>
    <row r="20" spans="1:30" s="2988" customFormat="1">
      <c r="A20" s="3427" t="s">
        <v>3352</v>
      </c>
    </row>
    <row r="21" spans="1:30" s="2988" customFormat="1">
      <c r="I21" s="3187" t="s">
        <v>2811</v>
      </c>
    </row>
    <row r="22" spans="1:30" s="2988" customFormat="1"/>
    <row r="23" spans="1:30" s="3188" customFormat="1" ht="12.75">
      <c r="B23" s="3189" t="s">
        <v>3358</v>
      </c>
      <c r="C23" s="3190"/>
      <c r="D23" s="3190"/>
      <c r="E23" s="3190"/>
      <c r="F23" s="3190"/>
      <c r="G23" s="3190"/>
      <c r="H23" s="3190"/>
      <c r="I23" s="3190"/>
      <c r="J23" s="3144"/>
      <c r="K23" s="3190" t="s">
        <v>2812</v>
      </c>
      <c r="L23" s="3190"/>
      <c r="M23" s="3190"/>
      <c r="N23" s="3190"/>
      <c r="O23" s="3190"/>
      <c r="P23" s="3190"/>
      <c r="Q23" s="3144"/>
      <c r="R23" s="3796" t="s">
        <v>2813</v>
      </c>
      <c r="S23" s="3797"/>
      <c r="T23" s="3797"/>
      <c r="U23" s="3797"/>
      <c r="V23" s="3797"/>
      <c r="W23" s="3797"/>
      <c r="X23" s="3144"/>
      <c r="Y23" s="3796" t="s">
        <v>2814</v>
      </c>
      <c r="Z23" s="3797"/>
      <c r="AA23" s="3797"/>
      <c r="AB23" s="3797"/>
      <c r="AC23" s="3797"/>
      <c r="AD23" s="3797"/>
    </row>
    <row r="24" spans="1:30" s="3122" customFormat="1" ht="14.25" thickBot="1">
      <c r="B24" s="3123"/>
      <c r="C24" s="3124"/>
      <c r="D24" s="3125" t="s">
        <v>2815</v>
      </c>
      <c r="E24" s="3126" t="s">
        <v>2816</v>
      </c>
      <c r="F24" s="3126" t="s">
        <v>2817</v>
      </c>
      <c r="G24" s="3126" t="s">
        <v>2818</v>
      </c>
      <c r="H24" s="3126"/>
      <c r="I24" s="3126" t="s">
        <v>2819</v>
      </c>
      <c r="J24" s="3127"/>
      <c r="K24" s="3125" t="s">
        <v>2815</v>
      </c>
      <c r="L24" s="3126" t="s">
        <v>2816</v>
      </c>
      <c r="M24" s="3126" t="s">
        <v>2817</v>
      </c>
      <c r="N24" s="3126" t="s">
        <v>2818</v>
      </c>
      <c r="O24" s="3126"/>
      <c r="P24" s="3126" t="s">
        <v>2819</v>
      </c>
      <c r="Q24" s="3127"/>
      <c r="R24" s="3125" t="s">
        <v>2815</v>
      </c>
      <c r="S24" s="3126" t="s">
        <v>2816</v>
      </c>
      <c r="T24" s="3126" t="s">
        <v>2817</v>
      </c>
      <c r="U24" s="3126" t="s">
        <v>2818</v>
      </c>
      <c r="V24" s="3126"/>
      <c r="W24" s="3126" t="s">
        <v>2819</v>
      </c>
      <c r="X24" s="3127"/>
      <c r="Y24" s="3125" t="s">
        <v>2815</v>
      </c>
      <c r="Z24" s="3126" t="s">
        <v>2816</v>
      </c>
      <c r="AA24" s="3126" t="s">
        <v>2817</v>
      </c>
      <c r="AB24" s="3126" t="s">
        <v>2818</v>
      </c>
      <c r="AC24" s="3126"/>
      <c r="AD24" s="3126" t="s">
        <v>2819</v>
      </c>
    </row>
    <row r="25" spans="1:30" s="3140" customFormat="1" ht="12.75">
      <c r="A25" s="3128" t="s">
        <v>2820</v>
      </c>
      <c r="B25" s="3129"/>
      <c r="C25" s="3130"/>
      <c r="D25" s="3130"/>
      <c r="E25" s="3130">
        <f t="shared" ref="E25:G25" si="32">ROUND(AVERAGEIF(E26:E40,"&lt;&gt;0"),2)</f>
        <v>0.39</v>
      </c>
      <c r="F25" s="3130">
        <f t="shared" si="32"/>
        <v>0.28000000000000003</v>
      </c>
      <c r="G25" s="3130">
        <f t="shared" si="32"/>
        <v>0.67</v>
      </c>
      <c r="H25" s="3130"/>
      <c r="I25" s="3130">
        <f>F25</f>
        <v>0.28000000000000003</v>
      </c>
      <c r="J25" s="3131"/>
      <c r="K25" s="3132"/>
      <c r="L25" s="3133">
        <f t="shared" ref="L25:N25" si="33">ROUND(AVERAGEIF(L26:L40,"&lt;&gt;0"),4)</f>
        <v>3.8999999999999998E-3</v>
      </c>
      <c r="M25" s="3133">
        <f t="shared" si="33"/>
        <v>2.8E-3</v>
      </c>
      <c r="N25" s="3133">
        <f t="shared" si="33"/>
        <v>6.7000000000000002E-3</v>
      </c>
      <c r="O25" s="3133"/>
      <c r="P25" s="3133">
        <f>M25</f>
        <v>2.8E-3</v>
      </c>
      <c r="Q25" s="3131"/>
      <c r="R25" s="3134"/>
      <c r="S25" s="3135">
        <f>ROUND(SUMPRODUCT(PRODUCT(1+L26:L40)),4)</f>
        <v>1.0476000000000001</v>
      </c>
      <c r="T25" s="3135">
        <f t="shared" ref="T25:U25" si="34">ROUND(SUMPRODUCT(PRODUCT(1+M26:M40)),4)</f>
        <v>1.0346</v>
      </c>
      <c r="U25" s="3135">
        <f t="shared" si="34"/>
        <v>1.0831999999999999</v>
      </c>
      <c r="V25" s="3135"/>
      <c r="W25" s="3134">
        <f>T25</f>
        <v>1.0346</v>
      </c>
      <c r="X25" s="3131"/>
      <c r="Y25" s="3136"/>
      <c r="Z25" s="3137">
        <f t="shared" ref="Z25:AB25" si="35">ROUND(AVERAGEIF(Z26:Z40,"&lt;&gt;0"),4)</f>
        <v>4.3E-3</v>
      </c>
      <c r="AA25" s="3138">
        <f t="shared" si="35"/>
        <v>3.5999999999999999E-3</v>
      </c>
      <c r="AB25" s="3136">
        <f t="shared" si="35"/>
        <v>8.8999999999999999E-3</v>
      </c>
      <c r="AC25" s="3139"/>
      <c r="AD25" s="3136">
        <f>AA25</f>
        <v>3.5999999999999999E-3</v>
      </c>
    </row>
    <row r="26" spans="1:30" s="3141" customFormat="1" ht="12.75">
      <c r="B26" s="3142"/>
      <c r="C26" s="3143"/>
      <c r="D26" s="3143"/>
      <c r="E26" s="3143"/>
      <c r="F26" s="3143"/>
      <c r="G26" s="3143"/>
      <c r="H26" s="3143"/>
      <c r="I26" s="3143"/>
      <c r="J26" s="3144"/>
      <c r="K26" s="3145"/>
      <c r="L26" s="3146"/>
      <c r="M26" s="3146"/>
      <c r="N26" s="3146"/>
      <c r="O26" s="3146"/>
      <c r="P26" s="3146"/>
      <c r="Q26" s="3144"/>
      <c r="R26" s="3147"/>
      <c r="S26" s="3148"/>
      <c r="T26" s="3149"/>
      <c r="U26" s="3147"/>
      <c r="V26" s="3150"/>
      <c r="W26" s="3147"/>
      <c r="X26" s="3144"/>
      <c r="Y26" s="3151"/>
      <c r="Z26" s="3152"/>
      <c r="AA26" s="3153"/>
      <c r="AB26" s="3151"/>
      <c r="AC26" s="3154"/>
      <c r="AD26" s="3151"/>
    </row>
    <row r="27" spans="1:30" s="3164" customFormat="1" ht="12.75">
      <c r="A27" s="2205" t="s">
        <v>3360</v>
      </c>
      <c r="B27" s="3156">
        <v>2024</v>
      </c>
      <c r="C27" s="3157">
        <v>2</v>
      </c>
      <c r="D27" s="3158"/>
      <c r="E27" s="3158">
        <v>0</v>
      </c>
      <c r="F27" s="3158">
        <v>0</v>
      </c>
      <c r="G27" s="3158">
        <v>0</v>
      </c>
      <c r="H27" s="3158"/>
      <c r="I27" s="3159">
        <f t="shared" ref="I27:I40" si="36">F27</f>
        <v>0</v>
      </c>
      <c r="J27" s="3160"/>
      <c r="K27" s="3161"/>
      <c r="L27" s="3151">
        <f t="shared" ref="L27:N40" si="37">E27/100</f>
        <v>0</v>
      </c>
      <c r="M27" s="3151">
        <f t="shared" si="37"/>
        <v>0</v>
      </c>
      <c r="N27" s="3151">
        <f t="shared" si="37"/>
        <v>0</v>
      </c>
      <c r="O27" s="3151"/>
      <c r="P27" s="3151">
        <f>M27</f>
        <v>0</v>
      </c>
      <c r="Q27" s="3160"/>
      <c r="R27" s="3162"/>
      <c r="S27" s="3162">
        <f>ROUND(IF(项目基本情况!$B$8="出让",SUMPRODUCT(PRODUCT(1+L27:L$40)),SUMPRODUCT(PRODUCT(1+L27:L$39))),4)</f>
        <v>1.0439000000000001</v>
      </c>
      <c r="T27" s="3162">
        <f>ROUND(IF(项目基本情况!$B$8="出让",SUMPRODUCT(PRODUCT(1+M27:M$40)),SUMPRODUCT(PRODUCT(1+M27:M$39))),4)</f>
        <v>1.0297000000000001</v>
      </c>
      <c r="U27" s="3162">
        <f>ROUND(IF(项目基本情况!$B$8="出让",SUMPRODUCT(PRODUCT(1+N27:N$40)),SUMPRODUCT(PRODUCT(1+N27:N$39))),4)</f>
        <v>1.0727</v>
      </c>
      <c r="V27" s="3162"/>
      <c r="W27" s="3162">
        <f>T27</f>
        <v>1.0297000000000001</v>
      </c>
      <c r="X27" s="3160"/>
      <c r="Y27" s="3163"/>
      <c r="Z27" s="3191">
        <f>IF(E27=0,0,ROUND(AVERAGE(E27:E40)/100,4))</f>
        <v>0</v>
      </c>
      <c r="AA27" s="3191">
        <f>IF(F27=0,0,ROUND(AVERAGE(F27:F40)/100,4))</f>
        <v>0</v>
      </c>
      <c r="AB27" s="3191">
        <f>IF(G27=0,0,ROUND(AVERAGE(G27:G40)/100,4))</f>
        <v>0</v>
      </c>
      <c r="AC27" s="3192"/>
      <c r="AD27" s="3163">
        <f>IF(I27=0,0,ROUND(AVERAGE(I27:I40)/100,4))</f>
        <v>0</v>
      </c>
    </row>
    <row r="28" spans="1:30" s="3164" customFormat="1" ht="12.75">
      <c r="A28" s="2205" t="s">
        <v>3361</v>
      </c>
      <c r="B28" s="3156">
        <v>2024</v>
      </c>
      <c r="C28" s="3157">
        <v>1</v>
      </c>
      <c r="D28" s="3158"/>
      <c r="E28" s="3158">
        <v>0</v>
      </c>
      <c r="F28" s="3158">
        <v>0</v>
      </c>
      <c r="G28" s="3158">
        <v>0</v>
      </c>
      <c r="H28" s="3158"/>
      <c r="I28" s="3159">
        <f t="shared" ref="I28:I29" si="38">F28</f>
        <v>0</v>
      </c>
      <c r="J28" s="3160"/>
      <c r="K28" s="3161"/>
      <c r="L28" s="3151">
        <f t="shared" ref="L28" si="39">E28/100</f>
        <v>0</v>
      </c>
      <c r="M28" s="3151">
        <f t="shared" ref="M28" si="40">F28/100</f>
        <v>0</v>
      </c>
      <c r="N28" s="3151">
        <f t="shared" ref="N28" si="41">G28/100</f>
        <v>0</v>
      </c>
      <c r="O28" s="3151"/>
      <c r="P28" s="3151">
        <f t="shared" ref="P28" si="42">M28</f>
        <v>0</v>
      </c>
      <c r="Q28" s="3160"/>
      <c r="R28" s="3162"/>
      <c r="S28" s="3162">
        <f>ROUND(IF(项目基本情况!$B$8="出让",SUMPRODUCT(PRODUCT(1+L28:L$40)),SUMPRODUCT(PRODUCT(1+L28:L$39))),4)</f>
        <v>1.0439000000000001</v>
      </c>
      <c r="T28" s="3162">
        <f>ROUND(IF(项目基本情况!$B$8="出让",SUMPRODUCT(PRODUCT(1+M28:M$40)),SUMPRODUCT(PRODUCT(1+M28:M$39))),4)</f>
        <v>1.0297000000000001</v>
      </c>
      <c r="U28" s="3162">
        <f>ROUND(IF(项目基本情况!$B$8="出让",SUMPRODUCT(PRODUCT(1+N28:N$40)),SUMPRODUCT(PRODUCT(1+N28:N$39))),4)</f>
        <v>1.0727</v>
      </c>
      <c r="V28" s="3162"/>
      <c r="W28" s="3162">
        <f t="shared" ref="W28" si="43">T28</f>
        <v>1.0297000000000001</v>
      </c>
      <c r="X28" s="3160"/>
      <c r="Y28" s="3163"/>
      <c r="Z28" s="3191"/>
      <c r="AA28" s="3193"/>
      <c r="AB28" s="3163"/>
      <c r="AC28" s="3192"/>
      <c r="AD28" s="3163"/>
    </row>
    <row r="29" spans="1:30" s="3174" customFormat="1" ht="12.75">
      <c r="A29" s="3165" t="s">
        <v>3365</v>
      </c>
      <c r="B29" s="3166">
        <v>2023</v>
      </c>
      <c r="C29" s="3167">
        <v>4</v>
      </c>
      <c r="D29" s="3168"/>
      <c r="E29" s="3168">
        <v>7.0000000000000007E-2</v>
      </c>
      <c r="F29" s="3168">
        <v>0.09</v>
      </c>
      <c r="G29" s="3168">
        <v>0.03</v>
      </c>
      <c r="H29" s="3169"/>
      <c r="I29" s="3170">
        <f t="shared" si="38"/>
        <v>0.09</v>
      </c>
      <c r="J29" s="3171"/>
      <c r="K29" s="3172"/>
      <c r="L29" s="3173">
        <f t="shared" si="37"/>
        <v>7.000000000000001E-4</v>
      </c>
      <c r="M29" s="3173">
        <f t="shared" si="37"/>
        <v>8.9999999999999998E-4</v>
      </c>
      <c r="N29" s="3173">
        <f t="shared" si="37"/>
        <v>2.9999999999999997E-4</v>
      </c>
      <c r="O29" s="3173"/>
      <c r="P29" s="3173">
        <f t="shared" ref="P29" si="44">M29</f>
        <v>8.9999999999999998E-4</v>
      </c>
      <c r="Q29" s="3171"/>
      <c r="R29" s="3171"/>
      <c r="S29" s="3171">
        <f>ROUND(IF(项目基本情况!$B$8="出让",SUMPRODUCT(PRODUCT(1+L29:L$40)),SUMPRODUCT(PRODUCT(1+L29:L$39))),4)</f>
        <v>1.0439000000000001</v>
      </c>
      <c r="T29" s="3171">
        <f>ROUND(IF(项目基本情况!$B$8="出让",SUMPRODUCT(PRODUCT(1+M29:M$40)),SUMPRODUCT(PRODUCT(1+M29:M$39))),4)</f>
        <v>1.0297000000000001</v>
      </c>
      <c r="U29" s="3171">
        <f>ROUND(IF(项目基本情况!$B$8="出让",SUMPRODUCT(PRODUCT(1+N29:N$40)),SUMPRODUCT(PRODUCT(1+N29:N$39))),4)</f>
        <v>1.0727</v>
      </c>
      <c r="V29" s="3171"/>
      <c r="W29" s="3171">
        <f t="shared" ref="W29" si="45">T29</f>
        <v>1.0297000000000001</v>
      </c>
      <c r="X29" s="3171"/>
      <c r="Y29" s="3173"/>
      <c r="Z29" s="3194"/>
      <c r="AA29" s="3195"/>
      <c r="AB29" s="3173"/>
      <c r="AC29" s="3196"/>
      <c r="AD29" s="3173"/>
    </row>
    <row r="30" spans="1:30" s="3164" customFormat="1" ht="12.75">
      <c r="A30" s="3155" t="s">
        <v>3364</v>
      </c>
      <c r="B30" s="3156">
        <v>2023</v>
      </c>
      <c r="C30" s="3157">
        <v>3</v>
      </c>
      <c r="D30" s="3158"/>
      <c r="E30" s="3158">
        <v>0.35</v>
      </c>
      <c r="F30" s="3158">
        <v>0.17</v>
      </c>
      <c r="G30" s="3158">
        <v>0.52</v>
      </c>
      <c r="H30" s="3175"/>
      <c r="I30" s="3159">
        <f t="shared" si="36"/>
        <v>0.17</v>
      </c>
      <c r="J30" s="3160"/>
      <c r="K30" s="3161"/>
      <c r="L30" s="3151">
        <f t="shared" ref="L30:L32" si="46">E30/100</f>
        <v>3.4999999999999996E-3</v>
      </c>
      <c r="M30" s="3151">
        <f t="shared" ref="M30:M32" si="47">F30/100</f>
        <v>1.7000000000000001E-3</v>
      </c>
      <c r="N30" s="3151">
        <f t="shared" ref="N30:N32" si="48">G30/100</f>
        <v>5.1999999999999998E-3</v>
      </c>
      <c r="O30" s="3151"/>
      <c r="P30" s="3151">
        <f t="shared" ref="P30:P32" si="49">M30</f>
        <v>1.7000000000000001E-3</v>
      </c>
      <c r="Q30" s="3160"/>
      <c r="R30" s="3162"/>
      <c r="S30" s="3162">
        <f>ROUND(IF(项目基本情况!$B$8="出让",SUMPRODUCT(PRODUCT(1+L30:L$40)),SUMPRODUCT(PRODUCT(1+L30:L$39))),4)</f>
        <v>1.0431999999999999</v>
      </c>
      <c r="T30" s="3162">
        <f>ROUND(IF(项目基本情况!$B$8="出让",SUMPRODUCT(PRODUCT(1+M30:M$40)),SUMPRODUCT(PRODUCT(1+M30:M$39))),4)</f>
        <v>1.0286999999999999</v>
      </c>
      <c r="U30" s="3162">
        <f>ROUND(IF(项目基本情况!$B$8="出让",SUMPRODUCT(PRODUCT(1+N30:N$40)),SUMPRODUCT(PRODUCT(1+N30:N$39))),4)</f>
        <v>1.0723</v>
      </c>
      <c r="V30" s="3162"/>
      <c r="W30" s="3162">
        <f t="shared" ref="W30:W32" si="50">T30</f>
        <v>1.0286999999999999</v>
      </c>
      <c r="X30" s="3160"/>
      <c r="Y30" s="3163"/>
      <c r="Z30" s="3191"/>
      <c r="AA30" s="3193"/>
      <c r="AB30" s="3163"/>
      <c r="AC30" s="3192"/>
      <c r="AD30" s="3163"/>
    </row>
    <row r="31" spans="1:30" s="3164" customFormat="1" ht="12.75">
      <c r="A31" s="3155" t="s">
        <v>3359</v>
      </c>
      <c r="B31" s="3156">
        <v>2023</v>
      </c>
      <c r="C31" s="3157">
        <v>2</v>
      </c>
      <c r="D31" s="3158"/>
      <c r="E31" s="3158">
        <v>0.5</v>
      </c>
      <c r="F31" s="3158">
        <v>0.45</v>
      </c>
      <c r="G31" s="3158">
        <v>0.89</v>
      </c>
      <c r="H31" s="3175"/>
      <c r="I31" s="3159">
        <f t="shared" si="36"/>
        <v>0.45</v>
      </c>
      <c r="J31" s="3160"/>
      <c r="K31" s="3161"/>
      <c r="L31" s="3151">
        <f t="shared" si="46"/>
        <v>5.0000000000000001E-3</v>
      </c>
      <c r="M31" s="3151">
        <f t="shared" si="47"/>
        <v>4.5000000000000005E-3</v>
      </c>
      <c r="N31" s="3151">
        <f t="shared" si="48"/>
        <v>8.8999999999999999E-3</v>
      </c>
      <c r="O31" s="3151"/>
      <c r="P31" s="3151">
        <f t="shared" si="49"/>
        <v>4.5000000000000005E-3</v>
      </c>
      <c r="Q31" s="3160"/>
      <c r="R31" s="3162"/>
      <c r="S31" s="3162">
        <f>ROUND(IF(项目基本情况!$B$8="出让",SUMPRODUCT(PRODUCT(1+L31:L$40)),SUMPRODUCT(PRODUCT(1+L31:L$39))),4)</f>
        <v>1.0396000000000001</v>
      </c>
      <c r="T31" s="3162">
        <f>ROUND(IF(项目基本情况!$B$8="出让",SUMPRODUCT(PRODUCT(1+M31:M$40)),SUMPRODUCT(PRODUCT(1+M31:M$39))),4)</f>
        <v>1.0269999999999999</v>
      </c>
      <c r="U31" s="3162">
        <f>ROUND(IF(项目基本情况!$B$8="出让",SUMPRODUCT(PRODUCT(1+N31:N$40)),SUMPRODUCT(PRODUCT(1+N31:N$39))),4)</f>
        <v>1.0668</v>
      </c>
      <c r="V31" s="3162"/>
      <c r="W31" s="3162">
        <f t="shared" si="50"/>
        <v>1.0269999999999999</v>
      </c>
      <c r="X31" s="3160"/>
      <c r="Y31" s="3163"/>
      <c r="Z31" s="3191"/>
      <c r="AA31" s="3193"/>
      <c r="AB31" s="3163"/>
      <c r="AC31" s="3192"/>
      <c r="AD31" s="3163"/>
    </row>
    <row r="32" spans="1:30" s="3164" customFormat="1" ht="12.75">
      <c r="A32" s="3155" t="s">
        <v>3355</v>
      </c>
      <c r="B32" s="3156">
        <v>2023</v>
      </c>
      <c r="C32" s="3157">
        <v>1</v>
      </c>
      <c r="D32" s="3158"/>
      <c r="E32" s="3158">
        <v>0.55000000000000004</v>
      </c>
      <c r="F32" s="3158">
        <v>0.59</v>
      </c>
      <c r="G32" s="3158">
        <v>0.64</v>
      </c>
      <c r="H32" s="3175"/>
      <c r="I32" s="3159">
        <f t="shared" si="36"/>
        <v>0.59</v>
      </c>
      <c r="J32" s="3160"/>
      <c r="K32" s="3161"/>
      <c r="L32" s="3151">
        <f t="shared" si="46"/>
        <v>5.5000000000000005E-3</v>
      </c>
      <c r="M32" s="3151">
        <f t="shared" si="47"/>
        <v>5.8999999999999999E-3</v>
      </c>
      <c r="N32" s="3151">
        <f t="shared" si="48"/>
        <v>6.4000000000000003E-3</v>
      </c>
      <c r="O32" s="3151"/>
      <c r="P32" s="3151">
        <f t="shared" si="49"/>
        <v>5.8999999999999999E-3</v>
      </c>
      <c r="Q32" s="3160"/>
      <c r="R32" s="3162"/>
      <c r="S32" s="3162">
        <f>ROUND(IF(项目基本情况!$B$8="出让",SUMPRODUCT(PRODUCT(1+L32:L$40)),SUMPRODUCT(PRODUCT(1+L32:L$39))),4)</f>
        <v>1.0344</v>
      </c>
      <c r="T32" s="3162">
        <f>ROUND(IF(项目基本情况!$B$8="出让",SUMPRODUCT(PRODUCT(1+M32:M$40)),SUMPRODUCT(PRODUCT(1+M32:M$39))),4)</f>
        <v>1.0224</v>
      </c>
      <c r="U32" s="3162">
        <f>ROUND(IF(项目基本情况!$B$8="出让",SUMPRODUCT(PRODUCT(1+N32:N$40)),SUMPRODUCT(PRODUCT(1+N32:N$39))),4)</f>
        <v>1.0573999999999999</v>
      </c>
      <c r="V32" s="3162"/>
      <c r="W32" s="3162">
        <f t="shared" si="50"/>
        <v>1.0224</v>
      </c>
      <c r="X32" s="3160"/>
      <c r="Y32" s="3163"/>
      <c r="Z32" s="3191"/>
      <c r="AA32" s="3193"/>
      <c r="AB32" s="3163"/>
      <c r="AC32" s="3192"/>
      <c r="AD32" s="3163"/>
    </row>
    <row r="33" spans="1:30" s="3164" customFormat="1" ht="12.75">
      <c r="A33" s="3155" t="s">
        <v>3354</v>
      </c>
      <c r="B33" s="3156">
        <v>2022</v>
      </c>
      <c r="C33" s="3157">
        <v>4</v>
      </c>
      <c r="D33" s="3158"/>
      <c r="E33" s="3158">
        <v>0.45</v>
      </c>
      <c r="F33" s="3158">
        <v>0.2</v>
      </c>
      <c r="G33" s="3158">
        <v>0.38</v>
      </c>
      <c r="H33" s="3175"/>
      <c r="I33" s="3159">
        <f t="shared" si="36"/>
        <v>0.2</v>
      </c>
      <c r="J33" s="3160"/>
      <c r="K33" s="3161"/>
      <c r="L33" s="3151">
        <f t="shared" si="37"/>
        <v>4.5000000000000005E-3</v>
      </c>
      <c r="M33" s="3151">
        <f t="shared" si="37"/>
        <v>2E-3</v>
      </c>
      <c r="N33" s="3151">
        <f t="shared" si="37"/>
        <v>3.8E-3</v>
      </c>
      <c r="O33" s="3151"/>
      <c r="P33" s="3151">
        <f t="shared" ref="P33:P40" si="51">M33</f>
        <v>2E-3</v>
      </c>
      <c r="Q33" s="3160"/>
      <c r="R33" s="3162"/>
      <c r="S33" s="3162">
        <f>ROUND(IF(项目基本情况!$B$8="出让",SUMPRODUCT(PRODUCT(1+L33:L$40)),SUMPRODUCT(PRODUCT(1+L33:L$39))),4)</f>
        <v>1.0286999999999999</v>
      </c>
      <c r="T33" s="3162">
        <f>ROUND(IF(项目基本情况!$B$8="出让",SUMPRODUCT(PRODUCT(1+M33:M$40)),SUMPRODUCT(PRODUCT(1+M33:M$39))),4)</f>
        <v>1.0164</v>
      </c>
      <c r="U33" s="3162">
        <f>ROUND(IF(项目基本情况!$B$8="出让",SUMPRODUCT(PRODUCT(1+N33:N$40)),SUMPRODUCT(PRODUCT(1+N33:N$39))),4)</f>
        <v>1.0506</v>
      </c>
      <c r="V33" s="3162"/>
      <c r="W33" s="3162">
        <f t="shared" ref="W33:W40" si="52">T33</f>
        <v>1.0164</v>
      </c>
      <c r="X33" s="3160"/>
      <c r="Y33" s="3163"/>
      <c r="Z33" s="3191">
        <f t="shared" ref="Z33:AD40" si="53">IF(E33=0,0,ROUND(AVERAGE(E33:E41)/100,4))</f>
        <v>4.0000000000000001E-3</v>
      </c>
      <c r="AA33" s="3193">
        <f t="shared" si="53"/>
        <v>2.5999999999999999E-3</v>
      </c>
      <c r="AB33" s="3163">
        <f t="shared" si="53"/>
        <v>7.4000000000000003E-3</v>
      </c>
      <c r="AC33" s="3192"/>
      <c r="AD33" s="3163">
        <f t="shared" si="53"/>
        <v>2.5999999999999999E-3</v>
      </c>
    </row>
    <row r="34" spans="1:30" s="3164" customFormat="1" ht="12.75">
      <c r="A34" s="3155" t="s">
        <v>3351</v>
      </c>
      <c r="B34" s="3156">
        <v>2022</v>
      </c>
      <c r="C34" s="3157">
        <v>3</v>
      </c>
      <c r="D34" s="3158"/>
      <c r="E34" s="3158">
        <v>0.3</v>
      </c>
      <c r="F34" s="3158">
        <v>0.28999999999999998</v>
      </c>
      <c r="G34" s="3158">
        <v>0.83</v>
      </c>
      <c r="H34" s="3175"/>
      <c r="I34" s="3159">
        <f t="shared" si="36"/>
        <v>0.28999999999999998</v>
      </c>
      <c r="J34" s="3160"/>
      <c r="K34" s="3161"/>
      <c r="L34" s="3151">
        <f t="shared" si="37"/>
        <v>3.0000000000000001E-3</v>
      </c>
      <c r="M34" s="3151">
        <f t="shared" si="37"/>
        <v>2.8999999999999998E-3</v>
      </c>
      <c r="N34" s="3151">
        <f t="shared" si="37"/>
        <v>8.3000000000000001E-3</v>
      </c>
      <c r="O34" s="3151"/>
      <c r="P34" s="3151">
        <f t="shared" si="51"/>
        <v>2.8999999999999998E-3</v>
      </c>
      <c r="Q34" s="3160"/>
      <c r="R34" s="3162"/>
      <c r="S34" s="3162">
        <f>ROUND(IF(项目基本情况!$B$8="出让",SUMPRODUCT(PRODUCT(1+L34:L$40)),SUMPRODUCT(PRODUCT(1+L34:L$39))),4)</f>
        <v>1.0241</v>
      </c>
      <c r="T34" s="3162">
        <f>ROUND(IF(项目基本情况!$B$8="出让",SUMPRODUCT(PRODUCT(1+M34:M$40)),SUMPRODUCT(PRODUCT(1+M34:M$39))),4)</f>
        <v>1.0144</v>
      </c>
      <c r="U34" s="3162">
        <f>ROUND(IF(项目基本情况!$B$8="出让",SUMPRODUCT(PRODUCT(1+N34:N$40)),SUMPRODUCT(PRODUCT(1+N34:N$39))),4)</f>
        <v>1.0467</v>
      </c>
      <c r="V34" s="3162"/>
      <c r="W34" s="3162">
        <f t="shared" si="52"/>
        <v>1.0144</v>
      </c>
      <c r="X34" s="3160"/>
      <c r="Y34" s="3163"/>
      <c r="Z34" s="3191">
        <f t="shared" si="53"/>
        <v>3.8999999999999998E-3</v>
      </c>
      <c r="AA34" s="3193">
        <f t="shared" si="53"/>
        <v>2.7000000000000001E-3</v>
      </c>
      <c r="AB34" s="3163">
        <f t="shared" si="53"/>
        <v>7.9000000000000008E-3</v>
      </c>
      <c r="AC34" s="3192"/>
      <c r="AD34" s="3163">
        <f t="shared" si="53"/>
        <v>2.7000000000000001E-3</v>
      </c>
    </row>
    <row r="35" spans="1:30" s="3164" customFormat="1" ht="12.75">
      <c r="A35" s="3155" t="s">
        <v>3341</v>
      </c>
      <c r="B35" s="3156">
        <v>2022</v>
      </c>
      <c r="C35" s="3157">
        <v>2</v>
      </c>
      <c r="D35" s="3158"/>
      <c r="E35" s="3158">
        <v>-0.11</v>
      </c>
      <c r="F35" s="3158">
        <v>-0.13</v>
      </c>
      <c r="G35" s="3158">
        <v>0.53</v>
      </c>
      <c r="H35" s="3175"/>
      <c r="I35" s="3159">
        <f t="shared" si="36"/>
        <v>-0.13</v>
      </c>
      <c r="J35" s="3160"/>
      <c r="K35" s="3161"/>
      <c r="L35" s="3151">
        <f t="shared" si="37"/>
        <v>-1.1000000000000001E-3</v>
      </c>
      <c r="M35" s="3151">
        <f t="shared" si="37"/>
        <v>-1.2999999999999999E-3</v>
      </c>
      <c r="N35" s="3151">
        <f t="shared" si="37"/>
        <v>5.3E-3</v>
      </c>
      <c r="O35" s="3151"/>
      <c r="P35" s="3151">
        <f t="shared" si="51"/>
        <v>-1.2999999999999999E-3</v>
      </c>
      <c r="Q35" s="3160"/>
      <c r="R35" s="3162"/>
      <c r="S35" s="3162">
        <f>ROUND(IF(项目基本情况!$B$8="出让",SUMPRODUCT(PRODUCT(1+L35:L$40)),SUMPRODUCT(PRODUCT(1+L35:L$39))),4)</f>
        <v>1.0210999999999999</v>
      </c>
      <c r="T35" s="3162">
        <f>ROUND(IF(项目基本情况!$B$8="出让",SUMPRODUCT(PRODUCT(1+M35:M$40)),SUMPRODUCT(PRODUCT(1+M35:M$39))),4)</f>
        <v>1.0114000000000001</v>
      </c>
      <c r="U35" s="3162">
        <f>ROUND(IF(项目基本情况!$B$8="出让",SUMPRODUCT(PRODUCT(1+N35:N$40)),SUMPRODUCT(PRODUCT(1+N35:N$39))),4)</f>
        <v>1.0381</v>
      </c>
      <c r="V35" s="3162"/>
      <c r="W35" s="3162">
        <f t="shared" si="52"/>
        <v>1.0114000000000001</v>
      </c>
      <c r="X35" s="3160"/>
      <c r="Y35" s="3163"/>
      <c r="Z35" s="3191">
        <f t="shared" si="53"/>
        <v>4.1000000000000003E-3</v>
      </c>
      <c r="AA35" s="3193">
        <f t="shared" si="53"/>
        <v>2.7000000000000001E-3</v>
      </c>
      <c r="AB35" s="3163">
        <f t="shared" si="53"/>
        <v>7.9000000000000008E-3</v>
      </c>
      <c r="AC35" s="3192"/>
      <c r="AD35" s="3163">
        <f t="shared" si="53"/>
        <v>2.7000000000000001E-3</v>
      </c>
    </row>
    <row r="36" spans="1:30" s="3164" customFormat="1" ht="12.75">
      <c r="A36" s="3155" t="s">
        <v>2821</v>
      </c>
      <c r="B36" s="3156">
        <v>2022</v>
      </c>
      <c r="C36" s="3157">
        <v>1</v>
      </c>
      <c r="D36" s="3158"/>
      <c r="E36" s="3158">
        <v>0.6</v>
      </c>
      <c r="F36" s="3158">
        <v>0.45</v>
      </c>
      <c r="G36" s="3158">
        <v>0.53</v>
      </c>
      <c r="H36" s="3175"/>
      <c r="I36" s="3159">
        <f t="shared" si="36"/>
        <v>0.45</v>
      </c>
      <c r="J36" s="3160"/>
      <c r="K36" s="3161"/>
      <c r="L36" s="3151">
        <f t="shared" si="37"/>
        <v>6.0000000000000001E-3</v>
      </c>
      <c r="M36" s="3151">
        <f t="shared" si="37"/>
        <v>4.5000000000000005E-3</v>
      </c>
      <c r="N36" s="3151">
        <f t="shared" si="37"/>
        <v>5.3E-3</v>
      </c>
      <c r="O36" s="3151"/>
      <c r="P36" s="3151">
        <f t="shared" si="51"/>
        <v>4.5000000000000005E-3</v>
      </c>
      <c r="Q36" s="3160"/>
      <c r="R36" s="3162"/>
      <c r="S36" s="3162">
        <f>ROUND(IF(项目基本情况!$B$8="出让",SUMPRODUCT(PRODUCT(1+L36:L$40)),SUMPRODUCT(PRODUCT(1+L36:L$39))),4)</f>
        <v>1.0222</v>
      </c>
      <c r="T36" s="3162">
        <f>ROUND(IF(项目基本情况!$B$8="出让",SUMPRODUCT(PRODUCT(1+M36:M$40)),SUMPRODUCT(PRODUCT(1+M36:M$39))),4)</f>
        <v>1.0127999999999999</v>
      </c>
      <c r="U36" s="3162">
        <f>ROUND(IF(项目基本情况!$B$8="出让",SUMPRODUCT(PRODUCT(1+N36:N$40)),SUMPRODUCT(PRODUCT(1+N36:N$39))),4)</f>
        <v>1.0326</v>
      </c>
      <c r="V36" s="3162"/>
      <c r="W36" s="3162">
        <f t="shared" si="52"/>
        <v>1.0127999999999999</v>
      </c>
      <c r="X36" s="3160"/>
      <c r="Y36" s="3163"/>
      <c r="Z36" s="3191">
        <f t="shared" si="53"/>
        <v>5.1000000000000004E-3</v>
      </c>
      <c r="AA36" s="3193">
        <f t="shared" si="53"/>
        <v>3.5000000000000001E-3</v>
      </c>
      <c r="AB36" s="3163">
        <f t="shared" si="53"/>
        <v>8.3999999999999995E-3</v>
      </c>
      <c r="AC36" s="3192"/>
      <c r="AD36" s="3163">
        <f t="shared" si="53"/>
        <v>3.5000000000000001E-3</v>
      </c>
    </row>
    <row r="37" spans="1:30" s="3164" customFormat="1" ht="12.75">
      <c r="A37" s="3155" t="s">
        <v>2822</v>
      </c>
      <c r="B37" s="3156">
        <v>2021</v>
      </c>
      <c r="C37" s="3157">
        <v>4</v>
      </c>
      <c r="D37" s="3158"/>
      <c r="E37" s="3158">
        <v>0.57999999999999996</v>
      </c>
      <c r="F37" s="3158">
        <v>0.08</v>
      </c>
      <c r="G37" s="3158">
        <v>0.68</v>
      </c>
      <c r="H37" s="3175"/>
      <c r="I37" s="3159">
        <f t="shared" si="36"/>
        <v>0.08</v>
      </c>
      <c r="J37" s="3160"/>
      <c r="K37" s="3161"/>
      <c r="L37" s="3151">
        <f t="shared" si="37"/>
        <v>5.7999999999999996E-3</v>
      </c>
      <c r="M37" s="3151">
        <f t="shared" si="37"/>
        <v>8.0000000000000004E-4</v>
      </c>
      <c r="N37" s="3151">
        <f t="shared" si="37"/>
        <v>6.8000000000000005E-3</v>
      </c>
      <c r="O37" s="3151"/>
      <c r="P37" s="3151">
        <f t="shared" si="51"/>
        <v>8.0000000000000004E-4</v>
      </c>
      <c r="Q37" s="3160"/>
      <c r="R37" s="3162"/>
      <c r="S37" s="3162">
        <f>ROUND(IF(项目基本情况!$B$8="出让",SUMPRODUCT(PRODUCT(1+L37:L$40)),SUMPRODUCT(PRODUCT(1+L37:L$39))),4)</f>
        <v>1.0161</v>
      </c>
      <c r="T37" s="3162">
        <f>ROUND(IF(项目基本情况!$B$8="出让",SUMPRODUCT(PRODUCT(1+M37:M$40)),SUMPRODUCT(PRODUCT(1+M37:M$39))),4)</f>
        <v>1.0082</v>
      </c>
      <c r="U37" s="3162">
        <f>ROUND(IF(项目基本情况!$B$8="出让",SUMPRODUCT(PRODUCT(1+N37:N$40)),SUMPRODUCT(PRODUCT(1+N37:N$39))),4)</f>
        <v>1.0270999999999999</v>
      </c>
      <c r="V37" s="3162"/>
      <c r="W37" s="3162">
        <f t="shared" si="52"/>
        <v>1.0082</v>
      </c>
      <c r="X37" s="3160"/>
      <c r="Y37" s="3163"/>
      <c r="Z37" s="3191">
        <f t="shared" si="53"/>
        <v>4.8999999999999998E-3</v>
      </c>
      <c r="AA37" s="3193">
        <f t="shared" si="53"/>
        <v>3.3E-3</v>
      </c>
      <c r="AB37" s="3163">
        <f t="shared" si="53"/>
        <v>9.1999999999999998E-3</v>
      </c>
      <c r="AC37" s="3192"/>
      <c r="AD37" s="3163">
        <f t="shared" si="53"/>
        <v>3.3E-3</v>
      </c>
    </row>
    <row r="38" spans="1:30" s="3164" customFormat="1" ht="12.75">
      <c r="A38" s="3155" t="s">
        <v>2823</v>
      </c>
      <c r="B38" s="3156">
        <v>2021</v>
      </c>
      <c r="C38" s="3157">
        <v>3</v>
      </c>
      <c r="D38" s="3158"/>
      <c r="E38" s="3158">
        <v>0.47</v>
      </c>
      <c r="F38" s="3158">
        <v>0.28000000000000003</v>
      </c>
      <c r="G38" s="3158">
        <v>0.91</v>
      </c>
      <c r="H38" s="3175"/>
      <c r="I38" s="3159">
        <f t="shared" si="36"/>
        <v>0.28000000000000003</v>
      </c>
      <c r="J38" s="3160"/>
      <c r="K38" s="3161"/>
      <c r="L38" s="3151">
        <f t="shared" si="37"/>
        <v>4.6999999999999993E-3</v>
      </c>
      <c r="M38" s="3151">
        <f t="shared" si="37"/>
        <v>2.8000000000000004E-3</v>
      </c>
      <c r="N38" s="3151">
        <f t="shared" si="37"/>
        <v>9.1000000000000004E-3</v>
      </c>
      <c r="O38" s="3151"/>
      <c r="P38" s="3151">
        <f t="shared" si="51"/>
        <v>2.8000000000000004E-3</v>
      </c>
      <c r="Q38" s="3160"/>
      <c r="R38" s="3162"/>
      <c r="S38" s="3162">
        <f>ROUND(IF(项目基本情况!$B$8="出让",SUMPRODUCT(PRODUCT(1+L38:L$40)),SUMPRODUCT(PRODUCT(1+L38:L$39))),4)</f>
        <v>1.0102</v>
      </c>
      <c r="T38" s="3162">
        <f>ROUND(IF(项目基本情况!$B$8="出让",SUMPRODUCT(PRODUCT(1+M38:M$40)),SUMPRODUCT(PRODUCT(1+M38:M$39))),4)</f>
        <v>1.0074000000000001</v>
      </c>
      <c r="U38" s="3162">
        <f>ROUND(IF(项目基本情况!$B$8="出让",SUMPRODUCT(PRODUCT(1+N38:N$40)),SUMPRODUCT(PRODUCT(1+N38:N$39))),4)</f>
        <v>1.0202</v>
      </c>
      <c r="V38" s="3162"/>
      <c r="W38" s="3162">
        <f t="shared" si="52"/>
        <v>1.0074000000000001</v>
      </c>
      <c r="X38" s="3160"/>
      <c r="Y38" s="3163"/>
      <c r="Z38" s="3191">
        <f t="shared" si="53"/>
        <v>4.5999999999999999E-3</v>
      </c>
      <c r="AA38" s="3193">
        <f t="shared" si="53"/>
        <v>4.1000000000000003E-3</v>
      </c>
      <c r="AB38" s="3163">
        <f t="shared" si="53"/>
        <v>0.01</v>
      </c>
      <c r="AC38" s="3192"/>
      <c r="AD38" s="3163">
        <f t="shared" si="53"/>
        <v>4.1000000000000003E-3</v>
      </c>
    </row>
    <row r="39" spans="1:30" s="3164" customFormat="1" ht="12.75">
      <c r="A39" s="3155" t="s">
        <v>2824</v>
      </c>
      <c r="B39" s="3156">
        <v>2021</v>
      </c>
      <c r="C39" s="3157">
        <v>2</v>
      </c>
      <c r="D39" s="3158"/>
      <c r="E39" s="3158">
        <v>0.55000000000000004</v>
      </c>
      <c r="F39" s="3158">
        <v>0.46</v>
      </c>
      <c r="G39" s="3158">
        <v>1.1000000000000001</v>
      </c>
      <c r="H39" s="3175"/>
      <c r="I39" s="3159">
        <f t="shared" si="36"/>
        <v>0.46</v>
      </c>
      <c r="J39" s="3160"/>
      <c r="K39" s="3161"/>
      <c r="L39" s="3151">
        <f t="shared" si="37"/>
        <v>5.5000000000000005E-3</v>
      </c>
      <c r="M39" s="3151">
        <f t="shared" si="37"/>
        <v>4.5999999999999999E-3</v>
      </c>
      <c r="N39" s="3151">
        <f t="shared" si="37"/>
        <v>1.1000000000000001E-2</v>
      </c>
      <c r="O39" s="3151"/>
      <c r="P39" s="3151">
        <f t="shared" si="51"/>
        <v>4.5999999999999999E-3</v>
      </c>
      <c r="Q39" s="3160"/>
      <c r="R39" s="3162"/>
      <c r="S39" s="3162">
        <f>ROUND(IF(项目基本情况!$B$8="出让",SUMPRODUCT(PRODUCT(1+L39:L$40)),SUMPRODUCT(PRODUCT(1+L39:L$39))),4)</f>
        <v>1.0055000000000001</v>
      </c>
      <c r="T39" s="3162">
        <f>ROUND(IF(项目基本情况!$B$8="出让",SUMPRODUCT(PRODUCT(1+M39:M$40)),SUMPRODUCT(PRODUCT(1+M39:M$39))),4)</f>
        <v>1.0045999999999999</v>
      </c>
      <c r="U39" s="3162">
        <f>ROUND(IF(项目基本情况!$B$8="出让",SUMPRODUCT(PRODUCT(1+N39:N$40)),SUMPRODUCT(PRODUCT(1+N39:N$39))),4)</f>
        <v>1.0109999999999999</v>
      </c>
      <c r="V39" s="3162"/>
      <c r="W39" s="3162">
        <f t="shared" si="52"/>
        <v>1.0045999999999999</v>
      </c>
      <c r="X39" s="3160"/>
      <c r="Y39" s="3163"/>
      <c r="Z39" s="3191">
        <f t="shared" si="53"/>
        <v>4.4999999999999997E-3</v>
      </c>
      <c r="AA39" s="3193">
        <f t="shared" si="53"/>
        <v>4.7000000000000002E-3</v>
      </c>
      <c r="AB39" s="3163">
        <f t="shared" si="53"/>
        <v>1.04E-2</v>
      </c>
      <c r="AC39" s="3192"/>
      <c r="AD39" s="3163">
        <f t="shared" si="53"/>
        <v>4.7000000000000002E-3</v>
      </c>
    </row>
    <row r="40" spans="1:30" s="3186" customFormat="1" thickBot="1">
      <c r="A40" s="3176" t="s">
        <v>2810</v>
      </c>
      <c r="B40" s="3177">
        <v>2021</v>
      </c>
      <c r="C40" s="3178">
        <v>1</v>
      </c>
      <c r="D40" s="3179"/>
      <c r="E40" s="3179">
        <v>0.35</v>
      </c>
      <c r="F40" s="3179">
        <v>0.48</v>
      </c>
      <c r="G40" s="3179">
        <v>0.98</v>
      </c>
      <c r="H40" s="3180"/>
      <c r="I40" s="3181">
        <f t="shared" si="36"/>
        <v>0.48</v>
      </c>
      <c r="J40" s="3182"/>
      <c r="K40" s="3183"/>
      <c r="L40" s="3184">
        <f t="shared" si="37"/>
        <v>3.4999999999999996E-3</v>
      </c>
      <c r="M40" s="3184">
        <f>F40/100</f>
        <v>4.7999999999999996E-3</v>
      </c>
      <c r="N40" s="3184">
        <f t="shared" si="37"/>
        <v>9.7999999999999997E-3</v>
      </c>
      <c r="O40" s="3184"/>
      <c r="P40" s="3184">
        <f t="shared" si="51"/>
        <v>4.7999999999999996E-3</v>
      </c>
      <c r="Q40" s="3182"/>
      <c r="R40" s="3185"/>
      <c r="S40" s="3185">
        <v>1</v>
      </c>
      <c r="T40" s="3185">
        <v>1</v>
      </c>
      <c r="U40" s="3185">
        <v>1</v>
      </c>
      <c r="V40" s="3185"/>
      <c r="W40" s="3185">
        <f t="shared" si="52"/>
        <v>1</v>
      </c>
      <c r="X40" s="3182"/>
      <c r="Y40" s="3184"/>
      <c r="Z40" s="3197">
        <f t="shared" si="53"/>
        <v>3.5000000000000001E-3</v>
      </c>
      <c r="AA40" s="3198">
        <f t="shared" si="53"/>
        <v>4.7999999999999996E-3</v>
      </c>
      <c r="AB40" s="3184">
        <f t="shared" si="53"/>
        <v>9.7999999999999997E-3</v>
      </c>
      <c r="AC40" s="3199"/>
      <c r="AD40" s="3184">
        <f t="shared" si="53"/>
        <v>4.7999999999999996E-3</v>
      </c>
    </row>
    <row r="41" spans="1:30" ht="14.25" thickTop="1"/>
    <row r="42" spans="1:30">
      <c r="A42" s="3427" t="s">
        <v>3353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45421</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45159</v>
      </c>
      <c r="D13" s="2801">
        <v>3.45</v>
      </c>
      <c r="E13" s="2801">
        <f>D13</f>
        <v>3.45</v>
      </c>
      <c r="F13" s="2801">
        <f>D13</f>
        <v>3.45</v>
      </c>
      <c r="G13" s="2801">
        <f>D13</f>
        <v>3.45</v>
      </c>
      <c r="H13" s="280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45097</v>
      </c>
      <c r="D14" s="2796">
        <v>3.55</v>
      </c>
      <c r="E14" s="2796">
        <f>D14</f>
        <v>3.55</v>
      </c>
      <c r="F14" s="2796">
        <f>D14</f>
        <v>3.55</v>
      </c>
      <c r="G14" s="2796">
        <f>D14</f>
        <v>3.55</v>
      </c>
      <c r="H14" s="2796">
        <v>4.2</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44795</v>
      </c>
      <c r="D15" s="2796">
        <v>3.65</v>
      </c>
      <c r="E15" s="2796">
        <v>3.65</v>
      </c>
      <c r="F15" s="2796">
        <v>3.65</v>
      </c>
      <c r="G15" s="2796">
        <v>3.65</v>
      </c>
      <c r="H15" s="2796">
        <v>4.3</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5"/>
      <c r="C16" s="2797">
        <v>44701</v>
      </c>
      <c r="D16" s="2796">
        <v>3.7</v>
      </c>
      <c r="E16" s="2796">
        <f>D16</f>
        <v>3.7</v>
      </c>
      <c r="F16" s="2796">
        <f>D16</f>
        <v>3.7</v>
      </c>
      <c r="G16" s="2796">
        <f>D16</f>
        <v>3.7</v>
      </c>
      <c r="H16" s="2796">
        <v>4.45</v>
      </c>
      <c r="I16" s="2801"/>
      <c r="J16" s="280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5"/>
      <c r="C17" s="2797">
        <v>44581</v>
      </c>
      <c r="D17" s="2796">
        <v>3.7</v>
      </c>
      <c r="E17" s="2796">
        <f>D17</f>
        <v>3.7</v>
      </c>
      <c r="F17" s="2796">
        <f>D17</f>
        <v>3.7</v>
      </c>
      <c r="G17" s="2796">
        <f>D17</f>
        <v>3.7</v>
      </c>
      <c r="H17" s="2796">
        <v>4.5999999999999996</v>
      </c>
      <c r="I17" s="2801"/>
      <c r="J17" s="280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44550</v>
      </c>
      <c r="D18" s="2796">
        <v>3.8</v>
      </c>
      <c r="E18" s="2796">
        <f>D18</f>
        <v>3.8</v>
      </c>
      <c r="F18" s="2796">
        <f>D18</f>
        <v>3.8</v>
      </c>
      <c r="G18" s="2796">
        <f>D18</f>
        <v>3.8</v>
      </c>
      <c r="H18" s="2796">
        <v>4.6500000000000004</v>
      </c>
      <c r="I18" s="2796"/>
      <c r="J18" s="2801"/>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43941</v>
      </c>
      <c r="D19" s="2796">
        <v>3.85</v>
      </c>
      <c r="E19" s="2796">
        <v>3.85</v>
      </c>
      <c r="F19" s="2796">
        <v>3.85</v>
      </c>
      <c r="G19" s="2796">
        <v>3.85</v>
      </c>
      <c r="H19" s="2796">
        <v>4.6500000000000004</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43881</v>
      </c>
      <c r="D20" s="2796">
        <v>4.05</v>
      </c>
      <c r="E20" s="2796">
        <v>4.05</v>
      </c>
      <c r="F20" s="2796">
        <v>4.05</v>
      </c>
      <c r="G20" s="2796">
        <v>4.05</v>
      </c>
      <c r="H20" s="2796">
        <v>4.75</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6"/>
      <c r="C21" s="2797">
        <v>43789</v>
      </c>
      <c r="D21" s="2796">
        <v>4.1500000000000004</v>
      </c>
      <c r="E21" s="2796">
        <v>4.1500000000000004</v>
      </c>
      <c r="F21" s="2796">
        <v>4.1500000000000004</v>
      </c>
      <c r="G21" s="2796">
        <v>4.1500000000000004</v>
      </c>
      <c r="H21" s="2796">
        <v>4.8</v>
      </c>
      <c r="I21" s="2796"/>
      <c r="J21" s="279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6"/>
      <c r="C22" s="2797">
        <v>43728</v>
      </c>
      <c r="D22" s="2796">
        <v>4.2</v>
      </c>
      <c r="E22" s="2796">
        <v>4.2</v>
      </c>
      <c r="F22" s="2796">
        <v>4.2</v>
      </c>
      <c r="G22" s="2796">
        <v>4.2</v>
      </c>
      <c r="H22" s="2796">
        <v>4.8499999999999996</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2"/>
      <c r="B23" s="2795" t="s">
        <v>2295</v>
      </c>
      <c r="C23" s="2798">
        <v>43697</v>
      </c>
      <c r="D23" s="2799">
        <v>4.25</v>
      </c>
      <c r="E23" s="2799">
        <v>4.25</v>
      </c>
      <c r="F23" s="2799">
        <v>4.25</v>
      </c>
      <c r="G23" s="2799">
        <v>4.25</v>
      </c>
      <c r="H23" s="2799">
        <v>4.8499999999999996</v>
      </c>
      <c r="I23" s="2799"/>
      <c r="J23" s="279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3"/>
      <c r="C24" s="2804">
        <v>42301</v>
      </c>
      <c r="D24" s="2805">
        <v>4.3499999999999996</v>
      </c>
      <c r="E24" s="2805">
        <v>4.3499999999999996</v>
      </c>
      <c r="F24" s="2805">
        <v>4.75</v>
      </c>
      <c r="G24" s="2805">
        <v>4.75</v>
      </c>
      <c r="H24" s="2805">
        <v>4.9000000000000004</v>
      </c>
      <c r="I24" s="2805"/>
      <c r="J24" s="280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3"/>
  <sheetViews>
    <sheetView zoomScale="85" zoomScaleNormal="85" workbookViewId="0">
      <pane xSplit="1" ySplit="1" topLeftCell="E377" activePane="bottomRight" state="frozen"/>
      <selection pane="topRight" activeCell="B1" sqref="B1"/>
      <selection pane="bottomLeft" activeCell="A2" sqref="A2"/>
      <selection pane="bottomRight" activeCell="M420" sqref="M420"/>
    </sheetView>
  </sheetViews>
  <sheetFormatPr defaultRowHeight="13.5"/>
  <cols>
    <col min="1" max="1" width="19.5" customWidth="1"/>
    <col min="2" max="2" width="11.25" customWidth="1"/>
    <col min="3" max="3" width="23.5" customWidth="1"/>
    <col min="4" max="4" width="15.375" customWidth="1"/>
    <col min="5" max="5" width="35.625" customWidth="1"/>
    <col min="6" max="7" width="19.5" customWidth="1"/>
    <col min="8" max="9" width="12.25" bestFit="1" customWidth="1"/>
    <col min="10" max="10" width="13.875" style="3463" bestFit="1" customWidth="1"/>
    <col min="11" max="11" width="11.75" style="3463" bestFit="1" customWidth="1"/>
    <col min="12" max="12" width="16.125" style="3463" bestFit="1" customWidth="1"/>
    <col min="13" max="13" width="17.25" style="3463" bestFit="1" customWidth="1"/>
    <col min="14" max="14" width="13.875" style="3463" bestFit="1" customWidth="1"/>
    <col min="15" max="15" width="18.375" style="3463" bestFit="1" customWidth="1"/>
  </cols>
  <sheetData>
    <row r="1" spans="1:15">
      <c r="A1" s="3459" t="s">
        <v>3448</v>
      </c>
      <c r="B1" s="3459" t="s">
        <v>3449</v>
      </c>
      <c r="C1" s="3459" t="s">
        <v>3450</v>
      </c>
      <c r="D1" s="3459" t="s">
        <v>3451</v>
      </c>
      <c r="E1" s="3459" t="s">
        <v>3452</v>
      </c>
      <c r="F1" s="3459" t="s">
        <v>3453</v>
      </c>
      <c r="G1" s="3459" t="s">
        <v>3454</v>
      </c>
      <c r="H1" s="3459" t="s">
        <v>3455</v>
      </c>
      <c r="I1" s="3459" t="s">
        <v>3456</v>
      </c>
      <c r="J1" s="3459" t="s">
        <v>3457</v>
      </c>
      <c r="K1" s="3460" t="s">
        <v>3458</v>
      </c>
      <c r="L1" s="3460" t="s">
        <v>3459</v>
      </c>
      <c r="M1" s="3460" t="s">
        <v>3460</v>
      </c>
      <c r="N1" s="3460" t="s">
        <v>3461</v>
      </c>
      <c r="O1" s="3460" t="s">
        <v>3462</v>
      </c>
    </row>
    <row r="2" spans="1:15">
      <c r="A2" s="3461" t="s">
        <v>3463</v>
      </c>
      <c r="B2" s="3461" t="s">
        <v>3464</v>
      </c>
      <c r="C2" s="3461" t="s">
        <v>4422</v>
      </c>
      <c r="D2" s="3461" t="s">
        <v>4339</v>
      </c>
      <c r="E2" s="3461" t="s">
        <v>3570</v>
      </c>
      <c r="F2" s="3461" t="s">
        <v>4423</v>
      </c>
      <c r="G2" s="3461">
        <v>70.23</v>
      </c>
      <c r="H2" s="3461" t="s">
        <v>4424</v>
      </c>
      <c r="I2" s="3461" t="s">
        <v>4425</v>
      </c>
      <c r="J2" s="3462">
        <v>1.5687</v>
      </c>
      <c r="K2" s="3462">
        <v>47.714649999999999</v>
      </c>
      <c r="L2" s="3462">
        <v>3351</v>
      </c>
      <c r="M2" s="3462">
        <v>0</v>
      </c>
      <c r="N2" s="3462">
        <v>0</v>
      </c>
      <c r="O2" s="3462">
        <v>45600</v>
      </c>
    </row>
    <row r="3" spans="1:15">
      <c r="A3" s="3461" t="s">
        <v>3463</v>
      </c>
      <c r="B3" s="3461" t="s">
        <v>3464</v>
      </c>
      <c r="C3" s="3461" t="s">
        <v>4890</v>
      </c>
      <c r="D3" s="3461" t="s">
        <v>4722</v>
      </c>
      <c r="E3" s="3461" t="s">
        <v>3600</v>
      </c>
      <c r="F3" s="3461" t="s">
        <v>4891</v>
      </c>
      <c r="G3" s="3461">
        <v>45.4</v>
      </c>
      <c r="H3" s="3461" t="s">
        <v>3688</v>
      </c>
      <c r="I3" s="3461" t="s">
        <v>4889</v>
      </c>
      <c r="J3" s="3462">
        <v>1.97478</v>
      </c>
      <c r="K3" s="3462">
        <v>60.066079999999999</v>
      </c>
      <c r="L3" s="3462">
        <v>2727</v>
      </c>
      <c r="M3" s="3462">
        <v>0</v>
      </c>
      <c r="N3" s="3462">
        <v>0</v>
      </c>
      <c r="O3" s="3462">
        <v>36000</v>
      </c>
    </row>
    <row r="4" spans="1:15">
      <c r="A4" s="3461" t="s">
        <v>3463</v>
      </c>
      <c r="B4" s="3461" t="s">
        <v>3464</v>
      </c>
      <c r="C4" s="3461" t="s">
        <v>4141</v>
      </c>
      <c r="D4" s="3461" t="s">
        <v>4089</v>
      </c>
      <c r="E4" s="3461" t="s">
        <v>4142</v>
      </c>
      <c r="F4" s="3461" t="s">
        <v>4143</v>
      </c>
      <c r="G4" s="3461">
        <v>38.049999999999997</v>
      </c>
      <c r="H4" s="3461" t="s">
        <v>4139</v>
      </c>
      <c r="I4" s="3461" t="s">
        <v>4140</v>
      </c>
      <c r="J4" s="3462">
        <v>1.7781899999999999</v>
      </c>
      <c r="K4" s="3462">
        <v>54.086730000000003</v>
      </c>
      <c r="L4" s="3462">
        <v>2058</v>
      </c>
      <c r="M4" s="3462">
        <v>0</v>
      </c>
      <c r="N4" s="3462">
        <v>0</v>
      </c>
      <c r="O4" s="3462">
        <v>27600</v>
      </c>
    </row>
    <row r="5" spans="1:15">
      <c r="A5" s="3461" t="s">
        <v>3463</v>
      </c>
      <c r="B5" s="3461" t="s">
        <v>3464</v>
      </c>
      <c r="C5" s="3461" t="s">
        <v>4780</v>
      </c>
      <c r="D5" s="3461" t="s">
        <v>4722</v>
      </c>
      <c r="E5" s="3461" t="s">
        <v>4781</v>
      </c>
      <c r="F5" s="3461" t="s">
        <v>4782</v>
      </c>
      <c r="G5" s="3461">
        <v>38.049999999999997</v>
      </c>
      <c r="H5" s="3461" t="s">
        <v>4722</v>
      </c>
      <c r="I5" s="3461" t="s">
        <v>4779</v>
      </c>
      <c r="J5" s="3462">
        <v>1.1923699999999999</v>
      </c>
      <c r="K5" s="3462">
        <v>36.268070000000002</v>
      </c>
      <c r="L5" s="3462">
        <v>1380</v>
      </c>
      <c r="M5" s="3462">
        <v>1380</v>
      </c>
      <c r="N5" s="3462">
        <v>0</v>
      </c>
      <c r="O5" s="3462">
        <v>17940</v>
      </c>
    </row>
    <row r="6" spans="1:15">
      <c r="A6" s="3461" t="s">
        <v>3463</v>
      </c>
      <c r="B6" s="3461" t="s">
        <v>3683</v>
      </c>
      <c r="C6" s="3461" t="s">
        <v>3828</v>
      </c>
      <c r="D6" s="3461" t="s">
        <v>3829</v>
      </c>
      <c r="E6" s="3461" t="s">
        <v>3645</v>
      </c>
      <c r="F6" s="3461" t="s">
        <v>3830</v>
      </c>
      <c r="G6" s="3461">
        <v>71.19</v>
      </c>
      <c r="H6" s="3461" t="s">
        <v>3831</v>
      </c>
      <c r="I6" s="3461" t="s">
        <v>3832</v>
      </c>
      <c r="J6" s="3462">
        <v>1.31664</v>
      </c>
      <c r="K6" s="3462">
        <v>40.047759999999997</v>
      </c>
      <c r="L6" s="3462">
        <v>2851</v>
      </c>
      <c r="M6" s="3462">
        <v>0</v>
      </c>
      <c r="N6" s="3462">
        <v>0</v>
      </c>
      <c r="O6" s="3462">
        <v>39600</v>
      </c>
    </row>
    <row r="7" spans="1:15">
      <c r="A7" s="3461" t="s">
        <v>3463</v>
      </c>
      <c r="B7" s="3461" t="s">
        <v>3464</v>
      </c>
      <c r="C7" s="3461" t="s">
        <v>4057</v>
      </c>
      <c r="D7" s="3461" t="s">
        <v>3870</v>
      </c>
      <c r="E7" s="3461" t="s">
        <v>3911</v>
      </c>
      <c r="F7" s="3461" t="s">
        <v>4058</v>
      </c>
      <c r="G7" s="3461">
        <v>66.930000000000007</v>
      </c>
      <c r="H7" s="3461" t="s">
        <v>4043</v>
      </c>
      <c r="I7" s="3461" t="s">
        <v>3573</v>
      </c>
      <c r="J7" s="3462">
        <v>1.50654</v>
      </c>
      <c r="K7" s="3462">
        <v>45.823999999999998</v>
      </c>
      <c r="L7" s="3462">
        <v>3067</v>
      </c>
      <c r="M7" s="3462">
        <v>0</v>
      </c>
      <c r="N7" s="3462">
        <v>0</v>
      </c>
      <c r="O7" s="3462">
        <v>42000</v>
      </c>
    </row>
    <row r="8" spans="1:15">
      <c r="A8" s="3461" t="s">
        <v>3463</v>
      </c>
      <c r="B8" s="3461" t="s">
        <v>3464</v>
      </c>
      <c r="C8" s="3461" t="s">
        <v>4657</v>
      </c>
      <c r="D8" s="3461" t="s">
        <v>4609</v>
      </c>
      <c r="E8" s="3461" t="s">
        <v>3770</v>
      </c>
      <c r="F8" s="3461" t="s">
        <v>4658</v>
      </c>
      <c r="G8" s="3461">
        <v>42.31</v>
      </c>
      <c r="H8" s="3461" t="s">
        <v>4659</v>
      </c>
      <c r="I8" s="3461" t="s">
        <v>4660</v>
      </c>
      <c r="J8" s="3462">
        <v>2.1190000000000002</v>
      </c>
      <c r="K8" s="3462">
        <v>64.452849999999998</v>
      </c>
      <c r="L8" s="3462">
        <v>2727</v>
      </c>
      <c r="M8" s="3462">
        <v>0</v>
      </c>
      <c r="N8" s="3462">
        <v>0</v>
      </c>
      <c r="O8" s="3462">
        <v>36000</v>
      </c>
    </row>
    <row r="9" spans="1:15">
      <c r="A9" s="3461" t="s">
        <v>3463</v>
      </c>
      <c r="B9" s="3461" t="s">
        <v>3464</v>
      </c>
      <c r="C9" s="3461" t="s">
        <v>3956</v>
      </c>
      <c r="D9" s="3461" t="s">
        <v>3870</v>
      </c>
      <c r="E9" s="3461" t="s">
        <v>3668</v>
      </c>
      <c r="F9" s="3461" t="s">
        <v>3957</v>
      </c>
      <c r="G9" s="3461">
        <v>38.049999999999997</v>
      </c>
      <c r="H9" s="3461" t="s">
        <v>3958</v>
      </c>
      <c r="I9" s="3461" t="s">
        <v>3959</v>
      </c>
      <c r="J9" s="3462">
        <v>1.7781899999999999</v>
      </c>
      <c r="K9" s="3462">
        <v>54.086730000000003</v>
      </c>
      <c r="L9" s="3462">
        <v>2058</v>
      </c>
      <c r="M9" s="3462">
        <v>0</v>
      </c>
      <c r="N9" s="3462">
        <v>0</v>
      </c>
      <c r="O9" s="3462">
        <v>27600</v>
      </c>
    </row>
    <row r="10" spans="1:15">
      <c r="A10" s="3461" t="s">
        <v>3463</v>
      </c>
      <c r="B10" s="3461" t="s">
        <v>3464</v>
      </c>
      <c r="C10" s="3461" t="s">
        <v>4215</v>
      </c>
      <c r="D10" s="3461" t="s">
        <v>4185</v>
      </c>
      <c r="E10" s="3461" t="s">
        <v>3776</v>
      </c>
      <c r="F10" s="3461" t="s">
        <v>4216</v>
      </c>
      <c r="G10" s="3461">
        <v>71.19</v>
      </c>
      <c r="H10" s="3461" t="s">
        <v>4205</v>
      </c>
      <c r="I10" s="3461" t="s">
        <v>4212</v>
      </c>
      <c r="J10" s="3462">
        <v>1.54755</v>
      </c>
      <c r="K10" s="3462">
        <v>47.071219999999997</v>
      </c>
      <c r="L10" s="3462">
        <v>3351</v>
      </c>
      <c r="M10" s="3462">
        <v>7600</v>
      </c>
      <c r="N10" s="3462">
        <v>0</v>
      </c>
      <c r="O10" s="3462">
        <v>53200</v>
      </c>
    </row>
    <row r="11" spans="1:15">
      <c r="A11" s="3461" t="s">
        <v>3463</v>
      </c>
      <c r="B11" s="3461" t="s">
        <v>3464</v>
      </c>
      <c r="C11" s="3461" t="s">
        <v>4460</v>
      </c>
      <c r="D11" s="3461" t="s">
        <v>4318</v>
      </c>
      <c r="E11" s="3461" t="s">
        <v>3911</v>
      </c>
      <c r="F11" s="3461" t="s">
        <v>4461</v>
      </c>
      <c r="G11" s="3461">
        <v>66.930000000000007</v>
      </c>
      <c r="H11" s="3461" t="s">
        <v>4462</v>
      </c>
      <c r="I11" s="3461" t="s">
        <v>4463</v>
      </c>
      <c r="J11" s="3462">
        <v>1.50654</v>
      </c>
      <c r="K11" s="3462">
        <v>45.823999999999998</v>
      </c>
      <c r="L11" s="3462">
        <v>3067</v>
      </c>
      <c r="M11" s="3462">
        <v>0</v>
      </c>
      <c r="N11" s="3462">
        <v>0</v>
      </c>
      <c r="O11" s="3462">
        <v>42000</v>
      </c>
    </row>
    <row r="12" spans="1:15">
      <c r="A12" s="3461" t="s">
        <v>3463</v>
      </c>
      <c r="B12" s="3461" t="s">
        <v>3464</v>
      </c>
      <c r="C12" s="3461" t="s">
        <v>3952</v>
      </c>
      <c r="D12" s="3461" t="s">
        <v>3878</v>
      </c>
      <c r="E12" s="3461" t="s">
        <v>3814</v>
      </c>
      <c r="F12" s="3461" t="s">
        <v>3953</v>
      </c>
      <c r="G12" s="3461">
        <v>71.19</v>
      </c>
      <c r="H12" s="3461" t="s">
        <v>3954</v>
      </c>
      <c r="I12" s="3461" t="s">
        <v>3955</v>
      </c>
      <c r="J12" s="3462">
        <v>1.63991</v>
      </c>
      <c r="K12" s="3462">
        <v>49.880600000000001</v>
      </c>
      <c r="L12" s="3462">
        <v>3551</v>
      </c>
      <c r="M12" s="3462">
        <v>8000</v>
      </c>
      <c r="N12" s="3462">
        <v>0</v>
      </c>
      <c r="O12" s="3462">
        <v>56000</v>
      </c>
    </row>
    <row r="13" spans="1:15">
      <c r="A13" s="3461" t="s">
        <v>3463</v>
      </c>
      <c r="B13" s="3461" t="s">
        <v>3683</v>
      </c>
      <c r="C13" s="3461" t="s">
        <v>3846</v>
      </c>
      <c r="D13" s="3461" t="s">
        <v>3847</v>
      </c>
      <c r="E13" s="3461" t="s">
        <v>3491</v>
      </c>
      <c r="F13" s="3461" t="s">
        <v>3848</v>
      </c>
      <c r="G13" s="3461">
        <v>66.930000000000007</v>
      </c>
      <c r="H13" s="3461" t="s">
        <v>3839</v>
      </c>
      <c r="I13" s="3461" t="s">
        <v>3849</v>
      </c>
      <c r="J13" s="3462">
        <v>1.50654</v>
      </c>
      <c r="K13" s="3462">
        <v>45.823999999999998</v>
      </c>
      <c r="L13" s="3462">
        <v>3067</v>
      </c>
      <c r="M13" s="3462">
        <v>0</v>
      </c>
      <c r="N13" s="3462">
        <v>0</v>
      </c>
      <c r="O13" s="3462">
        <v>42000</v>
      </c>
    </row>
    <row r="14" spans="1:15">
      <c r="A14" s="3461" t="s">
        <v>3463</v>
      </c>
      <c r="B14" s="3461" t="s">
        <v>3464</v>
      </c>
      <c r="C14" s="3461" t="s">
        <v>4592</v>
      </c>
      <c r="D14" s="3461" t="s">
        <v>4580</v>
      </c>
      <c r="E14" s="3461" t="s">
        <v>3479</v>
      </c>
      <c r="F14" s="3461" t="s">
        <v>4593</v>
      </c>
      <c r="G14" s="3461">
        <v>38.049999999999997</v>
      </c>
      <c r="H14" s="3461" t="s">
        <v>4594</v>
      </c>
      <c r="I14" s="3461" t="s">
        <v>4595</v>
      </c>
      <c r="J14" s="3462">
        <v>1.7781899999999999</v>
      </c>
      <c r="K14" s="3462">
        <v>54.086730000000003</v>
      </c>
      <c r="L14" s="3462">
        <v>2058</v>
      </c>
      <c r="M14" s="3462">
        <v>0</v>
      </c>
      <c r="N14" s="3462">
        <v>0</v>
      </c>
      <c r="O14" s="3462">
        <v>27600</v>
      </c>
    </row>
    <row r="15" spans="1:15">
      <c r="A15" s="3461" t="s">
        <v>3463</v>
      </c>
      <c r="B15" s="3461" t="s">
        <v>3464</v>
      </c>
      <c r="C15" s="3461" t="s">
        <v>4456</v>
      </c>
      <c r="D15" s="3461" t="s">
        <v>4261</v>
      </c>
      <c r="E15" s="3461" t="s">
        <v>3814</v>
      </c>
      <c r="F15" s="3461" t="s">
        <v>4457</v>
      </c>
      <c r="G15" s="3461">
        <v>42.31</v>
      </c>
      <c r="H15" s="3461" t="s">
        <v>4458</v>
      </c>
      <c r="I15" s="3461" t="s">
        <v>4459</v>
      </c>
      <c r="J15" s="3462">
        <v>2.1190000000000002</v>
      </c>
      <c r="K15" s="3462">
        <v>64.452849999999998</v>
      </c>
      <c r="L15" s="3462">
        <v>2727</v>
      </c>
      <c r="M15" s="3462">
        <v>0</v>
      </c>
      <c r="N15" s="3462">
        <v>0</v>
      </c>
      <c r="O15" s="3462">
        <v>36000</v>
      </c>
    </row>
    <row r="16" spans="1:15">
      <c r="A16" s="3461" t="s">
        <v>3463</v>
      </c>
      <c r="B16" s="3461" t="s">
        <v>3464</v>
      </c>
      <c r="C16" s="3461" t="s">
        <v>4672</v>
      </c>
      <c r="D16" s="3461" t="s">
        <v>4606</v>
      </c>
      <c r="E16" s="3461" t="s">
        <v>3814</v>
      </c>
      <c r="F16" s="3461" t="s">
        <v>4673</v>
      </c>
      <c r="G16" s="3461">
        <v>38.049999999999997</v>
      </c>
      <c r="H16" s="3461" t="s">
        <v>4674</v>
      </c>
      <c r="I16" s="3461" t="s">
        <v>4675</v>
      </c>
      <c r="J16" s="3462">
        <v>2.21021</v>
      </c>
      <c r="K16" s="3462">
        <v>67.227329999999995</v>
      </c>
      <c r="L16" s="3462">
        <v>2558</v>
      </c>
      <c r="M16" s="3462">
        <v>0</v>
      </c>
      <c r="N16" s="3462">
        <v>0</v>
      </c>
      <c r="O16" s="3462">
        <v>33600</v>
      </c>
    </row>
    <row r="17" spans="1:15">
      <c r="A17" s="3461" t="s">
        <v>3463</v>
      </c>
      <c r="B17" s="3461" t="s">
        <v>3464</v>
      </c>
      <c r="C17" s="3461" t="s">
        <v>3988</v>
      </c>
      <c r="D17" s="3461" t="s">
        <v>3870</v>
      </c>
      <c r="E17" s="3461" t="s">
        <v>3911</v>
      </c>
      <c r="F17" s="3461" t="s">
        <v>3989</v>
      </c>
      <c r="G17" s="3461">
        <v>73.5</v>
      </c>
      <c r="H17" s="3461" t="s">
        <v>3981</v>
      </c>
      <c r="I17" s="3461" t="s">
        <v>3563</v>
      </c>
      <c r="J17" s="3462">
        <v>1.37188</v>
      </c>
      <c r="K17" s="3462">
        <v>41.727890000000002</v>
      </c>
      <c r="L17" s="3462">
        <v>3067</v>
      </c>
      <c r="M17" s="3462">
        <v>0</v>
      </c>
      <c r="N17" s="3462">
        <v>0</v>
      </c>
      <c r="O17" s="3462">
        <v>42000</v>
      </c>
    </row>
    <row r="18" spans="1:15">
      <c r="A18" s="3461" t="s">
        <v>3463</v>
      </c>
      <c r="B18" s="3461" t="s">
        <v>3464</v>
      </c>
      <c r="C18" s="3461" t="s">
        <v>4898</v>
      </c>
      <c r="D18" s="3461" t="s">
        <v>4879</v>
      </c>
      <c r="E18" s="3461" t="s">
        <v>4899</v>
      </c>
      <c r="F18" s="3461" t="s">
        <v>4900</v>
      </c>
      <c r="G18" s="3461">
        <v>70.23</v>
      </c>
      <c r="H18" s="3461" t="s">
        <v>4897</v>
      </c>
      <c r="I18" s="3461" t="s">
        <v>3863</v>
      </c>
      <c r="J18" s="3462">
        <v>0.97370999999999996</v>
      </c>
      <c r="K18" s="3462">
        <v>29.616969999999998</v>
      </c>
      <c r="L18" s="3462">
        <v>2080</v>
      </c>
      <c r="M18" s="3462">
        <v>0</v>
      </c>
      <c r="N18" s="3462">
        <v>0</v>
      </c>
      <c r="O18" s="3462">
        <v>24960</v>
      </c>
    </row>
    <row r="19" spans="1:15">
      <c r="A19" s="3461" t="s">
        <v>3463</v>
      </c>
      <c r="B19" s="3461" t="s">
        <v>3464</v>
      </c>
      <c r="C19" s="3461" t="s">
        <v>4637</v>
      </c>
      <c r="D19" s="3461" t="s">
        <v>4580</v>
      </c>
      <c r="E19" s="3461" t="s">
        <v>3570</v>
      </c>
      <c r="F19" s="3461" t="s">
        <v>4638</v>
      </c>
      <c r="G19" s="3461">
        <v>70.23</v>
      </c>
      <c r="H19" s="3461" t="s">
        <v>4635</v>
      </c>
      <c r="I19" s="3461" t="s">
        <v>4639</v>
      </c>
      <c r="J19" s="3462">
        <v>1.33464</v>
      </c>
      <c r="K19" s="3462">
        <v>40.595190000000002</v>
      </c>
      <c r="L19" s="3462">
        <v>2851</v>
      </c>
      <c r="M19" s="3462">
        <v>0</v>
      </c>
      <c r="N19" s="3462">
        <v>0</v>
      </c>
      <c r="O19" s="3462">
        <v>39600</v>
      </c>
    </row>
    <row r="20" spans="1:15">
      <c r="A20" s="3461" t="s">
        <v>3463</v>
      </c>
      <c r="B20" s="3461" t="s">
        <v>3464</v>
      </c>
      <c r="C20" s="3461" t="s">
        <v>4940</v>
      </c>
      <c r="D20" s="3461" t="s">
        <v>4879</v>
      </c>
      <c r="E20" s="3461" t="s">
        <v>4115</v>
      </c>
      <c r="F20" s="3461" t="s">
        <v>4941</v>
      </c>
      <c r="G20" s="3461">
        <v>45.4</v>
      </c>
      <c r="H20" s="3461" t="s">
        <v>4942</v>
      </c>
      <c r="I20" s="3461" t="s">
        <v>3947</v>
      </c>
      <c r="J20" s="3462">
        <v>1.6127</v>
      </c>
      <c r="K20" s="3462">
        <v>49.052860000000003</v>
      </c>
      <c r="L20" s="3462">
        <v>2227</v>
      </c>
      <c r="M20" s="3462">
        <v>0</v>
      </c>
      <c r="N20" s="3462">
        <v>0</v>
      </c>
      <c r="O20" s="3462">
        <v>30000</v>
      </c>
    </row>
    <row r="21" spans="1:15">
      <c r="A21" s="3461" t="s">
        <v>3463</v>
      </c>
      <c r="B21" s="3461" t="s">
        <v>3464</v>
      </c>
      <c r="C21" s="3461" t="s">
        <v>4493</v>
      </c>
      <c r="D21" s="3461" t="s">
        <v>4472</v>
      </c>
      <c r="E21" s="3461" t="s">
        <v>4494</v>
      </c>
      <c r="F21" s="3461" t="s">
        <v>4495</v>
      </c>
      <c r="G21" s="3461">
        <v>38.049999999999997</v>
      </c>
      <c r="H21" s="3461" t="s">
        <v>4496</v>
      </c>
      <c r="I21" s="3461" t="s">
        <v>4497</v>
      </c>
      <c r="J21" s="3462">
        <v>1.7781899999999999</v>
      </c>
      <c r="K21" s="3462">
        <v>54.086730000000003</v>
      </c>
      <c r="L21" s="3462">
        <v>2058</v>
      </c>
      <c r="M21" s="3462">
        <v>4600</v>
      </c>
      <c r="N21" s="3462">
        <v>0</v>
      </c>
      <c r="O21" s="3462">
        <v>32200</v>
      </c>
    </row>
    <row r="22" spans="1:15">
      <c r="A22" s="3461" t="s">
        <v>3463</v>
      </c>
      <c r="B22" s="3461" t="s">
        <v>3464</v>
      </c>
      <c r="C22" s="3461" t="s">
        <v>4444</v>
      </c>
      <c r="D22" s="3461" t="s">
        <v>4445</v>
      </c>
      <c r="E22" s="3461" t="s">
        <v>4370</v>
      </c>
      <c r="F22" s="3461" t="s">
        <v>4446</v>
      </c>
      <c r="G22" s="3461">
        <v>38.049999999999997</v>
      </c>
      <c r="H22" s="3461" t="s">
        <v>4447</v>
      </c>
      <c r="I22" s="3461" t="s">
        <v>4448</v>
      </c>
      <c r="J22" s="3462">
        <v>1.7781899999999999</v>
      </c>
      <c r="K22" s="3462">
        <v>54.086730000000003</v>
      </c>
      <c r="L22" s="3462">
        <v>2058</v>
      </c>
      <c r="M22" s="3462">
        <v>4600</v>
      </c>
      <c r="N22" s="3462">
        <v>0</v>
      </c>
      <c r="O22" s="3462">
        <v>32200</v>
      </c>
    </row>
    <row r="23" spans="1:15">
      <c r="A23" s="3461" t="s">
        <v>3463</v>
      </c>
      <c r="B23" s="3461" t="s">
        <v>3464</v>
      </c>
      <c r="C23" s="3461" t="s">
        <v>4156</v>
      </c>
      <c r="D23" s="3461" t="s">
        <v>4157</v>
      </c>
      <c r="E23" s="3461" t="s">
        <v>4061</v>
      </c>
      <c r="F23" s="3461" t="s">
        <v>4158</v>
      </c>
      <c r="G23" s="3461">
        <v>66.930000000000007</v>
      </c>
      <c r="H23" s="3461" t="s">
        <v>4153</v>
      </c>
      <c r="I23" s="3461" t="s">
        <v>3476</v>
      </c>
      <c r="J23" s="3462">
        <v>1.50654</v>
      </c>
      <c r="K23" s="3462">
        <v>45.823999999999998</v>
      </c>
      <c r="L23" s="3462">
        <v>3067</v>
      </c>
      <c r="M23" s="3462">
        <v>3500</v>
      </c>
      <c r="N23" s="3462">
        <v>0</v>
      </c>
      <c r="O23" s="3462">
        <v>45500</v>
      </c>
    </row>
    <row r="24" spans="1:15">
      <c r="A24" s="3461" t="s">
        <v>3463</v>
      </c>
      <c r="B24" s="3461" t="s">
        <v>3464</v>
      </c>
      <c r="C24" s="3461" t="s">
        <v>4943</v>
      </c>
      <c r="D24" s="3461" t="s">
        <v>4879</v>
      </c>
      <c r="E24" s="3461" t="s">
        <v>3502</v>
      </c>
      <c r="F24" s="3461" t="s">
        <v>4944</v>
      </c>
      <c r="G24" s="3461">
        <v>71.19</v>
      </c>
      <c r="H24" s="3461" t="s">
        <v>4942</v>
      </c>
      <c r="I24" s="3461" t="s">
        <v>3947</v>
      </c>
      <c r="J24" s="3462">
        <v>1.54755</v>
      </c>
      <c r="K24" s="3462">
        <v>47.071219999999997</v>
      </c>
      <c r="L24" s="3462">
        <v>3351</v>
      </c>
      <c r="M24" s="3462">
        <v>0</v>
      </c>
      <c r="N24" s="3462">
        <v>0</v>
      </c>
      <c r="O24" s="3462">
        <v>45600</v>
      </c>
    </row>
    <row r="25" spans="1:15">
      <c r="A25" s="3461" t="s">
        <v>3463</v>
      </c>
      <c r="B25" s="3461" t="s">
        <v>3464</v>
      </c>
      <c r="C25" s="3461" t="s">
        <v>4308</v>
      </c>
      <c r="D25" s="3461" t="s">
        <v>4309</v>
      </c>
      <c r="E25" s="3461" t="s">
        <v>4310</v>
      </c>
      <c r="F25" s="3461" t="s">
        <v>4311</v>
      </c>
      <c r="G25" s="3461">
        <v>71.19</v>
      </c>
      <c r="H25" s="3461" t="s">
        <v>4237</v>
      </c>
      <c r="I25" s="3461" t="s">
        <v>4307</v>
      </c>
      <c r="J25" s="3462">
        <v>1.2954000000000001</v>
      </c>
      <c r="K25" s="3462">
        <v>39.401600000000002</v>
      </c>
      <c r="L25" s="3462">
        <v>2805</v>
      </c>
      <c r="M25" s="3462">
        <v>2805</v>
      </c>
      <c r="N25" s="3462">
        <v>0</v>
      </c>
      <c r="O25" s="3462">
        <v>36465</v>
      </c>
    </row>
    <row r="26" spans="1:15">
      <c r="A26" s="3461" t="s">
        <v>3463</v>
      </c>
      <c r="B26" s="3461" t="s">
        <v>3464</v>
      </c>
      <c r="C26" s="3461" t="s">
        <v>4484</v>
      </c>
      <c r="D26" s="3461" t="s">
        <v>4485</v>
      </c>
      <c r="E26" s="3461" t="s">
        <v>3686</v>
      </c>
      <c r="F26" s="3461" t="s">
        <v>4486</v>
      </c>
      <c r="G26" s="3461">
        <v>42.31</v>
      </c>
      <c r="H26" s="3461" t="s">
        <v>4487</v>
      </c>
      <c r="I26" s="3461" t="s">
        <v>3658</v>
      </c>
      <c r="J26" s="3462">
        <v>1.68</v>
      </c>
      <c r="K26" s="3462">
        <v>51.2</v>
      </c>
      <c r="L26" s="3462">
        <v>2227</v>
      </c>
      <c r="M26" s="3462">
        <v>0</v>
      </c>
      <c r="N26" s="3462">
        <v>0</v>
      </c>
      <c r="O26" s="3462">
        <v>30000</v>
      </c>
    </row>
    <row r="27" spans="1:15">
      <c r="A27" s="3461" t="s">
        <v>3463</v>
      </c>
      <c r="B27" s="3461" t="s">
        <v>3464</v>
      </c>
      <c r="C27" s="3461" t="s">
        <v>4059</v>
      </c>
      <c r="D27" s="3461" t="s">
        <v>4060</v>
      </c>
      <c r="E27" s="3461" t="s">
        <v>4061</v>
      </c>
      <c r="F27" s="3461" t="s">
        <v>4062</v>
      </c>
      <c r="G27" s="3461">
        <v>38.049999999999997</v>
      </c>
      <c r="H27" s="3461" t="s">
        <v>4043</v>
      </c>
      <c r="I27" s="3461" t="s">
        <v>3573</v>
      </c>
      <c r="J27" s="3462">
        <v>1.7622866666666666</v>
      </c>
      <c r="K27" s="3462">
        <v>160.80877000000001</v>
      </c>
      <c r="L27" s="3462">
        <v>6343</v>
      </c>
      <c r="M27" s="3462">
        <v>7100</v>
      </c>
      <c r="N27" s="3462">
        <v>0</v>
      </c>
      <c r="O27" s="3462">
        <v>78500</v>
      </c>
    </row>
    <row r="28" spans="1:15">
      <c r="A28" s="3461" t="s">
        <v>3463</v>
      </c>
      <c r="B28" s="3461" t="s">
        <v>3464</v>
      </c>
      <c r="C28" s="3461" t="s">
        <v>4239</v>
      </c>
      <c r="D28" s="3461" t="s">
        <v>4197</v>
      </c>
      <c r="E28" s="3461" t="s">
        <v>3540</v>
      </c>
      <c r="F28" s="3461" t="s">
        <v>4240</v>
      </c>
      <c r="G28" s="3461">
        <v>42.31</v>
      </c>
      <c r="H28" s="3461" t="s">
        <v>4234</v>
      </c>
      <c r="I28" s="3461" t="s">
        <v>4235</v>
      </c>
      <c r="J28" s="3462">
        <v>1.3843799999999999</v>
      </c>
      <c r="K28" s="3462">
        <v>42.108249999999998</v>
      </c>
      <c r="L28" s="3462">
        <v>1781.6</v>
      </c>
      <c r="M28" s="3462">
        <v>0</v>
      </c>
      <c r="N28" s="3462">
        <v>0</v>
      </c>
      <c r="O28" s="3462">
        <v>24655.200000000001</v>
      </c>
    </row>
    <row r="29" spans="1:15">
      <c r="A29" s="3461" t="s">
        <v>3463</v>
      </c>
      <c r="B29" s="3461" t="s">
        <v>3464</v>
      </c>
      <c r="C29" s="3461" t="s">
        <v>4358</v>
      </c>
      <c r="D29" s="3461" t="s">
        <v>4359</v>
      </c>
      <c r="E29" s="3461" t="s">
        <v>4360</v>
      </c>
      <c r="F29" s="3461" t="s">
        <v>4361</v>
      </c>
      <c r="G29" s="3461">
        <v>38.049999999999997</v>
      </c>
      <c r="H29" s="3461" t="s">
        <v>4362</v>
      </c>
      <c r="I29" s="3461" t="s">
        <v>4363</v>
      </c>
      <c r="J29" s="3462">
        <v>2.21021</v>
      </c>
      <c r="K29" s="3462">
        <v>67.227329999999995</v>
      </c>
      <c r="L29" s="3462">
        <v>2558</v>
      </c>
      <c r="M29" s="3462">
        <v>5600</v>
      </c>
      <c r="N29" s="3462">
        <v>0</v>
      </c>
      <c r="O29" s="3462">
        <v>39200</v>
      </c>
    </row>
    <row r="30" spans="1:15">
      <c r="A30" s="3461" t="s">
        <v>3463</v>
      </c>
      <c r="B30" s="3461" t="s">
        <v>3464</v>
      </c>
      <c r="C30" s="3461" t="s">
        <v>4453</v>
      </c>
      <c r="D30" s="3461" t="s">
        <v>4454</v>
      </c>
      <c r="E30" s="3461" t="s">
        <v>4370</v>
      </c>
      <c r="F30" s="3461" t="s">
        <v>4455</v>
      </c>
      <c r="G30" s="3461">
        <v>66.930000000000007</v>
      </c>
      <c r="H30" s="3461" t="s">
        <v>4450</v>
      </c>
      <c r="I30" s="3461" t="s">
        <v>4452</v>
      </c>
      <c r="J30" s="3462">
        <v>1.50654</v>
      </c>
      <c r="K30" s="3462">
        <v>45.823999999999998</v>
      </c>
      <c r="L30" s="3462">
        <v>3067</v>
      </c>
      <c r="M30" s="3462">
        <v>7000</v>
      </c>
      <c r="N30" s="3462">
        <v>0</v>
      </c>
      <c r="O30" s="3462">
        <v>49000</v>
      </c>
    </row>
    <row r="31" spans="1:15">
      <c r="A31" s="3461" t="s">
        <v>3463</v>
      </c>
      <c r="B31" s="3461" t="s">
        <v>3464</v>
      </c>
      <c r="C31" s="3461" t="s">
        <v>4777</v>
      </c>
      <c r="D31" s="3461" t="s">
        <v>4647</v>
      </c>
      <c r="E31" s="3461" t="s">
        <v>4065</v>
      </c>
      <c r="F31" s="3461" t="s">
        <v>4778</v>
      </c>
      <c r="G31" s="3461">
        <v>66.930000000000007</v>
      </c>
      <c r="H31" s="3461" t="s">
        <v>4722</v>
      </c>
      <c r="I31" s="3461" t="s">
        <v>4779</v>
      </c>
      <c r="J31" s="3462">
        <v>1.2609399999999999</v>
      </c>
      <c r="K31" s="3462">
        <v>38.353499999999997</v>
      </c>
      <c r="L31" s="3462">
        <v>2567</v>
      </c>
      <c r="M31" s="3462">
        <v>0</v>
      </c>
      <c r="N31" s="3462">
        <v>0</v>
      </c>
      <c r="O31" s="3462">
        <v>36000</v>
      </c>
    </row>
    <row r="32" spans="1:15">
      <c r="A32" s="3461" t="s">
        <v>3463</v>
      </c>
      <c r="B32" s="3461" t="s">
        <v>3464</v>
      </c>
      <c r="C32" s="3461" t="s">
        <v>4347</v>
      </c>
      <c r="D32" s="3461" t="s">
        <v>4234</v>
      </c>
      <c r="E32" s="3461" t="s">
        <v>3668</v>
      </c>
      <c r="F32" s="3461" t="s">
        <v>4348</v>
      </c>
      <c r="G32" s="3461">
        <v>38.049999999999997</v>
      </c>
      <c r="H32" s="3461" t="s">
        <v>4349</v>
      </c>
      <c r="I32" s="3461" t="s">
        <v>4350</v>
      </c>
      <c r="J32" s="3462">
        <v>1.7781899999999999</v>
      </c>
      <c r="K32" s="3462">
        <v>54.086730000000003</v>
      </c>
      <c r="L32" s="3462">
        <v>2058</v>
      </c>
      <c r="M32" s="3462">
        <v>0</v>
      </c>
      <c r="N32" s="3462">
        <v>0</v>
      </c>
      <c r="O32" s="3462">
        <v>27600</v>
      </c>
    </row>
    <row r="33" spans="1:15">
      <c r="A33" s="3461" t="s">
        <v>3463</v>
      </c>
      <c r="B33" s="3461" t="s">
        <v>3464</v>
      </c>
      <c r="C33" s="3461" t="s">
        <v>4805</v>
      </c>
      <c r="D33" s="3461" t="s">
        <v>4722</v>
      </c>
      <c r="E33" s="3461" t="s">
        <v>3814</v>
      </c>
      <c r="F33" s="3461" t="s">
        <v>4806</v>
      </c>
      <c r="G33" s="3461">
        <v>70.23</v>
      </c>
      <c r="H33" s="3461" t="s">
        <v>4743</v>
      </c>
      <c r="I33" s="3461" t="s">
        <v>4807</v>
      </c>
      <c r="J33" s="3462">
        <v>1.33464</v>
      </c>
      <c r="K33" s="3462">
        <v>40.595190000000002</v>
      </c>
      <c r="L33" s="3462">
        <v>2851</v>
      </c>
      <c r="M33" s="3462">
        <v>0</v>
      </c>
      <c r="N33" s="3462">
        <v>0</v>
      </c>
      <c r="O33" s="3462">
        <v>39600</v>
      </c>
    </row>
    <row r="34" spans="1:15">
      <c r="A34" s="3461" t="s">
        <v>3463</v>
      </c>
      <c r="B34" s="3461" t="s">
        <v>3464</v>
      </c>
      <c r="C34" s="3461" t="s">
        <v>4026</v>
      </c>
      <c r="D34" s="3461" t="s">
        <v>3900</v>
      </c>
      <c r="E34" s="3461" t="s">
        <v>3554</v>
      </c>
      <c r="F34" s="3461" t="s">
        <v>4027</v>
      </c>
      <c r="G34" s="3461">
        <v>73.5</v>
      </c>
      <c r="H34" s="3461" t="s">
        <v>4028</v>
      </c>
      <c r="I34" s="3461" t="s">
        <v>4029</v>
      </c>
      <c r="J34" s="3462">
        <v>1.37188</v>
      </c>
      <c r="K34" s="3462">
        <v>41.727890000000002</v>
      </c>
      <c r="L34" s="3462">
        <v>3067</v>
      </c>
      <c r="M34" s="3462">
        <v>0</v>
      </c>
      <c r="N34" s="3462">
        <v>0</v>
      </c>
      <c r="O34" s="3462">
        <v>42000</v>
      </c>
    </row>
    <row r="35" spans="1:15">
      <c r="A35" s="3461" t="s">
        <v>3463</v>
      </c>
      <c r="B35" s="3461" t="s">
        <v>3464</v>
      </c>
      <c r="C35" s="3461" t="s">
        <v>4108</v>
      </c>
      <c r="D35" s="3461" t="s">
        <v>4012</v>
      </c>
      <c r="E35" s="3461" t="s">
        <v>4109</v>
      </c>
      <c r="F35" s="3461" t="s">
        <v>4110</v>
      </c>
      <c r="G35" s="3461">
        <v>70.23</v>
      </c>
      <c r="H35" s="3461" t="s">
        <v>4111</v>
      </c>
      <c r="I35" s="3461" t="s">
        <v>4112</v>
      </c>
      <c r="J35" s="3462">
        <v>1.51206</v>
      </c>
      <c r="K35" s="3462">
        <v>45.99174</v>
      </c>
      <c r="L35" s="3462">
        <v>3230</v>
      </c>
      <c r="M35" s="3462">
        <v>3230</v>
      </c>
      <c r="N35" s="3462">
        <v>0</v>
      </c>
      <c r="O35" s="3462">
        <v>41990</v>
      </c>
    </row>
    <row r="36" spans="1:15">
      <c r="A36" s="3461" t="s">
        <v>3463</v>
      </c>
      <c r="B36" s="3461" t="s">
        <v>3464</v>
      </c>
      <c r="C36" s="3461" t="s">
        <v>4172</v>
      </c>
      <c r="D36" s="3461" t="s">
        <v>4089</v>
      </c>
      <c r="E36" s="3461" t="s">
        <v>3858</v>
      </c>
      <c r="F36" s="3461" t="s">
        <v>4173</v>
      </c>
      <c r="G36" s="3461">
        <v>45.4</v>
      </c>
      <c r="H36" s="3461" t="s">
        <v>4153</v>
      </c>
      <c r="I36" s="3461" t="s">
        <v>3476</v>
      </c>
      <c r="J36" s="3462">
        <v>1.6127</v>
      </c>
      <c r="K36" s="3462">
        <v>49.052860000000003</v>
      </c>
      <c r="L36" s="3462">
        <v>2227</v>
      </c>
      <c r="M36" s="3462">
        <v>0</v>
      </c>
      <c r="N36" s="3462">
        <v>0</v>
      </c>
      <c r="O36" s="3462">
        <v>30000</v>
      </c>
    </row>
    <row r="37" spans="1:15">
      <c r="A37" s="3461" t="s">
        <v>3463</v>
      </c>
      <c r="B37" s="3461" t="s">
        <v>3464</v>
      </c>
      <c r="C37" s="3461" t="s">
        <v>4170</v>
      </c>
      <c r="D37" s="3461" t="s">
        <v>4111</v>
      </c>
      <c r="E37" s="3461" t="s">
        <v>3911</v>
      </c>
      <c r="F37" s="3461" t="s">
        <v>4171</v>
      </c>
      <c r="G37" s="3461">
        <v>66.930000000000007</v>
      </c>
      <c r="H37" s="3461" t="s">
        <v>4153</v>
      </c>
      <c r="I37" s="3461" t="s">
        <v>3476</v>
      </c>
      <c r="J37" s="3462">
        <v>1.50654</v>
      </c>
      <c r="K37" s="3462">
        <v>45.823999999999998</v>
      </c>
      <c r="L37" s="3462">
        <v>3067</v>
      </c>
      <c r="M37" s="3462">
        <v>7000</v>
      </c>
      <c r="N37" s="3462">
        <v>0</v>
      </c>
      <c r="O37" s="3462">
        <v>49000</v>
      </c>
    </row>
    <row r="38" spans="1:15">
      <c r="A38" s="3461" t="s">
        <v>3463</v>
      </c>
      <c r="B38" s="3461" t="s">
        <v>3464</v>
      </c>
      <c r="C38" s="3461" t="s">
        <v>4930</v>
      </c>
      <c r="D38" s="3461" t="s">
        <v>4915</v>
      </c>
      <c r="E38" s="3461" t="s">
        <v>4008</v>
      </c>
      <c r="F38" s="3461" t="s">
        <v>4931</v>
      </c>
      <c r="G38" s="3461">
        <v>71.19</v>
      </c>
      <c r="H38" s="3461" t="s">
        <v>3908</v>
      </c>
      <c r="I38" s="3461" t="s">
        <v>4927</v>
      </c>
      <c r="J38" s="3462">
        <v>1.31664</v>
      </c>
      <c r="K38" s="3462">
        <v>40.047759999999997</v>
      </c>
      <c r="L38" s="3462">
        <v>2851</v>
      </c>
      <c r="M38" s="3462">
        <v>0</v>
      </c>
      <c r="N38" s="3462">
        <v>0</v>
      </c>
      <c r="O38" s="3462">
        <v>39600</v>
      </c>
    </row>
    <row r="39" spans="1:15">
      <c r="A39" s="3461" t="s">
        <v>3463</v>
      </c>
      <c r="B39" s="3461" t="s">
        <v>3464</v>
      </c>
      <c r="C39" s="3461" t="s">
        <v>3915</v>
      </c>
      <c r="D39" s="3461" t="s">
        <v>3900</v>
      </c>
      <c r="E39" s="3461" t="s">
        <v>3639</v>
      </c>
      <c r="F39" s="3461" t="s">
        <v>3916</v>
      </c>
      <c r="G39" s="3461">
        <v>66.930000000000007</v>
      </c>
      <c r="H39" s="3461" t="s">
        <v>3917</v>
      </c>
      <c r="I39" s="3461" t="s">
        <v>3918</v>
      </c>
      <c r="J39" s="3462">
        <v>1.50654</v>
      </c>
      <c r="K39" s="3462">
        <v>45.823999999999998</v>
      </c>
      <c r="L39" s="3462">
        <v>3067</v>
      </c>
      <c r="M39" s="3462">
        <v>0</v>
      </c>
      <c r="N39" s="3462">
        <v>0</v>
      </c>
      <c r="O39" s="3462">
        <v>42000</v>
      </c>
    </row>
    <row r="40" spans="1:15">
      <c r="A40" s="3461" t="s">
        <v>3463</v>
      </c>
      <c r="B40" s="3461" t="s">
        <v>3464</v>
      </c>
      <c r="C40" s="3461" t="s">
        <v>4334</v>
      </c>
      <c r="D40" s="3461" t="s">
        <v>4335</v>
      </c>
      <c r="E40" s="3461" t="s">
        <v>4065</v>
      </c>
      <c r="F40" s="3461" t="s">
        <v>4336</v>
      </c>
      <c r="G40" s="3461">
        <v>71.19</v>
      </c>
      <c r="H40" s="3461" t="s">
        <v>4335</v>
      </c>
      <c r="I40" s="3461" t="s">
        <v>4067</v>
      </c>
      <c r="J40" s="3462">
        <v>1.0857300000000001</v>
      </c>
      <c r="K40" s="3462">
        <v>33.024299999999997</v>
      </c>
      <c r="L40" s="3462">
        <v>2351</v>
      </c>
      <c r="M40" s="3462">
        <v>0</v>
      </c>
      <c r="N40" s="3462">
        <v>0</v>
      </c>
      <c r="O40" s="3462">
        <v>33600</v>
      </c>
    </row>
    <row r="41" spans="1:15">
      <c r="A41" s="3461" t="s">
        <v>3463</v>
      </c>
      <c r="B41" s="3461" t="s">
        <v>3464</v>
      </c>
      <c r="C41" s="3461" t="s">
        <v>4255</v>
      </c>
      <c r="D41" s="3461" t="s">
        <v>4197</v>
      </c>
      <c r="E41" s="3461" t="s">
        <v>4065</v>
      </c>
      <c r="F41" s="3461" t="s">
        <v>4256</v>
      </c>
      <c r="G41" s="3461">
        <v>42.31</v>
      </c>
      <c r="H41" s="3461" t="s">
        <v>4234</v>
      </c>
      <c r="I41" s="3461" t="s">
        <v>4235</v>
      </c>
      <c r="J41" s="3462">
        <v>1.34195</v>
      </c>
      <c r="K41" s="3462">
        <v>40.817770000000003</v>
      </c>
      <c r="L41" s="3462">
        <v>1727</v>
      </c>
      <c r="M41" s="3462">
        <v>0</v>
      </c>
      <c r="N41" s="3462">
        <v>0</v>
      </c>
      <c r="O41" s="3462">
        <v>24000</v>
      </c>
    </row>
    <row r="42" spans="1:15">
      <c r="A42" s="3461" t="s">
        <v>3463</v>
      </c>
      <c r="B42" s="3461" t="s">
        <v>3464</v>
      </c>
      <c r="C42" s="3461" t="s">
        <v>4131</v>
      </c>
      <c r="D42" s="3461" t="s">
        <v>4089</v>
      </c>
      <c r="E42" s="3461" t="s">
        <v>3655</v>
      </c>
      <c r="F42" s="3461" t="s">
        <v>4132</v>
      </c>
      <c r="G42" s="3461">
        <v>38.049999999999997</v>
      </c>
      <c r="H42" s="3461" t="s">
        <v>4133</v>
      </c>
      <c r="I42" s="3461" t="s">
        <v>4134</v>
      </c>
      <c r="J42" s="3462">
        <v>2.21021</v>
      </c>
      <c r="K42" s="3462">
        <v>67.227329999999995</v>
      </c>
      <c r="L42" s="3462">
        <v>2558</v>
      </c>
      <c r="M42" s="3462">
        <v>0</v>
      </c>
      <c r="N42" s="3462">
        <v>0</v>
      </c>
      <c r="O42" s="3462">
        <v>33600</v>
      </c>
    </row>
    <row r="43" spans="1:15">
      <c r="A43" s="3461" t="s">
        <v>3463</v>
      </c>
      <c r="B43" s="3461" t="s">
        <v>3464</v>
      </c>
      <c r="C43" s="3461" t="s">
        <v>4665</v>
      </c>
      <c r="D43" s="3461" t="s">
        <v>4666</v>
      </c>
      <c r="E43" s="3461" t="s">
        <v>3540</v>
      </c>
      <c r="F43" s="3461" t="s">
        <v>4667</v>
      </c>
      <c r="G43" s="3461">
        <v>42.31</v>
      </c>
      <c r="H43" s="3461" t="s">
        <v>4663</v>
      </c>
      <c r="I43" s="3461" t="s">
        <v>4664</v>
      </c>
      <c r="J43" s="3462">
        <v>1.6952</v>
      </c>
      <c r="K43" s="3462">
        <v>51.562280000000001</v>
      </c>
      <c r="L43" s="3462">
        <v>2181.6</v>
      </c>
      <c r="M43" s="3462">
        <v>0</v>
      </c>
      <c r="N43" s="3462">
        <v>0</v>
      </c>
      <c r="O43" s="3462">
        <v>29455.200000000001</v>
      </c>
    </row>
    <row r="44" spans="1:15">
      <c r="A44" s="3461" t="s">
        <v>3463</v>
      </c>
      <c r="B44" s="3461" t="s">
        <v>3464</v>
      </c>
      <c r="C44" s="3461" t="s">
        <v>4627</v>
      </c>
      <c r="D44" s="3461" t="s">
        <v>4580</v>
      </c>
      <c r="E44" s="3461" t="s">
        <v>3825</v>
      </c>
      <c r="F44" s="3461" t="s">
        <v>4628</v>
      </c>
      <c r="G44" s="3461">
        <v>38.049999999999997</v>
      </c>
      <c r="H44" s="3461" t="s">
        <v>4629</v>
      </c>
      <c r="I44" s="3461" t="s">
        <v>4630</v>
      </c>
      <c r="J44" s="3462">
        <v>1.7781899999999999</v>
      </c>
      <c r="K44" s="3462">
        <v>54.086730000000003</v>
      </c>
      <c r="L44" s="3462">
        <v>2058</v>
      </c>
      <c r="M44" s="3462">
        <v>0</v>
      </c>
      <c r="N44" s="3462">
        <v>0</v>
      </c>
      <c r="O44" s="3462">
        <v>27600</v>
      </c>
    </row>
    <row r="45" spans="1:15">
      <c r="A45" s="3461" t="s">
        <v>3463</v>
      </c>
      <c r="B45" s="3461" t="s">
        <v>3464</v>
      </c>
      <c r="C45" s="3461" t="s">
        <v>4500</v>
      </c>
      <c r="D45" s="3461" t="s">
        <v>4496</v>
      </c>
      <c r="E45" s="3461" t="s">
        <v>3639</v>
      </c>
      <c r="F45" s="3461" t="s">
        <v>4501</v>
      </c>
      <c r="G45" s="3461">
        <v>284.76</v>
      </c>
      <c r="H45" s="3461" t="s">
        <v>4496</v>
      </c>
      <c r="I45" s="3461" t="s">
        <v>4497</v>
      </c>
      <c r="J45" s="3462">
        <v>1.5166025000000001</v>
      </c>
      <c r="K45" s="3462">
        <v>184.52029999999999</v>
      </c>
      <c r="L45" s="3462">
        <v>13136</v>
      </c>
      <c r="M45" s="3462">
        <v>29800</v>
      </c>
      <c r="N45" s="3462">
        <v>0</v>
      </c>
      <c r="O45" s="3462">
        <v>208600</v>
      </c>
    </row>
    <row r="46" spans="1:15">
      <c r="A46" s="3461" t="s">
        <v>3463</v>
      </c>
      <c r="B46" s="3461" t="s">
        <v>3464</v>
      </c>
      <c r="C46" s="3461" t="s">
        <v>4125</v>
      </c>
      <c r="D46" s="3461" t="s">
        <v>3958</v>
      </c>
      <c r="E46" s="3461" t="s">
        <v>4126</v>
      </c>
      <c r="F46" s="3461" t="s">
        <v>4127</v>
      </c>
      <c r="G46" s="3461">
        <v>66.930000000000007</v>
      </c>
      <c r="H46" s="3461" t="s">
        <v>4114</v>
      </c>
      <c r="I46" s="3461" t="s">
        <v>4128</v>
      </c>
      <c r="J46" s="3462">
        <v>1.2565200000000001</v>
      </c>
      <c r="K46" s="3462">
        <v>38.219029999999997</v>
      </c>
      <c r="L46" s="3462">
        <v>2558</v>
      </c>
      <c r="M46" s="3462">
        <v>0</v>
      </c>
      <c r="N46" s="3462">
        <v>0</v>
      </c>
      <c r="O46" s="3462">
        <v>33600</v>
      </c>
    </row>
    <row r="47" spans="1:15">
      <c r="A47" s="3461" t="s">
        <v>3463</v>
      </c>
      <c r="B47" s="3461" t="s">
        <v>3464</v>
      </c>
      <c r="C47" s="3461" t="s">
        <v>4149</v>
      </c>
      <c r="D47" s="3461" t="s">
        <v>4103</v>
      </c>
      <c r="E47" s="3461" t="s">
        <v>3668</v>
      </c>
      <c r="F47" s="3461" t="s">
        <v>4150</v>
      </c>
      <c r="G47" s="3461">
        <v>66.930000000000007</v>
      </c>
      <c r="H47" s="3461" t="s">
        <v>4147</v>
      </c>
      <c r="I47" s="3461" t="s">
        <v>4148</v>
      </c>
      <c r="J47" s="3462">
        <v>1.7521500000000001</v>
      </c>
      <c r="K47" s="3462">
        <v>53.294490000000003</v>
      </c>
      <c r="L47" s="3462">
        <v>3567</v>
      </c>
      <c r="M47" s="3462">
        <v>8000</v>
      </c>
      <c r="N47" s="3462">
        <v>0</v>
      </c>
      <c r="O47" s="3462">
        <v>56000</v>
      </c>
    </row>
    <row r="48" spans="1:15">
      <c r="A48" s="3461" t="s">
        <v>3463</v>
      </c>
      <c r="B48" s="3461" t="s">
        <v>3464</v>
      </c>
      <c r="C48" s="3461" t="s">
        <v>4821</v>
      </c>
      <c r="D48" s="3461" t="s">
        <v>4750</v>
      </c>
      <c r="E48" s="3461" t="s">
        <v>4283</v>
      </c>
      <c r="F48" s="3461" t="s">
        <v>4822</v>
      </c>
      <c r="G48" s="3461">
        <v>38.049999999999997</v>
      </c>
      <c r="H48" s="3461" t="s">
        <v>4817</v>
      </c>
      <c r="I48" s="3461" t="s">
        <v>4823</v>
      </c>
      <c r="J48" s="3462">
        <v>1.7781899999999999</v>
      </c>
      <c r="K48" s="3462">
        <v>54.086730000000003</v>
      </c>
      <c r="L48" s="3462">
        <v>2058</v>
      </c>
      <c r="M48" s="3462">
        <v>0</v>
      </c>
      <c r="N48" s="3462">
        <v>0</v>
      </c>
      <c r="O48" s="3462">
        <v>27600</v>
      </c>
    </row>
    <row r="49" spans="1:15">
      <c r="A49" s="3461" t="s">
        <v>3463</v>
      </c>
      <c r="B49" s="3461" t="s">
        <v>3464</v>
      </c>
      <c r="C49" s="3461" t="s">
        <v>4742</v>
      </c>
      <c r="D49" s="3461" t="s">
        <v>4743</v>
      </c>
      <c r="E49" s="3461" t="s">
        <v>4283</v>
      </c>
      <c r="F49" s="3461" t="s">
        <v>4744</v>
      </c>
      <c r="G49" s="3461">
        <v>42.31</v>
      </c>
      <c r="H49" s="3461" t="s">
        <v>4745</v>
      </c>
      <c r="I49" s="3461" t="s">
        <v>4746</v>
      </c>
      <c r="J49" s="3462">
        <v>1.74</v>
      </c>
      <c r="K49" s="3462">
        <v>52.64</v>
      </c>
      <c r="L49" s="3462">
        <v>2227</v>
      </c>
      <c r="M49" s="3462">
        <v>0</v>
      </c>
      <c r="N49" s="3462">
        <v>0</v>
      </c>
      <c r="O49" s="3462">
        <v>30000</v>
      </c>
    </row>
    <row r="50" spans="1:15">
      <c r="A50" s="3461" t="s">
        <v>3463</v>
      </c>
      <c r="B50" s="3461" t="s">
        <v>3464</v>
      </c>
      <c r="C50" s="3461" t="s">
        <v>4527</v>
      </c>
      <c r="D50" s="3461" t="s">
        <v>4489</v>
      </c>
      <c r="E50" s="3461" t="s">
        <v>3668</v>
      </c>
      <c r="F50" s="3461" t="s">
        <v>4528</v>
      </c>
      <c r="G50" s="3461">
        <v>38.049999999999997</v>
      </c>
      <c r="H50" s="3461" t="s">
        <v>4529</v>
      </c>
      <c r="I50" s="3461" t="s">
        <v>4530</v>
      </c>
      <c r="J50" s="3462">
        <v>1.7781899999999999</v>
      </c>
      <c r="K50" s="3462">
        <v>54.086730000000003</v>
      </c>
      <c r="L50" s="3462">
        <v>2058</v>
      </c>
      <c r="M50" s="3462">
        <v>0</v>
      </c>
      <c r="N50" s="3462">
        <v>0</v>
      </c>
      <c r="O50" s="3462">
        <v>27600</v>
      </c>
    </row>
    <row r="51" spans="1:15">
      <c r="A51" s="3461" t="s">
        <v>3463</v>
      </c>
      <c r="B51" s="3461" t="s">
        <v>3464</v>
      </c>
      <c r="C51" s="3461" t="s">
        <v>4531</v>
      </c>
      <c r="D51" s="3461" t="s">
        <v>4428</v>
      </c>
      <c r="E51" s="3461" t="s">
        <v>3570</v>
      </c>
      <c r="F51" s="3461" t="s">
        <v>4532</v>
      </c>
      <c r="G51" s="3461">
        <v>73.5</v>
      </c>
      <c r="H51" s="3461" t="s">
        <v>4533</v>
      </c>
      <c r="I51" s="3461" t="s">
        <v>4534</v>
      </c>
      <c r="J51" s="3462">
        <v>1.37188</v>
      </c>
      <c r="K51" s="3462">
        <v>41.727890000000002</v>
      </c>
      <c r="L51" s="3462">
        <v>3067</v>
      </c>
      <c r="M51" s="3462">
        <v>0</v>
      </c>
      <c r="N51" s="3462">
        <v>0</v>
      </c>
      <c r="O51" s="3462">
        <v>42000</v>
      </c>
    </row>
    <row r="52" spans="1:15">
      <c r="A52" s="3461" t="s">
        <v>3463</v>
      </c>
      <c r="B52" s="3461" t="s">
        <v>3464</v>
      </c>
      <c r="C52" s="3461" t="s">
        <v>4075</v>
      </c>
      <c r="D52" s="3461" t="s">
        <v>4076</v>
      </c>
      <c r="E52" s="3461" t="s">
        <v>3508</v>
      </c>
      <c r="F52" s="3461" t="s">
        <v>4077</v>
      </c>
      <c r="G52" s="3461">
        <v>70.23</v>
      </c>
      <c r="H52" s="3461" t="s">
        <v>4043</v>
      </c>
      <c r="I52" s="3461" t="s">
        <v>3573</v>
      </c>
      <c r="J52" s="3462">
        <v>1.5687</v>
      </c>
      <c r="K52" s="3462">
        <v>47.714649999999999</v>
      </c>
      <c r="L52" s="3462">
        <v>3351</v>
      </c>
      <c r="M52" s="3462">
        <v>7600</v>
      </c>
      <c r="N52" s="3462">
        <v>0</v>
      </c>
      <c r="O52" s="3462">
        <v>53200</v>
      </c>
    </row>
    <row r="53" spans="1:15">
      <c r="A53" s="3461" t="s">
        <v>3463</v>
      </c>
      <c r="B53" s="3461" t="s">
        <v>3464</v>
      </c>
      <c r="C53" s="3461" t="s">
        <v>4783</v>
      </c>
      <c r="D53" s="3461" t="s">
        <v>4722</v>
      </c>
      <c r="E53" s="3461" t="s">
        <v>3570</v>
      </c>
      <c r="F53" s="3461" t="s">
        <v>4784</v>
      </c>
      <c r="G53" s="3461">
        <v>70.23</v>
      </c>
      <c r="H53" s="3461" t="s">
        <v>4785</v>
      </c>
      <c r="I53" s="3461" t="s">
        <v>4786</v>
      </c>
      <c r="J53" s="3462">
        <v>1.33464</v>
      </c>
      <c r="K53" s="3462">
        <v>40.595190000000002</v>
      </c>
      <c r="L53" s="3462">
        <v>2851</v>
      </c>
      <c r="M53" s="3462">
        <v>6600</v>
      </c>
      <c r="N53" s="3462">
        <v>0</v>
      </c>
      <c r="O53" s="3462">
        <v>46200</v>
      </c>
    </row>
    <row r="54" spans="1:15">
      <c r="A54" s="3461" t="s">
        <v>3463</v>
      </c>
      <c r="B54" s="3461" t="s">
        <v>3464</v>
      </c>
      <c r="C54" s="3461" t="s">
        <v>4269</v>
      </c>
      <c r="D54" s="3461" t="s">
        <v>4270</v>
      </c>
      <c r="E54" s="3461" t="s">
        <v>3825</v>
      </c>
      <c r="F54" s="3461" t="s">
        <v>4271</v>
      </c>
      <c r="G54" s="3461">
        <v>45.4</v>
      </c>
      <c r="H54" s="3461" t="s">
        <v>4272</v>
      </c>
      <c r="I54" s="3461" t="s">
        <v>4273</v>
      </c>
      <c r="J54" s="3462">
        <v>1.6127</v>
      </c>
      <c r="K54" s="3462">
        <v>49.052860000000003</v>
      </c>
      <c r="L54" s="3462">
        <v>2227</v>
      </c>
      <c r="M54" s="3462">
        <v>0</v>
      </c>
      <c r="N54" s="3462">
        <v>0</v>
      </c>
      <c r="O54" s="3462">
        <v>30000</v>
      </c>
    </row>
    <row r="55" spans="1:15">
      <c r="A55" s="3461" t="s">
        <v>3463</v>
      </c>
      <c r="B55" s="3461" t="s">
        <v>3464</v>
      </c>
      <c r="C55" s="3461" t="s">
        <v>4030</v>
      </c>
      <c r="D55" s="3461" t="s">
        <v>4012</v>
      </c>
      <c r="E55" s="3461" t="s">
        <v>4031</v>
      </c>
      <c r="F55" s="3461" t="s">
        <v>4032</v>
      </c>
      <c r="G55" s="3461">
        <v>38.049999999999997</v>
      </c>
      <c r="H55" s="3461" t="s">
        <v>4033</v>
      </c>
      <c r="I55" s="3461" t="s">
        <v>4034</v>
      </c>
      <c r="J55" s="3462">
        <v>1.1923699999999999</v>
      </c>
      <c r="K55" s="3462">
        <v>36.268070000000002</v>
      </c>
      <c r="L55" s="3462">
        <v>1380</v>
      </c>
      <c r="M55" s="3462">
        <v>1380</v>
      </c>
      <c r="N55" s="3462">
        <v>0</v>
      </c>
      <c r="O55" s="3462">
        <v>17940</v>
      </c>
    </row>
    <row r="56" spans="1:15">
      <c r="A56" s="3461" t="s">
        <v>3463</v>
      </c>
      <c r="B56" s="3461" t="s">
        <v>3683</v>
      </c>
      <c r="C56" s="3461" t="s">
        <v>4895</v>
      </c>
      <c r="D56" s="3461" t="s">
        <v>4883</v>
      </c>
      <c r="E56" s="3461" t="s">
        <v>3540</v>
      </c>
      <c r="F56" s="3461" t="s">
        <v>4896</v>
      </c>
      <c r="G56" s="3461">
        <v>66.930000000000007</v>
      </c>
      <c r="H56" s="3461" t="s">
        <v>4897</v>
      </c>
      <c r="I56" s="3461" t="s">
        <v>3863</v>
      </c>
      <c r="J56" s="3462">
        <v>1.20523</v>
      </c>
      <c r="K56" s="3462">
        <v>36.659199999999998</v>
      </c>
      <c r="L56" s="3462">
        <v>2453.6</v>
      </c>
      <c r="M56" s="3462">
        <v>7000</v>
      </c>
      <c r="N56" s="3462">
        <v>0</v>
      </c>
      <c r="O56" s="3462">
        <v>41639.199999999997</v>
      </c>
    </row>
    <row r="57" spans="1:15">
      <c r="A57" s="3461" t="s">
        <v>3463</v>
      </c>
      <c r="B57" s="3461" t="s">
        <v>3464</v>
      </c>
      <c r="C57" s="3461" t="s">
        <v>4381</v>
      </c>
      <c r="D57" s="3461" t="s">
        <v>4382</v>
      </c>
      <c r="E57" s="3461" t="s">
        <v>4383</v>
      </c>
      <c r="F57" s="3461" t="s">
        <v>4384</v>
      </c>
      <c r="G57" s="3461">
        <v>71.19</v>
      </c>
      <c r="H57" s="3461" t="s">
        <v>4355</v>
      </c>
      <c r="I57" s="3461" t="s">
        <v>4385</v>
      </c>
      <c r="J57" s="3462">
        <v>0.96057999999999999</v>
      </c>
      <c r="K57" s="3462">
        <v>29.217590000000001</v>
      </c>
      <c r="L57" s="3462">
        <v>2080</v>
      </c>
      <c r="M57" s="3462">
        <v>2080</v>
      </c>
      <c r="N57" s="3462">
        <v>0</v>
      </c>
      <c r="O57" s="3462">
        <v>27040</v>
      </c>
    </row>
    <row r="58" spans="1:15">
      <c r="A58" s="3461" t="s">
        <v>3463</v>
      </c>
      <c r="B58" s="3461" t="s">
        <v>3464</v>
      </c>
      <c r="C58" s="3461" t="s">
        <v>4014</v>
      </c>
      <c r="D58" s="3461" t="s">
        <v>4015</v>
      </c>
      <c r="E58" s="3461" t="s">
        <v>3961</v>
      </c>
      <c r="F58" s="3461" t="s">
        <v>4016</v>
      </c>
      <c r="G58" s="3461">
        <v>66.930000000000007</v>
      </c>
      <c r="H58" s="3461" t="s">
        <v>4017</v>
      </c>
      <c r="I58" s="3461" t="s">
        <v>4018</v>
      </c>
      <c r="J58" s="3462">
        <v>1.50654</v>
      </c>
      <c r="K58" s="3462">
        <v>45.823999999999998</v>
      </c>
      <c r="L58" s="3462">
        <v>3067</v>
      </c>
      <c r="M58" s="3462">
        <v>3500</v>
      </c>
      <c r="N58" s="3462">
        <v>0</v>
      </c>
      <c r="O58" s="3462">
        <v>45500</v>
      </c>
    </row>
    <row r="59" spans="1:15">
      <c r="A59" s="3461" t="s">
        <v>3463</v>
      </c>
      <c r="B59" s="3461" t="s">
        <v>3464</v>
      </c>
      <c r="C59" s="3461" t="s">
        <v>4506</v>
      </c>
      <c r="D59" s="3461" t="s">
        <v>4507</v>
      </c>
      <c r="E59" s="3461" t="s">
        <v>3748</v>
      </c>
      <c r="F59" s="3461" t="s">
        <v>4508</v>
      </c>
      <c r="G59" s="3461">
        <v>42.31</v>
      </c>
      <c r="H59" s="3461" t="s">
        <v>4503</v>
      </c>
      <c r="I59" s="3461" t="s">
        <v>4505</v>
      </c>
      <c r="J59" s="3462">
        <v>2.1190000000000002</v>
      </c>
      <c r="K59" s="3462">
        <v>64.452849999999998</v>
      </c>
      <c r="L59" s="3462">
        <v>2727</v>
      </c>
      <c r="M59" s="3462">
        <v>0</v>
      </c>
      <c r="N59" s="3462">
        <v>0</v>
      </c>
      <c r="O59" s="3462">
        <v>36000</v>
      </c>
    </row>
    <row r="60" spans="1:15">
      <c r="A60" s="3461" t="s">
        <v>3463</v>
      </c>
      <c r="B60" s="3461" t="s">
        <v>3464</v>
      </c>
      <c r="C60" s="3461" t="s">
        <v>4217</v>
      </c>
      <c r="D60" s="3461" t="s">
        <v>4197</v>
      </c>
      <c r="E60" s="3461" t="s">
        <v>4115</v>
      </c>
      <c r="F60" s="3461" t="s">
        <v>4218</v>
      </c>
      <c r="G60" s="3461">
        <v>38.049999999999997</v>
      </c>
      <c r="H60" s="3461" t="s">
        <v>4175</v>
      </c>
      <c r="I60" s="3461" t="s">
        <v>4219</v>
      </c>
      <c r="J60" s="3462">
        <v>1.7781899999999999</v>
      </c>
      <c r="K60" s="3462">
        <v>54.086730000000003</v>
      </c>
      <c r="L60" s="3462">
        <v>2058</v>
      </c>
      <c r="M60" s="3462">
        <v>0</v>
      </c>
      <c r="N60" s="3462">
        <v>0</v>
      </c>
      <c r="O60" s="3462">
        <v>27600</v>
      </c>
    </row>
    <row r="61" spans="1:15">
      <c r="A61" s="3461" t="s">
        <v>3463</v>
      </c>
      <c r="B61" s="3461" t="s">
        <v>3464</v>
      </c>
      <c r="C61" s="3461" t="s">
        <v>3974</v>
      </c>
      <c r="D61" s="3461" t="s">
        <v>3954</v>
      </c>
      <c r="E61" s="3461" t="s">
        <v>3540</v>
      </c>
      <c r="F61" s="3461" t="s">
        <v>3975</v>
      </c>
      <c r="G61" s="3461">
        <v>84.62</v>
      </c>
      <c r="H61" s="3461" t="s">
        <v>3972</v>
      </c>
      <c r="I61" s="3461" t="s">
        <v>3973</v>
      </c>
      <c r="J61" s="3462">
        <v>1.3843799999999999</v>
      </c>
      <c r="K61" s="3462">
        <v>84.216499999999996</v>
      </c>
      <c r="L61" s="3462">
        <v>3563.2</v>
      </c>
      <c r="M61" s="3462">
        <v>10000</v>
      </c>
      <c r="N61" s="3462">
        <v>0</v>
      </c>
      <c r="O61" s="3462">
        <v>59310.400000000001</v>
      </c>
    </row>
    <row r="62" spans="1:15">
      <c r="A62" s="3461" t="s">
        <v>3463</v>
      </c>
      <c r="B62" s="3461" t="s">
        <v>3464</v>
      </c>
      <c r="C62" s="3461" t="s">
        <v>4264</v>
      </c>
      <c r="D62" s="3461" t="s">
        <v>4265</v>
      </c>
      <c r="E62" s="3461" t="s">
        <v>3770</v>
      </c>
      <c r="F62" s="3461" t="s">
        <v>4266</v>
      </c>
      <c r="G62" s="3461">
        <v>38.049999999999997</v>
      </c>
      <c r="H62" s="3461" t="s">
        <v>4267</v>
      </c>
      <c r="I62" s="3461" t="s">
        <v>4268</v>
      </c>
      <c r="J62" s="3462">
        <v>1.7781899999999999</v>
      </c>
      <c r="K62" s="3462">
        <v>54.086730000000003</v>
      </c>
      <c r="L62" s="3462">
        <v>2058</v>
      </c>
      <c r="M62" s="3462">
        <v>0</v>
      </c>
      <c r="N62" s="3462">
        <v>0</v>
      </c>
      <c r="O62" s="3462">
        <v>27600</v>
      </c>
    </row>
    <row r="63" spans="1:15">
      <c r="A63" s="3461" t="s">
        <v>3463</v>
      </c>
      <c r="B63" s="3461" t="s">
        <v>3464</v>
      </c>
      <c r="C63" s="3461" t="s">
        <v>4928</v>
      </c>
      <c r="D63" s="3461" t="s">
        <v>4915</v>
      </c>
      <c r="E63" s="3461" t="s">
        <v>4008</v>
      </c>
      <c r="F63" s="3461" t="s">
        <v>4929</v>
      </c>
      <c r="G63" s="3461">
        <v>71.19</v>
      </c>
      <c r="H63" s="3461" t="s">
        <v>3908</v>
      </c>
      <c r="I63" s="3461" t="s">
        <v>4927</v>
      </c>
      <c r="J63" s="3462">
        <v>1.31664</v>
      </c>
      <c r="K63" s="3462">
        <v>40.047759999999997</v>
      </c>
      <c r="L63" s="3462">
        <v>2851</v>
      </c>
      <c r="M63" s="3462">
        <v>0</v>
      </c>
      <c r="N63" s="3462">
        <v>0</v>
      </c>
      <c r="O63" s="3462">
        <v>39600</v>
      </c>
    </row>
    <row r="64" spans="1:15">
      <c r="A64" s="3461" t="s">
        <v>3463</v>
      </c>
      <c r="B64" s="3461" t="s">
        <v>3464</v>
      </c>
      <c r="C64" s="3461" t="s">
        <v>3937</v>
      </c>
      <c r="D64" s="3461" t="s">
        <v>3891</v>
      </c>
      <c r="E64" s="3461" t="s">
        <v>3938</v>
      </c>
      <c r="F64" s="3461" t="s">
        <v>3939</v>
      </c>
      <c r="G64" s="3461">
        <v>38.049999999999997</v>
      </c>
      <c r="H64" s="3461" t="s">
        <v>3933</v>
      </c>
      <c r="I64" s="3461" t="s">
        <v>3934</v>
      </c>
      <c r="J64" s="3462">
        <v>2.21021</v>
      </c>
      <c r="K64" s="3462">
        <v>67.227329999999995</v>
      </c>
      <c r="L64" s="3462">
        <v>2558</v>
      </c>
      <c r="M64" s="3462">
        <v>5600</v>
      </c>
      <c r="N64" s="3462">
        <v>0</v>
      </c>
      <c r="O64" s="3462">
        <v>39200</v>
      </c>
    </row>
    <row r="65" spans="1:15">
      <c r="A65" s="3461" t="s">
        <v>3463</v>
      </c>
      <c r="B65" s="3461" t="s">
        <v>3464</v>
      </c>
      <c r="C65" s="3461" t="s">
        <v>4331</v>
      </c>
      <c r="D65" s="3461" t="s">
        <v>4332</v>
      </c>
      <c r="E65" s="3461" t="s">
        <v>3545</v>
      </c>
      <c r="F65" s="3461" t="s">
        <v>4333</v>
      </c>
      <c r="G65" s="3461">
        <v>38.049999999999997</v>
      </c>
      <c r="H65" s="3461" t="s">
        <v>4324</v>
      </c>
      <c r="I65" s="3461" t="s">
        <v>4327</v>
      </c>
      <c r="J65" s="3462">
        <v>1.6892</v>
      </c>
      <c r="K65" s="3462">
        <v>51.379759999999997</v>
      </c>
      <c r="L65" s="3462">
        <v>1955</v>
      </c>
      <c r="M65" s="3462">
        <v>0</v>
      </c>
      <c r="N65" s="3462">
        <v>0</v>
      </c>
      <c r="O65" s="3462">
        <v>23460</v>
      </c>
    </row>
    <row r="66" spans="1:15">
      <c r="A66" s="3461" t="s">
        <v>3463</v>
      </c>
      <c r="B66" s="3461" t="s">
        <v>3464</v>
      </c>
      <c r="C66" s="3461" t="s">
        <v>3965</v>
      </c>
      <c r="D66" s="3461" t="s">
        <v>3954</v>
      </c>
      <c r="E66" s="3461" t="s">
        <v>3694</v>
      </c>
      <c r="F66" s="3461" t="s">
        <v>3966</v>
      </c>
      <c r="G66" s="3461">
        <v>73.5</v>
      </c>
      <c r="H66" s="3461" t="s">
        <v>3967</v>
      </c>
      <c r="I66" s="3461" t="s">
        <v>3968</v>
      </c>
      <c r="J66" s="3462">
        <v>1.5955299999999999</v>
      </c>
      <c r="K66" s="3462">
        <v>48.530610000000003</v>
      </c>
      <c r="L66" s="3462">
        <v>3567</v>
      </c>
      <c r="M66" s="3462">
        <v>8000</v>
      </c>
      <c r="N66" s="3462">
        <v>0</v>
      </c>
      <c r="O66" s="3462">
        <v>56000</v>
      </c>
    </row>
    <row r="67" spans="1:15">
      <c r="A67" s="3461" t="s">
        <v>3463</v>
      </c>
      <c r="B67" s="3461" t="s">
        <v>3464</v>
      </c>
      <c r="C67" s="3461" t="s">
        <v>4386</v>
      </c>
      <c r="D67" s="3461" t="s">
        <v>4157</v>
      </c>
      <c r="E67" s="3461" t="s">
        <v>3570</v>
      </c>
      <c r="F67" s="3461" t="s">
        <v>4387</v>
      </c>
      <c r="G67" s="3461">
        <v>70.23</v>
      </c>
      <c r="H67" s="3461" t="s">
        <v>4261</v>
      </c>
      <c r="I67" s="3461" t="s">
        <v>4388</v>
      </c>
      <c r="J67" s="3462">
        <v>1.33464</v>
      </c>
      <c r="K67" s="3462">
        <v>40.595190000000002</v>
      </c>
      <c r="L67" s="3462">
        <v>2851</v>
      </c>
      <c r="M67" s="3462">
        <v>0</v>
      </c>
      <c r="N67" s="3462">
        <v>0</v>
      </c>
      <c r="O67" s="3462">
        <v>39600</v>
      </c>
    </row>
    <row r="68" spans="1:15">
      <c r="A68" s="3461" t="s">
        <v>3463</v>
      </c>
      <c r="B68" s="3461" t="s">
        <v>3464</v>
      </c>
      <c r="C68" s="3461" t="s">
        <v>3899</v>
      </c>
      <c r="D68" s="3461" t="s">
        <v>3900</v>
      </c>
      <c r="E68" s="3461" t="s">
        <v>3901</v>
      </c>
      <c r="F68" s="3461" t="s">
        <v>3902</v>
      </c>
      <c r="G68" s="3461">
        <v>70.23</v>
      </c>
      <c r="H68" s="3461" t="s">
        <v>3903</v>
      </c>
      <c r="I68" s="3461" t="s">
        <v>3904</v>
      </c>
      <c r="J68" s="3462">
        <v>1.3130999999999999</v>
      </c>
      <c r="K68" s="3462">
        <v>39.940199999999997</v>
      </c>
      <c r="L68" s="3462">
        <v>2805</v>
      </c>
      <c r="M68" s="3462">
        <v>0</v>
      </c>
      <c r="N68" s="3462">
        <v>0</v>
      </c>
      <c r="O68" s="3462">
        <v>33660</v>
      </c>
    </row>
    <row r="69" spans="1:15">
      <c r="A69" s="3461" t="s">
        <v>3463</v>
      </c>
      <c r="B69" s="3461" t="s">
        <v>3464</v>
      </c>
      <c r="C69" s="3461" t="s">
        <v>4832</v>
      </c>
      <c r="D69" s="3461" t="s">
        <v>4647</v>
      </c>
      <c r="E69" s="3461" t="s">
        <v>3858</v>
      </c>
      <c r="F69" s="3461" t="s">
        <v>4833</v>
      </c>
      <c r="G69" s="3461">
        <v>45.4</v>
      </c>
      <c r="H69" s="3461" t="s">
        <v>4817</v>
      </c>
      <c r="I69" s="3461" t="s">
        <v>4823</v>
      </c>
      <c r="J69" s="3462">
        <v>1.6127</v>
      </c>
      <c r="K69" s="3462">
        <v>49.052860000000003</v>
      </c>
      <c r="L69" s="3462">
        <v>2227</v>
      </c>
      <c r="M69" s="3462">
        <v>0</v>
      </c>
      <c r="N69" s="3462">
        <v>0</v>
      </c>
      <c r="O69" s="3462">
        <v>30000</v>
      </c>
    </row>
    <row r="70" spans="1:15">
      <c r="A70" s="3461" t="s">
        <v>3463</v>
      </c>
      <c r="B70" s="3461" t="s">
        <v>3464</v>
      </c>
      <c r="C70" s="3461" t="s">
        <v>4521</v>
      </c>
      <c r="D70" s="3461" t="s">
        <v>4522</v>
      </c>
      <c r="E70" s="3461" t="s">
        <v>4523</v>
      </c>
      <c r="F70" s="3461" t="s">
        <v>4524</v>
      </c>
      <c r="G70" s="3461">
        <v>38.049999999999997</v>
      </c>
      <c r="H70" s="3461" t="s">
        <v>4525</v>
      </c>
      <c r="I70" s="3461" t="s">
        <v>4526</v>
      </c>
      <c r="J70" s="3462">
        <v>1.6892</v>
      </c>
      <c r="K70" s="3462">
        <v>51.379759999999997</v>
      </c>
      <c r="L70" s="3462">
        <v>1955</v>
      </c>
      <c r="M70" s="3462">
        <v>0</v>
      </c>
      <c r="N70" s="3462">
        <v>0</v>
      </c>
      <c r="O70" s="3462">
        <v>23460</v>
      </c>
    </row>
    <row r="71" spans="1:15">
      <c r="A71" s="3461" t="s">
        <v>3463</v>
      </c>
      <c r="B71" s="3461" t="s">
        <v>3464</v>
      </c>
      <c r="C71" s="3461" t="s">
        <v>4151</v>
      </c>
      <c r="D71" s="3461" t="s">
        <v>4114</v>
      </c>
      <c r="E71" s="3461" t="s">
        <v>3582</v>
      </c>
      <c r="F71" s="3461" t="s">
        <v>4152</v>
      </c>
      <c r="G71" s="3461">
        <v>66.930000000000007</v>
      </c>
      <c r="H71" s="3461" t="s">
        <v>4153</v>
      </c>
      <c r="I71" s="3461" t="s">
        <v>3476</v>
      </c>
      <c r="J71" s="3462">
        <v>1.50654</v>
      </c>
      <c r="K71" s="3462">
        <v>45.823999999999998</v>
      </c>
      <c r="L71" s="3462">
        <v>3067</v>
      </c>
      <c r="M71" s="3462">
        <v>7000</v>
      </c>
      <c r="N71" s="3462">
        <v>0</v>
      </c>
      <c r="O71" s="3462">
        <v>49000</v>
      </c>
    </row>
    <row r="72" spans="1:15">
      <c r="A72" s="3461" t="s">
        <v>3463</v>
      </c>
      <c r="B72" s="3461" t="s">
        <v>3464</v>
      </c>
      <c r="C72" s="3461" t="s">
        <v>4739</v>
      </c>
      <c r="D72" s="3461" t="s">
        <v>4647</v>
      </c>
      <c r="E72" s="3461" t="s">
        <v>4726</v>
      </c>
      <c r="F72" s="3461" t="s">
        <v>4740</v>
      </c>
      <c r="G72" s="3461">
        <v>66.930000000000007</v>
      </c>
      <c r="H72" s="3461" t="s">
        <v>4729</v>
      </c>
      <c r="I72" s="3461" t="s">
        <v>4741</v>
      </c>
      <c r="J72" s="3462">
        <v>1.50654</v>
      </c>
      <c r="K72" s="3462">
        <v>45.823999999999998</v>
      </c>
      <c r="L72" s="3462">
        <v>3067</v>
      </c>
      <c r="M72" s="3462">
        <v>0</v>
      </c>
      <c r="N72" s="3462">
        <v>0</v>
      </c>
      <c r="O72" s="3462">
        <v>42000</v>
      </c>
    </row>
    <row r="73" spans="1:15">
      <c r="A73" s="3461" t="s">
        <v>3463</v>
      </c>
      <c r="B73" s="3461" t="s">
        <v>3464</v>
      </c>
      <c r="C73" s="3461" t="s">
        <v>4837</v>
      </c>
      <c r="D73" s="3461" t="s">
        <v>4722</v>
      </c>
      <c r="E73" s="3461" t="s">
        <v>3694</v>
      </c>
      <c r="F73" s="3461" t="s">
        <v>4838</v>
      </c>
      <c r="G73" s="3461">
        <v>42.31</v>
      </c>
      <c r="H73" s="3461" t="s">
        <v>4839</v>
      </c>
      <c r="I73" s="3461" t="s">
        <v>4840</v>
      </c>
      <c r="J73" s="3462">
        <v>2.1190000000000002</v>
      </c>
      <c r="K73" s="3462">
        <v>64.452849999999998</v>
      </c>
      <c r="L73" s="3462">
        <v>2727</v>
      </c>
      <c r="M73" s="3462">
        <v>6000</v>
      </c>
      <c r="N73" s="3462">
        <v>0</v>
      </c>
      <c r="O73" s="3462">
        <v>42000</v>
      </c>
    </row>
    <row r="74" spans="1:15">
      <c r="A74" s="3461" t="s">
        <v>3463</v>
      </c>
      <c r="B74" s="3461" t="s">
        <v>3464</v>
      </c>
      <c r="C74" s="3461" t="s">
        <v>4646</v>
      </c>
      <c r="D74" s="3461" t="s">
        <v>4647</v>
      </c>
      <c r="E74" s="3461" t="s">
        <v>4648</v>
      </c>
      <c r="F74" s="3461" t="s">
        <v>4649</v>
      </c>
      <c r="G74" s="3461">
        <v>38.049999999999997</v>
      </c>
      <c r="H74" s="3461" t="s">
        <v>4635</v>
      </c>
      <c r="I74" s="3461" t="s">
        <v>4639</v>
      </c>
      <c r="J74" s="3462">
        <v>1.1923699999999999</v>
      </c>
      <c r="K74" s="3462">
        <v>36.268070000000002</v>
      </c>
      <c r="L74" s="3462">
        <v>1380</v>
      </c>
      <c r="M74" s="3462">
        <v>0</v>
      </c>
      <c r="N74" s="3462">
        <v>0</v>
      </c>
      <c r="O74" s="3462">
        <v>16560</v>
      </c>
    </row>
    <row r="75" spans="1:15">
      <c r="A75" s="3461" t="s">
        <v>3463</v>
      </c>
      <c r="B75" s="3461" t="s">
        <v>3464</v>
      </c>
      <c r="C75" s="3461" t="s">
        <v>4213</v>
      </c>
      <c r="D75" s="3461" t="s">
        <v>4197</v>
      </c>
      <c r="E75" s="3461" t="s">
        <v>3931</v>
      </c>
      <c r="F75" s="3461" t="s">
        <v>4214</v>
      </c>
      <c r="G75" s="3461">
        <v>42.31</v>
      </c>
      <c r="H75" s="3461" t="s">
        <v>4205</v>
      </c>
      <c r="I75" s="3461" t="s">
        <v>4212</v>
      </c>
      <c r="J75" s="3462">
        <v>1.73048</v>
      </c>
      <c r="K75" s="3462">
        <v>52.635309999999997</v>
      </c>
      <c r="L75" s="3462">
        <v>2227</v>
      </c>
      <c r="M75" s="3462">
        <v>5000</v>
      </c>
      <c r="N75" s="3462">
        <v>0</v>
      </c>
      <c r="O75" s="3462">
        <v>35000</v>
      </c>
    </row>
    <row r="76" spans="1:15">
      <c r="A76" s="3461" t="s">
        <v>3463</v>
      </c>
      <c r="B76" s="3461" t="s">
        <v>3464</v>
      </c>
      <c r="C76" s="3461" t="s">
        <v>4341</v>
      </c>
      <c r="D76" s="3461" t="s">
        <v>4318</v>
      </c>
      <c r="E76" s="3461" t="s">
        <v>4342</v>
      </c>
      <c r="F76" s="3461" t="s">
        <v>4343</v>
      </c>
      <c r="G76" s="3461">
        <v>71.19</v>
      </c>
      <c r="H76" s="3461" t="s">
        <v>4339</v>
      </c>
      <c r="I76" s="3461" t="s">
        <v>4340</v>
      </c>
      <c r="J76" s="3462">
        <v>0.91439999999999999</v>
      </c>
      <c r="K76" s="3462">
        <v>27.812899999999999</v>
      </c>
      <c r="L76" s="3462">
        <v>1980</v>
      </c>
      <c r="M76" s="3462">
        <v>0</v>
      </c>
      <c r="N76" s="3462">
        <v>0</v>
      </c>
      <c r="O76" s="3462">
        <v>23760</v>
      </c>
    </row>
    <row r="77" spans="1:15">
      <c r="A77" s="3461" t="s">
        <v>3463</v>
      </c>
      <c r="B77" s="3461" t="s">
        <v>3464</v>
      </c>
      <c r="C77" s="3461" t="s">
        <v>4354</v>
      </c>
      <c r="D77" s="3461" t="s">
        <v>4355</v>
      </c>
      <c r="E77" s="3461" t="s">
        <v>4356</v>
      </c>
      <c r="F77" s="3461" t="s">
        <v>4357</v>
      </c>
      <c r="G77" s="3461">
        <v>66.930000000000007</v>
      </c>
      <c r="H77" s="3461" t="s">
        <v>4318</v>
      </c>
      <c r="I77" s="3461" t="s">
        <v>4353</v>
      </c>
      <c r="J77" s="3462">
        <v>1.7521500000000001</v>
      </c>
      <c r="K77" s="3462">
        <v>53.294490000000003</v>
      </c>
      <c r="L77" s="3462">
        <v>3567</v>
      </c>
      <c r="M77" s="3462">
        <v>0</v>
      </c>
      <c r="N77" s="3462">
        <v>0</v>
      </c>
      <c r="O77" s="3462">
        <v>48000</v>
      </c>
    </row>
    <row r="78" spans="1:15">
      <c r="A78" s="3461" t="s">
        <v>3463</v>
      </c>
      <c r="B78" s="3461" t="s">
        <v>3464</v>
      </c>
      <c r="C78" s="3461" t="s">
        <v>4621</v>
      </c>
      <c r="D78" s="3461" t="s">
        <v>4580</v>
      </c>
      <c r="E78" s="3461" t="s">
        <v>3582</v>
      </c>
      <c r="F78" s="3461" t="s">
        <v>4622</v>
      </c>
      <c r="G78" s="3461">
        <v>71.19</v>
      </c>
      <c r="H78" s="3461" t="s">
        <v>4619</v>
      </c>
      <c r="I78" s="3461" t="s">
        <v>4620</v>
      </c>
      <c r="J78" s="3462">
        <v>1.31664</v>
      </c>
      <c r="K78" s="3462">
        <v>40.047759999999997</v>
      </c>
      <c r="L78" s="3462">
        <v>2851</v>
      </c>
      <c r="M78" s="3462">
        <v>0</v>
      </c>
      <c r="N78" s="3462">
        <v>0</v>
      </c>
      <c r="O78" s="3462">
        <v>39600</v>
      </c>
    </row>
    <row r="79" spans="1:15">
      <c r="A79" s="3461" t="s">
        <v>3463</v>
      </c>
      <c r="B79" s="3461" t="s">
        <v>3464</v>
      </c>
      <c r="C79" s="3461" t="s">
        <v>4260</v>
      </c>
      <c r="D79" s="3461" t="s">
        <v>4261</v>
      </c>
      <c r="E79" s="3461" t="s">
        <v>3491</v>
      </c>
      <c r="F79" s="3461" t="s">
        <v>4262</v>
      </c>
      <c r="G79" s="3461">
        <v>66.930000000000007</v>
      </c>
      <c r="H79" s="3461" t="s">
        <v>4157</v>
      </c>
      <c r="I79" s="3461" t="s">
        <v>4263</v>
      </c>
      <c r="J79" s="3462">
        <v>1.50654</v>
      </c>
      <c r="K79" s="3462">
        <v>45.823999999999998</v>
      </c>
      <c r="L79" s="3462">
        <v>3067</v>
      </c>
      <c r="M79" s="3462">
        <v>0</v>
      </c>
      <c r="N79" s="3462">
        <v>0</v>
      </c>
      <c r="O79" s="3462">
        <v>42000</v>
      </c>
    </row>
    <row r="80" spans="1:15">
      <c r="A80" s="3461" t="s">
        <v>3463</v>
      </c>
      <c r="B80" s="3461" t="s">
        <v>3464</v>
      </c>
      <c r="C80" s="3461" t="s">
        <v>4304</v>
      </c>
      <c r="D80" s="3461" t="s">
        <v>4015</v>
      </c>
      <c r="E80" s="3461" t="s">
        <v>4305</v>
      </c>
      <c r="F80" s="3461" t="s">
        <v>4306</v>
      </c>
      <c r="G80" s="3461">
        <v>38.049999999999997</v>
      </c>
      <c r="H80" s="3461" t="s">
        <v>4237</v>
      </c>
      <c r="I80" s="3461" t="s">
        <v>4307</v>
      </c>
      <c r="J80" s="3462">
        <v>1.6892</v>
      </c>
      <c r="K80" s="3462">
        <v>51.379759999999997</v>
      </c>
      <c r="L80" s="3462">
        <v>1955</v>
      </c>
      <c r="M80" s="3462">
        <v>1955</v>
      </c>
      <c r="N80" s="3462">
        <v>0</v>
      </c>
      <c r="O80" s="3462">
        <v>25415</v>
      </c>
    </row>
    <row r="81" spans="1:15">
      <c r="A81" s="3461" t="s">
        <v>3463</v>
      </c>
      <c r="B81" s="3461" t="s">
        <v>3464</v>
      </c>
      <c r="C81" s="3461" t="s">
        <v>3995</v>
      </c>
      <c r="D81" s="3461" t="s">
        <v>3870</v>
      </c>
      <c r="E81" s="3461" t="s">
        <v>3911</v>
      </c>
      <c r="F81" s="3461" t="s">
        <v>3996</v>
      </c>
      <c r="G81" s="3461">
        <v>42.31</v>
      </c>
      <c r="H81" s="3461" t="s">
        <v>3981</v>
      </c>
      <c r="I81" s="3461" t="s">
        <v>3563</v>
      </c>
      <c r="J81" s="3462">
        <v>1.73048</v>
      </c>
      <c r="K81" s="3462">
        <v>52.635309999999997</v>
      </c>
      <c r="L81" s="3462">
        <v>2227</v>
      </c>
      <c r="M81" s="3462">
        <v>0</v>
      </c>
      <c r="N81" s="3462">
        <v>0</v>
      </c>
      <c r="O81" s="3462">
        <v>30000</v>
      </c>
    </row>
    <row r="82" spans="1:15">
      <c r="A82" s="3461" t="s">
        <v>3463</v>
      </c>
      <c r="B82" s="3461" t="s">
        <v>3464</v>
      </c>
      <c r="C82" s="3461" t="s">
        <v>4482</v>
      </c>
      <c r="D82" s="3461" t="s">
        <v>4015</v>
      </c>
      <c r="E82" s="3461" t="s">
        <v>3668</v>
      </c>
      <c r="F82" s="3461" t="s">
        <v>4483</v>
      </c>
      <c r="G82" s="3461">
        <v>38.049999999999997</v>
      </c>
      <c r="H82" s="3461" t="s">
        <v>4480</v>
      </c>
      <c r="I82" s="3461" t="s">
        <v>4481</v>
      </c>
      <c r="J82" s="3462">
        <v>2.21021</v>
      </c>
      <c r="K82" s="3462">
        <v>67.227329999999995</v>
      </c>
      <c r="L82" s="3462">
        <v>2558</v>
      </c>
      <c r="M82" s="3462">
        <v>0</v>
      </c>
      <c r="N82" s="3462">
        <v>0</v>
      </c>
      <c r="O82" s="3462">
        <v>33600</v>
      </c>
    </row>
    <row r="83" spans="1:15">
      <c r="A83" s="3461" t="s">
        <v>3463</v>
      </c>
      <c r="B83" s="3461" t="s">
        <v>3464</v>
      </c>
      <c r="C83" s="3461" t="s">
        <v>4440</v>
      </c>
      <c r="D83" s="3461" t="s">
        <v>4313</v>
      </c>
      <c r="E83" s="3461" t="s">
        <v>3931</v>
      </c>
      <c r="F83" s="3461" t="s">
        <v>4441</v>
      </c>
      <c r="G83" s="3461">
        <v>73.5</v>
      </c>
      <c r="H83" s="3461" t="s">
        <v>4442</v>
      </c>
      <c r="I83" s="3461" t="s">
        <v>4443</v>
      </c>
      <c r="J83" s="3462">
        <v>1.37188</v>
      </c>
      <c r="K83" s="3462">
        <v>41.727890000000002</v>
      </c>
      <c r="L83" s="3462">
        <v>3067</v>
      </c>
      <c r="M83" s="3462">
        <v>7000</v>
      </c>
      <c r="N83" s="3462">
        <v>0</v>
      </c>
      <c r="O83" s="3462">
        <v>49000</v>
      </c>
    </row>
    <row r="84" spans="1:15">
      <c r="A84" s="3461" t="s">
        <v>3463</v>
      </c>
      <c r="B84" s="3461" t="s">
        <v>3464</v>
      </c>
      <c r="C84" s="3461" t="s">
        <v>4297</v>
      </c>
      <c r="D84" s="3461" t="s">
        <v>4275</v>
      </c>
      <c r="E84" s="3461" t="s">
        <v>4298</v>
      </c>
      <c r="F84" s="3461" t="s">
        <v>4299</v>
      </c>
      <c r="G84" s="3461">
        <v>70.23</v>
      </c>
      <c r="H84" s="3461" t="s">
        <v>4300</v>
      </c>
      <c r="I84" s="3461" t="s">
        <v>4301</v>
      </c>
      <c r="J84" s="3462">
        <v>0.97370999999999996</v>
      </c>
      <c r="K84" s="3462">
        <v>29.616969999999998</v>
      </c>
      <c r="L84" s="3462">
        <v>2080</v>
      </c>
      <c r="M84" s="3462">
        <v>0</v>
      </c>
      <c r="N84" s="3462">
        <v>0</v>
      </c>
      <c r="O84" s="3462">
        <v>24960</v>
      </c>
    </row>
    <row r="85" spans="1:15">
      <c r="A85" s="3461" t="s">
        <v>3463</v>
      </c>
      <c r="B85" s="3461" t="s">
        <v>3464</v>
      </c>
      <c r="C85" s="3461" t="s">
        <v>3919</v>
      </c>
      <c r="D85" s="3461" t="s">
        <v>3900</v>
      </c>
      <c r="E85" s="3461" t="s">
        <v>3639</v>
      </c>
      <c r="F85" s="3461" t="s">
        <v>3920</v>
      </c>
      <c r="G85" s="3461">
        <v>70.23</v>
      </c>
      <c r="H85" s="3461" t="s">
        <v>3917</v>
      </c>
      <c r="I85" s="3461" t="s">
        <v>3918</v>
      </c>
      <c r="J85" s="3462">
        <v>1.33464</v>
      </c>
      <c r="K85" s="3462">
        <v>40.595190000000002</v>
      </c>
      <c r="L85" s="3462">
        <v>2851</v>
      </c>
      <c r="M85" s="3462">
        <v>0</v>
      </c>
      <c r="N85" s="3462">
        <v>0</v>
      </c>
      <c r="O85" s="3462">
        <v>39600</v>
      </c>
    </row>
    <row r="86" spans="1:15">
      <c r="A86" s="3461" t="s">
        <v>3463</v>
      </c>
      <c r="B86" s="3461" t="s">
        <v>3464</v>
      </c>
      <c r="C86" s="3461" t="s">
        <v>4364</v>
      </c>
      <c r="D86" s="3461" t="s">
        <v>4365</v>
      </c>
      <c r="E86" s="3461" t="s">
        <v>3479</v>
      </c>
      <c r="F86" s="3461" t="s">
        <v>4366</v>
      </c>
      <c r="G86" s="3461">
        <v>45.4</v>
      </c>
      <c r="H86" s="3461" t="s">
        <v>4367</v>
      </c>
      <c r="I86" s="3461" t="s">
        <v>4368</v>
      </c>
      <c r="J86" s="3462">
        <v>1.6127</v>
      </c>
      <c r="K86" s="3462">
        <v>49.052860000000003</v>
      </c>
      <c r="L86" s="3462">
        <v>2227</v>
      </c>
      <c r="M86" s="3462">
        <v>5000</v>
      </c>
      <c r="N86" s="3462">
        <v>0</v>
      </c>
      <c r="O86" s="3462">
        <v>35000</v>
      </c>
    </row>
    <row r="87" spans="1:15">
      <c r="A87" s="3461" t="s">
        <v>3463</v>
      </c>
      <c r="B87" s="3461" t="s">
        <v>3464</v>
      </c>
      <c r="C87" s="3461" t="s">
        <v>4102</v>
      </c>
      <c r="D87" s="3461" t="s">
        <v>4103</v>
      </c>
      <c r="E87" s="3461" t="s">
        <v>3491</v>
      </c>
      <c r="F87" s="3461" t="s">
        <v>4104</v>
      </c>
      <c r="G87" s="3461">
        <v>38.049999999999997</v>
      </c>
      <c r="H87" s="3461" t="s">
        <v>4105</v>
      </c>
      <c r="I87" s="3461" t="s">
        <v>3579</v>
      </c>
      <c r="J87" s="3462">
        <v>1.7781899999999999</v>
      </c>
      <c r="K87" s="3462">
        <v>54.086730000000003</v>
      </c>
      <c r="L87" s="3462">
        <v>2058</v>
      </c>
      <c r="M87" s="3462">
        <v>0</v>
      </c>
      <c r="N87" s="3462">
        <v>0</v>
      </c>
      <c r="O87" s="3462">
        <v>27600</v>
      </c>
    </row>
    <row r="88" spans="1:15">
      <c r="A88" s="3461" t="s">
        <v>3463</v>
      </c>
      <c r="B88" s="3461" t="s">
        <v>3464</v>
      </c>
      <c r="C88" s="3461" t="s">
        <v>4643</v>
      </c>
      <c r="D88" s="3461" t="s">
        <v>4575</v>
      </c>
      <c r="E88" s="3461" t="s">
        <v>4644</v>
      </c>
      <c r="F88" s="3461" t="s">
        <v>4645</v>
      </c>
      <c r="G88" s="3461">
        <v>38.049999999999997</v>
      </c>
      <c r="H88" s="3461" t="s">
        <v>4635</v>
      </c>
      <c r="I88" s="3461" t="s">
        <v>4639</v>
      </c>
      <c r="J88" s="3462">
        <v>1.1923699999999999</v>
      </c>
      <c r="K88" s="3462">
        <v>36.268070000000002</v>
      </c>
      <c r="L88" s="3462">
        <v>1380</v>
      </c>
      <c r="M88" s="3462">
        <v>0</v>
      </c>
      <c r="N88" s="3462">
        <v>0</v>
      </c>
      <c r="O88" s="3462">
        <v>16560</v>
      </c>
    </row>
    <row r="89" spans="1:15">
      <c r="A89" s="3461" t="s">
        <v>3463</v>
      </c>
      <c r="B89" s="3461" t="s">
        <v>3464</v>
      </c>
      <c r="C89" s="3461" t="s">
        <v>4312</v>
      </c>
      <c r="D89" s="3461" t="s">
        <v>4313</v>
      </c>
      <c r="E89" s="3461" t="s">
        <v>4314</v>
      </c>
      <c r="F89" s="3461" t="s">
        <v>4315</v>
      </c>
      <c r="G89" s="3461">
        <v>66.930000000000007</v>
      </c>
      <c r="H89" s="3461" t="s">
        <v>4292</v>
      </c>
      <c r="I89" s="3461" t="s">
        <v>4316</v>
      </c>
      <c r="J89" s="3462">
        <v>1.7106933333333334</v>
      </c>
      <c r="K89" s="3462">
        <v>156.10085000000001</v>
      </c>
      <c r="L89" s="3462">
        <v>8861</v>
      </c>
      <c r="M89" s="3462">
        <v>20000</v>
      </c>
      <c r="N89" s="3462">
        <v>0</v>
      </c>
      <c r="O89" s="3462">
        <v>101000</v>
      </c>
    </row>
    <row r="90" spans="1:15">
      <c r="A90" s="3461" t="s">
        <v>3463</v>
      </c>
      <c r="B90" s="3461" t="s">
        <v>3464</v>
      </c>
      <c r="C90" s="3461" t="s">
        <v>4274</v>
      </c>
      <c r="D90" s="3461" t="s">
        <v>4275</v>
      </c>
      <c r="E90" s="3461" t="s">
        <v>4276</v>
      </c>
      <c r="F90" s="3461" t="s">
        <v>4277</v>
      </c>
      <c r="G90" s="3461">
        <v>71.19</v>
      </c>
      <c r="H90" s="3461" t="s">
        <v>4278</v>
      </c>
      <c r="I90" s="3461" t="s">
        <v>4279</v>
      </c>
      <c r="J90" s="3462">
        <v>0.91439999999999999</v>
      </c>
      <c r="K90" s="3462">
        <v>27.812899999999999</v>
      </c>
      <c r="L90" s="3462">
        <v>1980</v>
      </c>
      <c r="M90" s="3462">
        <v>0</v>
      </c>
      <c r="N90" s="3462">
        <v>0</v>
      </c>
      <c r="O90" s="3462">
        <v>23760</v>
      </c>
    </row>
    <row r="91" spans="1:15">
      <c r="A91" s="3461" t="s">
        <v>3463</v>
      </c>
      <c r="B91" s="3461" t="s">
        <v>3464</v>
      </c>
      <c r="C91" s="3461" t="s">
        <v>4328</v>
      </c>
      <c r="D91" s="3461" t="s">
        <v>4324</v>
      </c>
      <c r="E91" s="3461" t="s">
        <v>4329</v>
      </c>
      <c r="F91" s="3461" t="s">
        <v>4330</v>
      </c>
      <c r="G91" s="3461">
        <v>71.19</v>
      </c>
      <c r="H91" s="3461" t="s">
        <v>4324</v>
      </c>
      <c r="I91" s="3461" t="s">
        <v>4327</v>
      </c>
      <c r="J91" s="3462">
        <v>2.1782300000000001</v>
      </c>
      <c r="K91" s="3462">
        <v>66.254620000000003</v>
      </c>
      <c r="L91" s="3462">
        <v>4716.67</v>
      </c>
      <c r="M91" s="3462">
        <v>0</v>
      </c>
      <c r="N91" s="3462">
        <v>0</v>
      </c>
      <c r="O91" s="3462">
        <v>56600</v>
      </c>
    </row>
    <row r="92" spans="1:15">
      <c r="A92" s="3461" t="s">
        <v>3463</v>
      </c>
      <c r="B92" s="3461" t="s">
        <v>3464</v>
      </c>
      <c r="C92" s="3461" t="s">
        <v>4498</v>
      </c>
      <c r="D92" s="3461" t="s">
        <v>4454</v>
      </c>
      <c r="E92" s="3461" t="s">
        <v>3865</v>
      </c>
      <c r="F92" s="3461" t="s">
        <v>4499</v>
      </c>
      <c r="G92" s="3461">
        <v>71.19</v>
      </c>
      <c r="H92" s="3461" t="s">
        <v>4496</v>
      </c>
      <c r="I92" s="3461" t="s">
        <v>4497</v>
      </c>
      <c r="J92" s="3462">
        <v>1.409</v>
      </c>
      <c r="K92" s="3462">
        <v>42.857140000000001</v>
      </c>
      <c r="L92" s="3462">
        <v>3051</v>
      </c>
      <c r="M92" s="3462">
        <v>7000</v>
      </c>
      <c r="N92" s="3462">
        <v>0</v>
      </c>
      <c r="O92" s="3462">
        <v>49000</v>
      </c>
    </row>
    <row r="93" spans="1:15">
      <c r="A93" s="3461" t="s">
        <v>3463</v>
      </c>
      <c r="B93" s="3461" t="s">
        <v>3464</v>
      </c>
      <c r="C93" s="3461" t="s">
        <v>4389</v>
      </c>
      <c r="D93" s="3461" t="s">
        <v>4382</v>
      </c>
      <c r="E93" s="3461" t="s">
        <v>3743</v>
      </c>
      <c r="F93" s="3461" t="s">
        <v>4390</v>
      </c>
      <c r="G93" s="3461">
        <v>66.930000000000007</v>
      </c>
      <c r="H93" s="3461" t="s">
        <v>4261</v>
      </c>
      <c r="I93" s="3461" t="s">
        <v>4388</v>
      </c>
      <c r="J93" s="3462">
        <v>1.50654</v>
      </c>
      <c r="K93" s="3462">
        <v>45.823999999999998</v>
      </c>
      <c r="L93" s="3462">
        <v>3067</v>
      </c>
      <c r="M93" s="3462">
        <v>7000</v>
      </c>
      <c r="N93" s="3462">
        <v>0</v>
      </c>
      <c r="O93" s="3462">
        <v>49000</v>
      </c>
    </row>
    <row r="94" spans="1:15">
      <c r="A94" s="3461" t="s">
        <v>3463</v>
      </c>
      <c r="B94" s="3461" t="s">
        <v>3464</v>
      </c>
      <c r="C94" s="3461" t="s">
        <v>4038</v>
      </c>
      <c r="D94" s="3461" t="s">
        <v>3963</v>
      </c>
      <c r="E94" s="3461" t="s">
        <v>3639</v>
      </c>
      <c r="F94" s="3461" t="s">
        <v>4039</v>
      </c>
      <c r="G94" s="3461">
        <v>71.19</v>
      </c>
      <c r="H94" s="3461" t="s">
        <v>4033</v>
      </c>
      <c r="I94" s="3461" t="s">
        <v>4034</v>
      </c>
      <c r="J94" s="3462">
        <v>1.63991</v>
      </c>
      <c r="K94" s="3462">
        <v>49.880600000000001</v>
      </c>
      <c r="L94" s="3462">
        <v>3551</v>
      </c>
      <c r="M94" s="3462">
        <v>8000</v>
      </c>
      <c r="N94" s="3462">
        <v>0</v>
      </c>
      <c r="O94" s="3462">
        <v>56000</v>
      </c>
    </row>
    <row r="95" spans="1:15">
      <c r="A95" s="3461" t="s">
        <v>3463</v>
      </c>
      <c r="B95" s="3461" t="s">
        <v>3464</v>
      </c>
      <c r="C95" s="3461" t="s">
        <v>4765</v>
      </c>
      <c r="D95" s="3461" t="s">
        <v>4722</v>
      </c>
      <c r="E95" s="3461" t="s">
        <v>4766</v>
      </c>
      <c r="F95" s="3461" t="s">
        <v>4767</v>
      </c>
      <c r="G95" s="3461">
        <v>66.930000000000007</v>
      </c>
      <c r="H95" s="3461" t="s">
        <v>4725</v>
      </c>
      <c r="I95" s="3461" t="s">
        <v>4768</v>
      </c>
      <c r="J95" s="3462">
        <v>1.38</v>
      </c>
      <c r="K95" s="3462">
        <v>41.84</v>
      </c>
      <c r="L95" s="3462">
        <v>2800</v>
      </c>
      <c r="M95" s="3462">
        <v>5600</v>
      </c>
      <c r="N95" s="3462">
        <v>0</v>
      </c>
      <c r="O95" s="3462">
        <v>39200</v>
      </c>
    </row>
    <row r="96" spans="1:15">
      <c r="A96" s="3461" t="s">
        <v>3463</v>
      </c>
      <c r="B96" s="3461" t="s">
        <v>3464</v>
      </c>
      <c r="C96" s="3461" t="s">
        <v>4377</v>
      </c>
      <c r="D96" s="3461" t="s">
        <v>4275</v>
      </c>
      <c r="E96" s="3461" t="s">
        <v>4378</v>
      </c>
      <c r="F96" s="3461" t="s">
        <v>4379</v>
      </c>
      <c r="G96" s="3461">
        <v>38.049999999999997</v>
      </c>
      <c r="H96" s="3461" t="s">
        <v>4372</v>
      </c>
      <c r="I96" s="3461" t="s">
        <v>4380</v>
      </c>
      <c r="J96" s="3462">
        <v>1.1923699999999999</v>
      </c>
      <c r="K96" s="3462">
        <v>36.268070000000002</v>
      </c>
      <c r="L96" s="3462">
        <v>1380</v>
      </c>
      <c r="M96" s="3462">
        <v>0</v>
      </c>
      <c r="N96" s="3462">
        <v>0</v>
      </c>
      <c r="O96" s="3462">
        <v>16560</v>
      </c>
    </row>
    <row r="97" spans="1:15">
      <c r="A97" s="3461" t="s">
        <v>3463</v>
      </c>
      <c r="B97" s="3461" t="s">
        <v>3464</v>
      </c>
      <c r="C97" s="3461" t="s">
        <v>4863</v>
      </c>
      <c r="D97" s="3461" t="s">
        <v>4743</v>
      </c>
      <c r="E97" s="3461" t="s">
        <v>3938</v>
      </c>
      <c r="F97" s="3461" t="s">
        <v>4864</v>
      </c>
      <c r="G97" s="3461">
        <v>42.31</v>
      </c>
      <c r="H97" s="3461" t="s">
        <v>4829</v>
      </c>
      <c r="I97" s="3461" t="s">
        <v>3470</v>
      </c>
      <c r="J97" s="3462">
        <v>1.69</v>
      </c>
      <c r="K97" s="3462">
        <v>51.2</v>
      </c>
      <c r="L97" s="3462">
        <v>2227</v>
      </c>
      <c r="M97" s="3462">
        <v>0</v>
      </c>
      <c r="N97" s="3462">
        <v>0</v>
      </c>
      <c r="O97" s="3462">
        <v>30000</v>
      </c>
    </row>
    <row r="98" spans="1:15">
      <c r="A98" s="3461" t="s">
        <v>3463</v>
      </c>
      <c r="B98" s="3461" t="s">
        <v>3464</v>
      </c>
      <c r="C98" s="3461" t="s">
        <v>3940</v>
      </c>
      <c r="D98" s="3461" t="s">
        <v>3873</v>
      </c>
      <c r="E98" s="3461" t="s">
        <v>3582</v>
      </c>
      <c r="F98" s="3461" t="s">
        <v>3941</v>
      </c>
      <c r="G98" s="3461">
        <v>38.049999999999997</v>
      </c>
      <c r="H98" s="3461" t="s">
        <v>3942</v>
      </c>
      <c r="I98" s="3461" t="s">
        <v>3943</v>
      </c>
      <c r="J98" s="3462">
        <v>2.21021</v>
      </c>
      <c r="K98" s="3462">
        <v>67.227329999999995</v>
      </c>
      <c r="L98" s="3462">
        <v>2558</v>
      </c>
      <c r="M98" s="3462">
        <v>0</v>
      </c>
      <c r="N98" s="3462">
        <v>0</v>
      </c>
      <c r="O98" s="3462">
        <v>33600</v>
      </c>
    </row>
    <row r="99" spans="1:15">
      <c r="A99" s="3461" t="s">
        <v>3463</v>
      </c>
      <c r="B99" s="3461" t="s">
        <v>3464</v>
      </c>
      <c r="C99" s="3461" t="s">
        <v>4509</v>
      </c>
      <c r="D99" s="3461" t="s">
        <v>4433</v>
      </c>
      <c r="E99" s="3461" t="s">
        <v>4510</v>
      </c>
      <c r="F99" s="3461" t="s">
        <v>4511</v>
      </c>
      <c r="G99" s="3461">
        <v>73.5</v>
      </c>
      <c r="H99" s="3461" t="s">
        <v>4512</v>
      </c>
      <c r="I99" s="3461" t="s">
        <v>4513</v>
      </c>
      <c r="J99" s="3462">
        <v>0.85</v>
      </c>
      <c r="K99" s="3462">
        <v>25.86</v>
      </c>
      <c r="L99" s="3462">
        <v>1900</v>
      </c>
      <c r="M99" s="3462">
        <v>0</v>
      </c>
      <c r="N99" s="3462">
        <v>0</v>
      </c>
      <c r="O99" s="3462">
        <v>22800</v>
      </c>
    </row>
    <row r="100" spans="1:15">
      <c r="A100" s="3461" t="s">
        <v>3463</v>
      </c>
      <c r="B100" s="3461" t="s">
        <v>3464</v>
      </c>
      <c r="C100" s="3461" t="s">
        <v>4044</v>
      </c>
      <c r="D100" s="3461" t="s">
        <v>4033</v>
      </c>
      <c r="E100" s="3461" t="s">
        <v>4045</v>
      </c>
      <c r="F100" s="3461" t="s">
        <v>4046</v>
      </c>
      <c r="G100" s="3461">
        <v>70.23</v>
      </c>
      <c r="H100" s="3461" t="s">
        <v>4043</v>
      </c>
      <c r="I100" s="3461" t="s">
        <v>3573</v>
      </c>
      <c r="J100" s="3462">
        <v>1.3130999999999999</v>
      </c>
      <c r="K100" s="3462">
        <v>39.940199999999997</v>
      </c>
      <c r="L100" s="3462">
        <v>2805</v>
      </c>
      <c r="M100" s="3462">
        <v>0</v>
      </c>
      <c r="N100" s="3462">
        <v>0</v>
      </c>
      <c r="O100" s="3462">
        <v>33660</v>
      </c>
    </row>
    <row r="101" spans="1:15">
      <c r="A101" s="3461" t="s">
        <v>3463</v>
      </c>
      <c r="B101" s="3461" t="s">
        <v>3464</v>
      </c>
      <c r="C101" s="3461" t="s">
        <v>4752</v>
      </c>
      <c r="D101" s="3461" t="s">
        <v>4647</v>
      </c>
      <c r="E101" s="3461" t="s">
        <v>3554</v>
      </c>
      <c r="F101" s="3461" t="s">
        <v>4753</v>
      </c>
      <c r="G101" s="3461">
        <v>141.41999999999999</v>
      </c>
      <c r="H101" s="3461" t="s">
        <v>4754</v>
      </c>
      <c r="I101" s="3461" t="s">
        <v>4755</v>
      </c>
      <c r="J101" s="3462">
        <v>1.3256399999999999</v>
      </c>
      <c r="K101" s="3462">
        <v>80.642949999999999</v>
      </c>
      <c r="L101" s="3462">
        <v>5702</v>
      </c>
      <c r="M101" s="3462">
        <v>0</v>
      </c>
      <c r="N101" s="3462">
        <v>0</v>
      </c>
      <c r="O101" s="3462">
        <v>79200</v>
      </c>
    </row>
    <row r="102" spans="1:15">
      <c r="A102" s="3461" t="s">
        <v>3463</v>
      </c>
      <c r="B102" s="3461" t="s">
        <v>3464</v>
      </c>
      <c r="C102" s="3461" t="s">
        <v>4228</v>
      </c>
      <c r="D102" s="3461" t="s">
        <v>4194</v>
      </c>
      <c r="E102" s="3461" t="s">
        <v>4229</v>
      </c>
      <c r="F102" s="3461" t="s">
        <v>4230</v>
      </c>
      <c r="G102" s="3461">
        <v>45.4</v>
      </c>
      <c r="H102" s="3461" t="s">
        <v>4226</v>
      </c>
      <c r="I102" s="3461" t="s">
        <v>4231</v>
      </c>
      <c r="J102" s="3462">
        <v>1.97478</v>
      </c>
      <c r="K102" s="3462">
        <v>60.066079999999999</v>
      </c>
      <c r="L102" s="3462">
        <v>2727</v>
      </c>
      <c r="M102" s="3462">
        <v>6000</v>
      </c>
      <c r="N102" s="3462">
        <v>0</v>
      </c>
      <c r="O102" s="3462">
        <v>42000</v>
      </c>
    </row>
    <row r="103" spans="1:15">
      <c r="A103" s="3461" t="s">
        <v>3463</v>
      </c>
      <c r="B103" s="3461" t="s">
        <v>3464</v>
      </c>
      <c r="C103" s="3461" t="s">
        <v>4438</v>
      </c>
      <c r="D103" s="3461" t="s">
        <v>4261</v>
      </c>
      <c r="E103" s="3461" t="s">
        <v>3560</v>
      </c>
      <c r="F103" s="3461" t="s">
        <v>4439</v>
      </c>
      <c r="G103" s="3461">
        <v>38.049999999999997</v>
      </c>
      <c r="H103" s="3461" t="s">
        <v>4436</v>
      </c>
      <c r="I103" s="3461" t="s">
        <v>4437</v>
      </c>
      <c r="J103" s="3462">
        <v>1.7781899999999999</v>
      </c>
      <c r="K103" s="3462">
        <v>54.086730000000003</v>
      </c>
      <c r="L103" s="3462">
        <v>2058</v>
      </c>
      <c r="M103" s="3462">
        <v>0</v>
      </c>
      <c r="N103" s="3462">
        <v>0</v>
      </c>
      <c r="O103" s="3462">
        <v>27600</v>
      </c>
    </row>
    <row r="104" spans="1:15">
      <c r="A104" s="3461" t="s">
        <v>3463</v>
      </c>
      <c r="B104" s="3461" t="s">
        <v>3464</v>
      </c>
      <c r="C104" s="3461" t="s">
        <v>4921</v>
      </c>
      <c r="D104" s="3461" t="s">
        <v>4829</v>
      </c>
      <c r="E104" s="3461" t="s">
        <v>3545</v>
      </c>
      <c r="F104" s="3461" t="s">
        <v>4922</v>
      </c>
      <c r="G104" s="3461">
        <v>38.049999999999997</v>
      </c>
      <c r="H104" s="3461" t="s">
        <v>4923</v>
      </c>
      <c r="I104" s="3461" t="s">
        <v>4924</v>
      </c>
      <c r="J104" s="3462">
        <v>1.6892</v>
      </c>
      <c r="K104" s="3462">
        <v>51.379759999999997</v>
      </c>
      <c r="L104" s="3462">
        <v>1955</v>
      </c>
      <c r="M104" s="3462">
        <v>0</v>
      </c>
      <c r="N104" s="3462">
        <v>0</v>
      </c>
      <c r="O104" s="3462">
        <v>23460</v>
      </c>
    </row>
    <row r="105" spans="1:15">
      <c r="A105" s="3461" t="s">
        <v>3463</v>
      </c>
      <c r="B105" s="3461" t="s">
        <v>3464</v>
      </c>
      <c r="C105" s="3461" t="s">
        <v>3960</v>
      </c>
      <c r="D105" s="3461" t="s">
        <v>3910</v>
      </c>
      <c r="E105" s="3461" t="s">
        <v>3961</v>
      </c>
      <c r="F105" s="3461" t="s">
        <v>3962</v>
      </c>
      <c r="G105" s="3461">
        <v>66.930000000000007</v>
      </c>
      <c r="H105" s="3461" t="s">
        <v>3963</v>
      </c>
      <c r="I105" s="3461" t="s">
        <v>3964</v>
      </c>
      <c r="J105" s="3462">
        <v>1.85039</v>
      </c>
      <c r="K105" s="3462">
        <v>56.282679999999999</v>
      </c>
      <c r="L105" s="3462">
        <v>3767</v>
      </c>
      <c r="M105" s="3462">
        <v>8400</v>
      </c>
      <c r="N105" s="3462">
        <v>0</v>
      </c>
      <c r="O105" s="3462">
        <v>58800</v>
      </c>
    </row>
    <row r="106" spans="1:15">
      <c r="A106" s="3461" t="s">
        <v>3463</v>
      </c>
      <c r="B106" s="3461" t="s">
        <v>3464</v>
      </c>
      <c r="C106" s="3461" t="s">
        <v>4129</v>
      </c>
      <c r="D106" s="3461" t="s">
        <v>3958</v>
      </c>
      <c r="E106" s="3461" t="s">
        <v>4126</v>
      </c>
      <c r="F106" s="3461" t="s">
        <v>4130</v>
      </c>
      <c r="G106" s="3461">
        <v>66.930000000000007</v>
      </c>
      <c r="H106" s="3461" t="s">
        <v>4114</v>
      </c>
      <c r="I106" s="3461" t="s">
        <v>4128</v>
      </c>
      <c r="J106" s="3462">
        <v>1.2565200000000001</v>
      </c>
      <c r="K106" s="3462">
        <v>38.219029999999997</v>
      </c>
      <c r="L106" s="3462">
        <v>2558</v>
      </c>
      <c r="M106" s="3462">
        <v>0</v>
      </c>
      <c r="N106" s="3462">
        <v>0</v>
      </c>
      <c r="O106" s="3462">
        <v>33600</v>
      </c>
    </row>
    <row r="107" spans="1:15">
      <c r="A107" s="3461" t="s">
        <v>3463</v>
      </c>
      <c r="B107" s="3461" t="s">
        <v>3464</v>
      </c>
      <c r="C107" s="3461" t="s">
        <v>4351</v>
      </c>
      <c r="D107" s="3461" t="s">
        <v>4157</v>
      </c>
      <c r="E107" s="3461" t="s">
        <v>3938</v>
      </c>
      <c r="F107" s="3461" t="s">
        <v>4352</v>
      </c>
      <c r="G107" s="3461">
        <v>71.19</v>
      </c>
      <c r="H107" s="3461" t="s">
        <v>4318</v>
      </c>
      <c r="I107" s="3461" t="s">
        <v>4353</v>
      </c>
      <c r="J107" s="3462">
        <v>1.31664</v>
      </c>
      <c r="K107" s="3462">
        <v>40.047759999999997</v>
      </c>
      <c r="L107" s="3462">
        <v>2851</v>
      </c>
      <c r="M107" s="3462">
        <v>0</v>
      </c>
      <c r="N107" s="3462">
        <v>0</v>
      </c>
      <c r="O107" s="3462">
        <v>39600</v>
      </c>
    </row>
    <row r="108" spans="1:15">
      <c r="A108" s="3461" t="s">
        <v>3463</v>
      </c>
      <c r="B108" s="3461" t="s">
        <v>3464</v>
      </c>
      <c r="C108" s="3461" t="s">
        <v>4711</v>
      </c>
      <c r="D108" s="3461" t="s">
        <v>4619</v>
      </c>
      <c r="E108" s="3461" t="s">
        <v>4210</v>
      </c>
      <c r="F108" s="3461" t="s">
        <v>4712</v>
      </c>
      <c r="G108" s="3461">
        <v>42.31</v>
      </c>
      <c r="H108" s="3461" t="s">
        <v>4713</v>
      </c>
      <c r="I108" s="3461" t="s">
        <v>4714</v>
      </c>
      <c r="J108" s="3462">
        <v>1.73048</v>
      </c>
      <c r="K108" s="3462">
        <v>52.635309999999997</v>
      </c>
      <c r="L108" s="3462">
        <v>2227</v>
      </c>
      <c r="M108" s="3462">
        <v>0</v>
      </c>
      <c r="N108" s="3462">
        <v>0</v>
      </c>
      <c r="O108" s="3462">
        <v>30000</v>
      </c>
    </row>
    <row r="109" spans="1:15">
      <c r="A109" s="3461" t="s">
        <v>3463</v>
      </c>
      <c r="B109" s="3461" t="s">
        <v>3464</v>
      </c>
      <c r="C109" s="3461" t="s">
        <v>4165</v>
      </c>
      <c r="D109" s="3461" t="s">
        <v>4089</v>
      </c>
      <c r="E109" s="3461" t="s">
        <v>3668</v>
      </c>
      <c r="F109" s="3461" t="s">
        <v>4166</v>
      </c>
      <c r="G109" s="3461">
        <v>42.31</v>
      </c>
      <c r="H109" s="3461" t="s">
        <v>4153</v>
      </c>
      <c r="I109" s="3461" t="s">
        <v>3476</v>
      </c>
      <c r="J109" s="3462">
        <v>2.1190000000000002</v>
      </c>
      <c r="K109" s="3462">
        <v>64.452849999999998</v>
      </c>
      <c r="L109" s="3462">
        <v>2727</v>
      </c>
      <c r="M109" s="3462">
        <v>0</v>
      </c>
      <c r="N109" s="3462">
        <v>0</v>
      </c>
      <c r="O109" s="3462">
        <v>36000</v>
      </c>
    </row>
    <row r="110" spans="1:15">
      <c r="A110" s="3461" t="s">
        <v>3463</v>
      </c>
      <c r="B110" s="3461" t="s">
        <v>3464</v>
      </c>
      <c r="C110" s="3461" t="s">
        <v>4121</v>
      </c>
      <c r="D110" s="3461" t="s">
        <v>4064</v>
      </c>
      <c r="E110" s="3461" t="s">
        <v>4122</v>
      </c>
      <c r="F110" s="3461" t="s">
        <v>4123</v>
      </c>
      <c r="G110" s="3461">
        <v>38.049999999999997</v>
      </c>
      <c r="H110" s="3461" t="s">
        <v>4064</v>
      </c>
      <c r="I110" s="3461" t="s">
        <v>4124</v>
      </c>
      <c r="J110" s="3462">
        <v>1.7781899999999999</v>
      </c>
      <c r="K110" s="3462">
        <v>54.086730000000003</v>
      </c>
      <c r="L110" s="3462">
        <v>2058</v>
      </c>
      <c r="M110" s="3462">
        <v>4600</v>
      </c>
      <c r="N110" s="3462">
        <v>0</v>
      </c>
      <c r="O110" s="3462">
        <v>32200</v>
      </c>
    </row>
    <row r="111" spans="1:15">
      <c r="A111" s="3461" t="s">
        <v>3463</v>
      </c>
      <c r="B111" s="3461" t="s">
        <v>3464</v>
      </c>
      <c r="C111" s="3461" t="s">
        <v>4747</v>
      </c>
      <c r="D111" s="3461" t="s">
        <v>4748</v>
      </c>
      <c r="E111" s="3461" t="s">
        <v>3858</v>
      </c>
      <c r="F111" s="3461" t="s">
        <v>4749</v>
      </c>
      <c r="G111" s="3461">
        <v>142.38</v>
      </c>
      <c r="H111" s="3461" t="s">
        <v>4750</v>
      </c>
      <c r="I111" s="3461" t="s">
        <v>4751</v>
      </c>
      <c r="J111" s="3462">
        <v>1.63991</v>
      </c>
      <c r="K111" s="3462">
        <v>99.761200000000002</v>
      </c>
      <c r="L111" s="3462">
        <v>7102</v>
      </c>
      <c r="M111" s="3462">
        <v>16000</v>
      </c>
      <c r="N111" s="3462">
        <v>0</v>
      </c>
      <c r="O111" s="3462">
        <v>112000</v>
      </c>
    </row>
    <row r="112" spans="1:15">
      <c r="A112" s="3461" t="s">
        <v>3463</v>
      </c>
      <c r="B112" s="3461" t="s">
        <v>3464</v>
      </c>
      <c r="C112" s="3461" t="s">
        <v>4761</v>
      </c>
      <c r="D112" s="3461" t="s">
        <v>4693</v>
      </c>
      <c r="E112" s="3461" t="s">
        <v>3520</v>
      </c>
      <c r="F112" s="3461" t="s">
        <v>4762</v>
      </c>
      <c r="G112" s="3461">
        <v>66.930000000000007</v>
      </c>
      <c r="H112" s="3461" t="s">
        <v>4763</v>
      </c>
      <c r="I112" s="3461" t="s">
        <v>4764</v>
      </c>
      <c r="J112" s="3462">
        <v>1.6047800000000001</v>
      </c>
      <c r="K112" s="3462">
        <v>48.812190000000001</v>
      </c>
      <c r="L112" s="3462">
        <v>3267</v>
      </c>
      <c r="M112" s="3462">
        <v>7400</v>
      </c>
      <c r="N112" s="3462">
        <v>0</v>
      </c>
      <c r="O112" s="3462">
        <v>51800</v>
      </c>
    </row>
    <row r="113" spans="1:15">
      <c r="A113" s="3461" t="s">
        <v>3463</v>
      </c>
      <c r="B113" s="3461" t="s">
        <v>3464</v>
      </c>
      <c r="C113" s="3461" t="s">
        <v>4707</v>
      </c>
      <c r="D113" s="3461" t="s">
        <v>4629</v>
      </c>
      <c r="E113" s="3461" t="s">
        <v>4008</v>
      </c>
      <c r="F113" s="3461" t="s">
        <v>4708</v>
      </c>
      <c r="G113" s="3461">
        <v>38.049999999999997</v>
      </c>
      <c r="H113" s="3461" t="s">
        <v>4709</v>
      </c>
      <c r="I113" s="3461" t="s">
        <v>4710</v>
      </c>
      <c r="J113" s="3462">
        <v>1.7781899999999999</v>
      </c>
      <c r="K113" s="3462">
        <v>54.086730000000003</v>
      </c>
      <c r="L113" s="3462">
        <v>2058</v>
      </c>
      <c r="M113" s="3462">
        <v>0</v>
      </c>
      <c r="N113" s="3462">
        <v>0</v>
      </c>
      <c r="O113" s="3462">
        <v>27600</v>
      </c>
    </row>
    <row r="114" spans="1:15">
      <c r="A114" s="3461" t="s">
        <v>3463</v>
      </c>
      <c r="B114" s="3461" t="s">
        <v>3464</v>
      </c>
      <c r="C114" s="3461" t="s">
        <v>4885</v>
      </c>
      <c r="D114" s="3461" t="s">
        <v>4722</v>
      </c>
      <c r="E114" s="3461" t="s">
        <v>3570</v>
      </c>
      <c r="F114" s="3461" t="s">
        <v>4886</v>
      </c>
      <c r="G114" s="3461">
        <v>42.31</v>
      </c>
      <c r="H114" s="3461" t="s">
        <v>4883</v>
      </c>
      <c r="I114" s="3461" t="s">
        <v>4884</v>
      </c>
      <c r="J114" s="3462">
        <v>1.73048</v>
      </c>
      <c r="K114" s="3462">
        <v>52.635309999999997</v>
      </c>
      <c r="L114" s="3462">
        <v>2227</v>
      </c>
      <c r="M114" s="3462">
        <v>0</v>
      </c>
      <c r="N114" s="3462">
        <v>0</v>
      </c>
      <c r="O114" s="3462">
        <v>30000</v>
      </c>
    </row>
    <row r="115" spans="1:15">
      <c r="A115" s="3461" t="s">
        <v>3463</v>
      </c>
      <c r="B115" s="3461" t="s">
        <v>3464</v>
      </c>
      <c r="C115" s="3461" t="s">
        <v>4759</v>
      </c>
      <c r="D115" s="3461" t="s">
        <v>4647</v>
      </c>
      <c r="E115" s="3461" t="s">
        <v>3668</v>
      </c>
      <c r="F115" s="3461" t="s">
        <v>4760</v>
      </c>
      <c r="G115" s="3461">
        <v>38.049999999999997</v>
      </c>
      <c r="H115" s="3461" t="s">
        <v>4754</v>
      </c>
      <c r="I115" s="3461" t="s">
        <v>4755</v>
      </c>
      <c r="J115" s="3462">
        <v>1.7781899999999999</v>
      </c>
      <c r="K115" s="3462">
        <v>54.086730000000003</v>
      </c>
      <c r="L115" s="3462">
        <v>2058</v>
      </c>
      <c r="M115" s="3462">
        <v>0</v>
      </c>
      <c r="N115" s="3462">
        <v>0</v>
      </c>
      <c r="O115" s="3462">
        <v>27600</v>
      </c>
    </row>
    <row r="116" spans="1:15">
      <c r="A116" s="3461" t="s">
        <v>3463</v>
      </c>
      <c r="B116" s="3461" t="s">
        <v>3464</v>
      </c>
      <c r="C116" s="3461" t="s">
        <v>3990</v>
      </c>
      <c r="D116" s="3461" t="s">
        <v>3991</v>
      </c>
      <c r="E116" s="3461" t="s">
        <v>3911</v>
      </c>
      <c r="F116" s="3461" t="s">
        <v>3992</v>
      </c>
      <c r="G116" s="3461">
        <v>73.5</v>
      </c>
      <c r="H116" s="3461" t="s">
        <v>3981</v>
      </c>
      <c r="I116" s="3461" t="s">
        <v>3563</v>
      </c>
      <c r="J116" s="3462">
        <v>1.37188</v>
      </c>
      <c r="K116" s="3462">
        <v>41.727890000000002</v>
      </c>
      <c r="L116" s="3462">
        <v>3067</v>
      </c>
      <c r="M116" s="3462">
        <v>0</v>
      </c>
      <c r="N116" s="3462">
        <v>0</v>
      </c>
      <c r="O116" s="3462">
        <v>42000</v>
      </c>
    </row>
    <row r="117" spans="1:15">
      <c r="A117" s="3461" t="s">
        <v>3463</v>
      </c>
      <c r="B117" s="3461" t="s">
        <v>3464</v>
      </c>
      <c r="C117" s="3461" t="s">
        <v>4137</v>
      </c>
      <c r="D117" s="3461" t="s">
        <v>3958</v>
      </c>
      <c r="E117" s="3461" t="s">
        <v>3743</v>
      </c>
      <c r="F117" s="3461" t="s">
        <v>4138</v>
      </c>
      <c r="G117" s="3461">
        <v>70.23</v>
      </c>
      <c r="H117" s="3461" t="s">
        <v>4139</v>
      </c>
      <c r="I117" s="3461" t="s">
        <v>4140</v>
      </c>
      <c r="J117" s="3462">
        <v>1.33464</v>
      </c>
      <c r="K117" s="3462">
        <v>40.595190000000002</v>
      </c>
      <c r="L117" s="3462">
        <v>2851</v>
      </c>
      <c r="M117" s="3462">
        <v>0</v>
      </c>
      <c r="N117" s="3462">
        <v>0</v>
      </c>
      <c r="O117" s="3462">
        <v>39600</v>
      </c>
    </row>
    <row r="118" spans="1:15">
      <c r="A118" s="3461" t="s">
        <v>3463</v>
      </c>
      <c r="B118" s="3461" t="s">
        <v>3464</v>
      </c>
      <c r="C118" s="3461" t="s">
        <v>4850</v>
      </c>
      <c r="D118" s="3461" t="s">
        <v>4722</v>
      </c>
      <c r="E118" s="3461" t="s">
        <v>3582</v>
      </c>
      <c r="F118" s="3461" t="s">
        <v>4851</v>
      </c>
      <c r="G118" s="3461">
        <v>45.4</v>
      </c>
      <c r="H118" s="3461" t="s">
        <v>4852</v>
      </c>
      <c r="I118" s="3461" t="s">
        <v>4853</v>
      </c>
      <c r="J118" s="3462">
        <v>1.6127</v>
      </c>
      <c r="K118" s="3462">
        <v>49.052860000000003</v>
      </c>
      <c r="L118" s="3462">
        <v>2227</v>
      </c>
      <c r="M118" s="3462">
        <v>0</v>
      </c>
      <c r="N118" s="3462">
        <v>0</v>
      </c>
      <c r="O118" s="3462">
        <v>30000</v>
      </c>
    </row>
    <row r="119" spans="1:15">
      <c r="A119" s="3461" t="s">
        <v>3463</v>
      </c>
      <c r="B119" s="3461" t="s">
        <v>3464</v>
      </c>
      <c r="C119" s="3461" t="s">
        <v>4040</v>
      </c>
      <c r="D119" s="3461" t="s">
        <v>4033</v>
      </c>
      <c r="E119" s="3461" t="s">
        <v>4041</v>
      </c>
      <c r="F119" s="3461" t="s">
        <v>4042</v>
      </c>
      <c r="G119" s="3461">
        <v>38.049999999999997</v>
      </c>
      <c r="H119" s="3461" t="s">
        <v>4043</v>
      </c>
      <c r="I119" s="3461" t="s">
        <v>3573</v>
      </c>
      <c r="J119" s="3462">
        <v>1.27878</v>
      </c>
      <c r="K119" s="3462">
        <v>38.896189999999997</v>
      </c>
      <c r="L119" s="3462">
        <v>1480</v>
      </c>
      <c r="M119" s="3462">
        <v>0</v>
      </c>
      <c r="N119" s="3462">
        <v>0</v>
      </c>
      <c r="O119" s="3462">
        <v>17760</v>
      </c>
    </row>
    <row r="120" spans="1:15">
      <c r="A120" s="3461" t="s">
        <v>3463</v>
      </c>
      <c r="B120" s="3461" t="s">
        <v>3464</v>
      </c>
      <c r="C120" s="3461" t="s">
        <v>4691</v>
      </c>
      <c r="D120" s="3461" t="s">
        <v>4629</v>
      </c>
      <c r="E120" s="3461" t="s">
        <v>3938</v>
      </c>
      <c r="F120" s="3461" t="s">
        <v>4692</v>
      </c>
      <c r="G120" s="3461">
        <v>38.049999999999997</v>
      </c>
      <c r="H120" s="3461" t="s">
        <v>4693</v>
      </c>
      <c r="I120" s="3461" t="s">
        <v>4694</v>
      </c>
      <c r="J120" s="3462">
        <v>1.7781899999999999</v>
      </c>
      <c r="K120" s="3462">
        <v>54.086730000000003</v>
      </c>
      <c r="L120" s="3462">
        <v>2058</v>
      </c>
      <c r="M120" s="3462">
        <v>4600</v>
      </c>
      <c r="N120" s="3462">
        <v>0</v>
      </c>
      <c r="O120" s="3462">
        <v>32200</v>
      </c>
    </row>
    <row r="121" spans="1:15">
      <c r="A121" s="3461" t="s">
        <v>3463</v>
      </c>
      <c r="B121" s="3461" t="s">
        <v>3464</v>
      </c>
      <c r="C121" s="3461" t="s">
        <v>4579</v>
      </c>
      <c r="D121" s="3461" t="s">
        <v>4580</v>
      </c>
      <c r="E121" s="3461" t="s">
        <v>3911</v>
      </c>
      <c r="F121" s="3461" t="s">
        <v>4581</v>
      </c>
      <c r="G121" s="3461">
        <v>66.930000000000007</v>
      </c>
      <c r="H121" s="3461" t="s">
        <v>4582</v>
      </c>
      <c r="I121" s="3461" t="s">
        <v>4583</v>
      </c>
      <c r="J121" s="3462">
        <v>1.50654</v>
      </c>
      <c r="K121" s="3462">
        <v>45.823999999999998</v>
      </c>
      <c r="L121" s="3462">
        <v>3067</v>
      </c>
      <c r="M121" s="3462">
        <v>0</v>
      </c>
      <c r="N121" s="3462">
        <v>0</v>
      </c>
      <c r="O121" s="3462">
        <v>42000</v>
      </c>
    </row>
    <row r="122" spans="1:15">
      <c r="A122" s="3461" t="s">
        <v>3463</v>
      </c>
      <c r="B122" s="3461" t="s">
        <v>3464</v>
      </c>
      <c r="C122" s="3461" t="s">
        <v>4257</v>
      </c>
      <c r="D122" s="3461" t="s">
        <v>4095</v>
      </c>
      <c r="E122" s="3461" t="s">
        <v>4258</v>
      </c>
      <c r="F122" s="3461" t="s">
        <v>4259</v>
      </c>
      <c r="G122" s="3461">
        <v>42.31</v>
      </c>
      <c r="H122" s="3461" t="s">
        <v>4234</v>
      </c>
      <c r="I122" s="3461" t="s">
        <v>4235</v>
      </c>
      <c r="J122" s="3462">
        <v>0.77703999999999995</v>
      </c>
      <c r="K122" s="3462">
        <v>23.635069999999999</v>
      </c>
      <c r="L122" s="3462">
        <v>1000</v>
      </c>
      <c r="M122" s="3462">
        <v>0</v>
      </c>
      <c r="N122" s="3462">
        <v>0</v>
      </c>
      <c r="O122" s="3462">
        <v>12000</v>
      </c>
    </row>
    <row r="123" spans="1:15">
      <c r="A123" s="3461" t="s">
        <v>3463</v>
      </c>
      <c r="B123" s="3461" t="s">
        <v>3464</v>
      </c>
      <c r="C123" s="3461" t="s">
        <v>4616</v>
      </c>
      <c r="D123" s="3461" t="s">
        <v>4580</v>
      </c>
      <c r="E123" s="3461" t="s">
        <v>4617</v>
      </c>
      <c r="F123" s="3461" t="s">
        <v>4618</v>
      </c>
      <c r="G123" s="3461">
        <v>38.049999999999997</v>
      </c>
      <c r="H123" s="3461" t="s">
        <v>4619</v>
      </c>
      <c r="I123" s="3461" t="s">
        <v>4620</v>
      </c>
      <c r="J123" s="3462">
        <v>1.7781899999999999</v>
      </c>
      <c r="K123" s="3462">
        <v>54.086730000000003</v>
      </c>
      <c r="L123" s="3462">
        <v>2058</v>
      </c>
      <c r="M123" s="3462">
        <v>0</v>
      </c>
      <c r="N123" s="3462">
        <v>0</v>
      </c>
      <c r="O123" s="3462">
        <v>27600</v>
      </c>
    </row>
    <row r="124" spans="1:15">
      <c r="A124" s="3461" t="s">
        <v>3463</v>
      </c>
      <c r="B124" s="3461" t="s">
        <v>3464</v>
      </c>
      <c r="C124" s="3461" t="s">
        <v>4845</v>
      </c>
      <c r="D124" s="3461" t="s">
        <v>4839</v>
      </c>
      <c r="E124" s="3461" t="s">
        <v>4846</v>
      </c>
      <c r="F124" s="3461" t="s">
        <v>4847</v>
      </c>
      <c r="G124" s="3461">
        <v>42.31</v>
      </c>
      <c r="H124" s="3461" t="s">
        <v>4848</v>
      </c>
      <c r="I124" s="3461" t="s">
        <v>4849</v>
      </c>
      <c r="J124" s="3462">
        <v>2.12</v>
      </c>
      <c r="K124" s="3462">
        <v>64.459999999999994</v>
      </c>
      <c r="L124" s="3462">
        <v>2727</v>
      </c>
      <c r="M124" s="3462">
        <v>6000</v>
      </c>
      <c r="N124" s="3462">
        <v>0</v>
      </c>
      <c r="O124" s="3462">
        <v>42000</v>
      </c>
    </row>
    <row r="125" spans="1:15">
      <c r="A125" s="3461" t="s">
        <v>3463</v>
      </c>
      <c r="B125" s="3461" t="s">
        <v>3464</v>
      </c>
      <c r="C125" s="3461" t="s">
        <v>4010</v>
      </c>
      <c r="D125" s="3461" t="s">
        <v>3870</v>
      </c>
      <c r="E125" s="3461" t="s">
        <v>3770</v>
      </c>
      <c r="F125" s="3461" t="s">
        <v>4011</v>
      </c>
      <c r="G125" s="3461">
        <v>38.049999999999997</v>
      </c>
      <c r="H125" s="3461" t="s">
        <v>4012</v>
      </c>
      <c r="I125" s="3461" t="s">
        <v>4013</v>
      </c>
      <c r="J125" s="3462">
        <v>1.7781899999999999</v>
      </c>
      <c r="K125" s="3462">
        <v>54.086730000000003</v>
      </c>
      <c r="L125" s="3462">
        <v>2058</v>
      </c>
      <c r="M125" s="3462">
        <v>0</v>
      </c>
      <c r="N125" s="3462">
        <v>0</v>
      </c>
      <c r="O125" s="3462">
        <v>27600</v>
      </c>
    </row>
    <row r="126" spans="1:15">
      <c r="A126" s="3461" t="s">
        <v>3463</v>
      </c>
      <c r="B126" s="3461" t="s">
        <v>3464</v>
      </c>
      <c r="C126" s="3461" t="s">
        <v>4035</v>
      </c>
      <c r="D126" s="3461" t="s">
        <v>4036</v>
      </c>
      <c r="E126" s="3461" t="s">
        <v>3776</v>
      </c>
      <c r="F126" s="3461" t="s">
        <v>4037</v>
      </c>
      <c r="G126" s="3461">
        <v>71.19</v>
      </c>
      <c r="H126" s="3461" t="s">
        <v>4033</v>
      </c>
      <c r="I126" s="3461" t="s">
        <v>4034</v>
      </c>
      <c r="J126" s="3462">
        <v>1.54755</v>
      </c>
      <c r="K126" s="3462">
        <v>47.071219999999997</v>
      </c>
      <c r="L126" s="3462">
        <v>3351</v>
      </c>
      <c r="M126" s="3462">
        <v>7600</v>
      </c>
      <c r="N126" s="3462">
        <v>0</v>
      </c>
      <c r="O126" s="3462">
        <v>53200</v>
      </c>
    </row>
    <row r="127" spans="1:15">
      <c r="A127" s="3461" t="s">
        <v>3463</v>
      </c>
      <c r="B127" s="3461" t="s">
        <v>3464</v>
      </c>
      <c r="C127" s="3461" t="s">
        <v>4611</v>
      </c>
      <c r="D127" s="3461" t="s">
        <v>4580</v>
      </c>
      <c r="E127" s="3461" t="s">
        <v>3911</v>
      </c>
      <c r="F127" s="3461" t="s">
        <v>4612</v>
      </c>
      <c r="G127" s="3461">
        <v>66.930000000000007</v>
      </c>
      <c r="H127" s="3461" t="s">
        <v>4606</v>
      </c>
      <c r="I127" s="3461" t="s">
        <v>3805</v>
      </c>
      <c r="J127" s="3462">
        <v>1.50654</v>
      </c>
      <c r="K127" s="3462">
        <v>45.823999999999998</v>
      </c>
      <c r="L127" s="3462">
        <v>3067</v>
      </c>
      <c r="M127" s="3462">
        <v>0</v>
      </c>
      <c r="N127" s="3462">
        <v>0</v>
      </c>
      <c r="O127" s="3462">
        <v>42000</v>
      </c>
    </row>
    <row r="128" spans="1:15">
      <c r="A128" s="3461" t="s">
        <v>3463</v>
      </c>
      <c r="B128" s="3461" t="s">
        <v>3464</v>
      </c>
      <c r="C128" s="3461" t="s">
        <v>4901</v>
      </c>
      <c r="D128" s="3461" t="s">
        <v>4902</v>
      </c>
      <c r="E128" s="3461" t="s">
        <v>4903</v>
      </c>
      <c r="F128" s="3461" t="s">
        <v>4904</v>
      </c>
      <c r="G128" s="3461">
        <v>38.049999999999997</v>
      </c>
      <c r="H128" s="3461" t="s">
        <v>3557</v>
      </c>
      <c r="I128" s="3461" t="s">
        <v>4905</v>
      </c>
      <c r="J128" s="3462">
        <v>1.6892</v>
      </c>
      <c r="K128" s="3462">
        <v>51.379759999999997</v>
      </c>
      <c r="L128" s="3462">
        <v>1955</v>
      </c>
      <c r="M128" s="3462">
        <v>0</v>
      </c>
      <c r="N128" s="3462">
        <v>0</v>
      </c>
      <c r="O128" s="3462">
        <v>23460</v>
      </c>
    </row>
    <row r="129" spans="1:15">
      <c r="A129" s="3461" t="s">
        <v>3463</v>
      </c>
      <c r="B129" s="3461" t="s">
        <v>3464</v>
      </c>
      <c r="C129" s="3461" t="s">
        <v>4414</v>
      </c>
      <c r="D129" s="3461" t="s">
        <v>4339</v>
      </c>
      <c r="E129" s="3461" t="s">
        <v>3770</v>
      </c>
      <c r="F129" s="3461" t="s">
        <v>4415</v>
      </c>
      <c r="G129" s="3461">
        <v>42.31</v>
      </c>
      <c r="H129" s="3461" t="s">
        <v>4416</v>
      </c>
      <c r="I129" s="3461" t="s">
        <v>4417</v>
      </c>
      <c r="J129" s="3462">
        <v>1.73048</v>
      </c>
      <c r="K129" s="3462">
        <v>52.635309999999997</v>
      </c>
      <c r="L129" s="3462">
        <v>2227</v>
      </c>
      <c r="M129" s="3462">
        <v>0</v>
      </c>
      <c r="N129" s="3462">
        <v>0</v>
      </c>
      <c r="O129" s="3462">
        <v>30000</v>
      </c>
    </row>
    <row r="130" spans="1:15">
      <c r="A130" s="3461" t="s">
        <v>3463</v>
      </c>
      <c r="B130" s="3461" t="s">
        <v>3464</v>
      </c>
      <c r="C130" s="3461" t="s">
        <v>4623</v>
      </c>
      <c r="D130" s="3461" t="s">
        <v>4580</v>
      </c>
      <c r="E130" s="3461" t="s">
        <v>3502</v>
      </c>
      <c r="F130" s="3461" t="s">
        <v>4624</v>
      </c>
      <c r="G130" s="3461">
        <v>38.049999999999997</v>
      </c>
      <c r="H130" s="3461" t="s">
        <v>4625</v>
      </c>
      <c r="I130" s="3461" t="s">
        <v>4626</v>
      </c>
      <c r="J130" s="3462">
        <v>2.21021</v>
      </c>
      <c r="K130" s="3462">
        <v>67.227329999999995</v>
      </c>
      <c r="L130" s="3462">
        <v>2558</v>
      </c>
      <c r="M130" s="3462">
        <v>0</v>
      </c>
      <c r="N130" s="3462">
        <v>0</v>
      </c>
      <c r="O130" s="3462">
        <v>33600</v>
      </c>
    </row>
    <row r="131" spans="1:15">
      <c r="A131" s="3461" t="s">
        <v>3463</v>
      </c>
      <c r="B131" s="3461" t="s">
        <v>3464</v>
      </c>
      <c r="C131" s="3461" t="s">
        <v>4245</v>
      </c>
      <c r="D131" s="3461" t="s">
        <v>4197</v>
      </c>
      <c r="E131" s="3461" t="s">
        <v>3570</v>
      </c>
      <c r="F131" s="3461" t="s">
        <v>4246</v>
      </c>
      <c r="G131" s="3461">
        <v>73.5</v>
      </c>
      <c r="H131" s="3461" t="s">
        <v>4234</v>
      </c>
      <c r="I131" s="3461" t="s">
        <v>4235</v>
      </c>
      <c r="J131" s="3462">
        <v>1.37188</v>
      </c>
      <c r="K131" s="3462">
        <v>41.727890000000002</v>
      </c>
      <c r="L131" s="3462">
        <v>3067</v>
      </c>
      <c r="M131" s="3462">
        <v>0</v>
      </c>
      <c r="N131" s="3462">
        <v>0</v>
      </c>
      <c r="O131" s="3462">
        <v>42000</v>
      </c>
    </row>
    <row r="132" spans="1:15">
      <c r="A132" s="3461" t="s">
        <v>3463</v>
      </c>
      <c r="B132" s="3461" t="s">
        <v>3464</v>
      </c>
      <c r="C132" s="3461" t="s">
        <v>4906</v>
      </c>
      <c r="D132" s="3461" t="s">
        <v>4879</v>
      </c>
      <c r="E132" s="3461" t="s">
        <v>4907</v>
      </c>
      <c r="F132" s="3461" t="s">
        <v>4908</v>
      </c>
      <c r="G132" s="3461">
        <v>70.23</v>
      </c>
      <c r="H132" s="3461" t="s">
        <v>3881</v>
      </c>
      <c r="I132" s="3461" t="s">
        <v>4909</v>
      </c>
      <c r="J132" s="3462">
        <v>1.0673299999999999</v>
      </c>
      <c r="K132" s="3462">
        <v>32.464759999999998</v>
      </c>
      <c r="L132" s="3462">
        <v>2280</v>
      </c>
      <c r="M132" s="3462">
        <v>0</v>
      </c>
      <c r="N132" s="3462">
        <v>0</v>
      </c>
      <c r="O132" s="3462">
        <v>27360</v>
      </c>
    </row>
    <row r="133" spans="1:15">
      <c r="A133" s="3461" t="s">
        <v>3463</v>
      </c>
      <c r="B133" s="3461" t="s">
        <v>3464</v>
      </c>
      <c r="C133" s="3461" t="s">
        <v>4287</v>
      </c>
      <c r="D133" s="3461" t="s">
        <v>4114</v>
      </c>
      <c r="E133" s="3461" t="s">
        <v>4065</v>
      </c>
      <c r="F133" s="3461" t="s">
        <v>4288</v>
      </c>
      <c r="G133" s="3461">
        <v>70.23</v>
      </c>
      <c r="H133" s="3461" t="s">
        <v>4289</v>
      </c>
      <c r="I133" s="3461" t="s">
        <v>4290</v>
      </c>
      <c r="J133" s="3462">
        <v>1.10057</v>
      </c>
      <c r="K133" s="3462">
        <v>33.475720000000003</v>
      </c>
      <c r="L133" s="3462">
        <v>2351</v>
      </c>
      <c r="M133" s="3462">
        <v>0</v>
      </c>
      <c r="N133" s="3462">
        <v>0</v>
      </c>
      <c r="O133" s="3462">
        <v>33600</v>
      </c>
    </row>
    <row r="134" spans="1:15">
      <c r="A134" s="3461" t="s">
        <v>3463</v>
      </c>
      <c r="B134" s="3461" t="s">
        <v>3464</v>
      </c>
      <c r="C134" s="3461" t="s">
        <v>4574</v>
      </c>
      <c r="D134" s="3461" t="s">
        <v>4575</v>
      </c>
      <c r="E134" s="3461" t="s">
        <v>4576</v>
      </c>
      <c r="F134" s="3461" t="s">
        <v>4577</v>
      </c>
      <c r="G134" s="3461">
        <v>38.049999999999997</v>
      </c>
      <c r="H134" s="3461" t="s">
        <v>4568</v>
      </c>
      <c r="I134" s="3461" t="s">
        <v>4578</v>
      </c>
      <c r="J134" s="3462">
        <v>1.1923699999999999</v>
      </c>
      <c r="K134" s="3462">
        <v>36.268070000000002</v>
      </c>
      <c r="L134" s="3462">
        <v>1380</v>
      </c>
      <c r="M134" s="3462">
        <v>0</v>
      </c>
      <c r="N134" s="3462">
        <v>0</v>
      </c>
      <c r="O134" s="3462">
        <v>16560</v>
      </c>
    </row>
    <row r="135" spans="1:15">
      <c r="A135" s="3461" t="s">
        <v>3463</v>
      </c>
      <c r="B135" s="3461" t="s">
        <v>3464</v>
      </c>
      <c r="C135" s="3461" t="s">
        <v>4932</v>
      </c>
      <c r="D135" s="3461" t="s">
        <v>4879</v>
      </c>
      <c r="E135" s="3461" t="s">
        <v>4933</v>
      </c>
      <c r="F135" s="3461" t="s">
        <v>4934</v>
      </c>
      <c r="G135" s="3461">
        <v>71.19</v>
      </c>
      <c r="H135" s="3461" t="s">
        <v>3924</v>
      </c>
      <c r="I135" s="3461" t="s">
        <v>4935</v>
      </c>
      <c r="J135" s="3462">
        <v>0.96057999999999999</v>
      </c>
      <c r="K135" s="3462">
        <v>29.217590000000001</v>
      </c>
      <c r="L135" s="3462">
        <v>2080</v>
      </c>
      <c r="M135" s="3462">
        <v>0</v>
      </c>
      <c r="N135" s="3462">
        <v>0</v>
      </c>
      <c r="O135" s="3462">
        <v>24960</v>
      </c>
    </row>
    <row r="136" spans="1:15">
      <c r="A136" s="3461" t="s">
        <v>3463</v>
      </c>
      <c r="B136" s="3461" t="s">
        <v>3464</v>
      </c>
      <c r="C136" s="3461" t="s">
        <v>4282</v>
      </c>
      <c r="D136" s="3461" t="s">
        <v>4185</v>
      </c>
      <c r="E136" s="3461" t="s">
        <v>4283</v>
      </c>
      <c r="F136" s="3461" t="s">
        <v>4284</v>
      </c>
      <c r="G136" s="3461">
        <v>66.930000000000007</v>
      </c>
      <c r="H136" s="3461" t="s">
        <v>4285</v>
      </c>
      <c r="I136" s="3461" t="s">
        <v>4286</v>
      </c>
      <c r="J136" s="3462">
        <v>1.50654</v>
      </c>
      <c r="K136" s="3462">
        <v>45.823999999999998</v>
      </c>
      <c r="L136" s="3462">
        <v>3067</v>
      </c>
      <c r="M136" s="3462">
        <v>0</v>
      </c>
      <c r="N136" s="3462">
        <v>0</v>
      </c>
      <c r="O136" s="3462">
        <v>42000</v>
      </c>
    </row>
    <row r="137" spans="1:15">
      <c r="A137" s="3461" t="s">
        <v>3463</v>
      </c>
      <c r="B137" s="3461" t="s">
        <v>3464</v>
      </c>
      <c r="C137" s="3461" t="s">
        <v>4841</v>
      </c>
      <c r="D137" s="3461" t="s">
        <v>4722</v>
      </c>
      <c r="E137" s="3461" t="s">
        <v>3668</v>
      </c>
      <c r="F137" s="3461" t="s">
        <v>4842</v>
      </c>
      <c r="G137" s="3461">
        <v>71.19</v>
      </c>
      <c r="H137" s="3461" t="s">
        <v>4843</v>
      </c>
      <c r="I137" s="3461" t="s">
        <v>4844</v>
      </c>
      <c r="J137" s="3462">
        <v>1.31664</v>
      </c>
      <c r="K137" s="3462">
        <v>40.047759999999997</v>
      </c>
      <c r="L137" s="3462">
        <v>2851</v>
      </c>
      <c r="M137" s="3462">
        <v>0</v>
      </c>
      <c r="N137" s="3462">
        <v>0</v>
      </c>
      <c r="O137" s="3462">
        <v>39600</v>
      </c>
    </row>
    <row r="138" spans="1:15">
      <c r="A138" s="3461" t="s">
        <v>3463</v>
      </c>
      <c r="B138" s="3461" t="s">
        <v>3464</v>
      </c>
      <c r="C138" s="3461" t="s">
        <v>4685</v>
      </c>
      <c r="D138" s="3461" t="s">
        <v>4606</v>
      </c>
      <c r="E138" s="3461" t="s">
        <v>3479</v>
      </c>
      <c r="F138" s="3461" t="s">
        <v>4686</v>
      </c>
      <c r="G138" s="3461">
        <v>42.31</v>
      </c>
      <c r="H138" s="3461" t="s">
        <v>4687</v>
      </c>
      <c r="I138" s="3461" t="s">
        <v>4688</v>
      </c>
      <c r="J138" s="3462">
        <v>1.73048</v>
      </c>
      <c r="K138" s="3462">
        <v>52.635309999999997</v>
      </c>
      <c r="L138" s="3462">
        <v>2227</v>
      </c>
      <c r="M138" s="3462">
        <v>5000</v>
      </c>
      <c r="N138" s="3462">
        <v>0</v>
      </c>
      <c r="O138" s="3462">
        <v>35000</v>
      </c>
    </row>
    <row r="139" spans="1:15">
      <c r="A139" s="3461" t="s">
        <v>3463</v>
      </c>
      <c r="B139" s="3461" t="s">
        <v>3464</v>
      </c>
      <c r="C139" s="3461" t="s">
        <v>3921</v>
      </c>
      <c r="D139" s="3461" t="s">
        <v>3873</v>
      </c>
      <c r="E139" s="3461" t="s">
        <v>3570</v>
      </c>
      <c r="F139" s="3461" t="s">
        <v>3922</v>
      </c>
      <c r="G139" s="3461">
        <v>42.31</v>
      </c>
      <c r="H139" s="3461" t="s">
        <v>3923</v>
      </c>
      <c r="I139" s="3461" t="s">
        <v>3924</v>
      </c>
      <c r="J139" s="3462">
        <v>1.73048</v>
      </c>
      <c r="K139" s="3462">
        <v>52.635309999999997</v>
      </c>
      <c r="L139" s="3462">
        <v>2227</v>
      </c>
      <c r="M139" s="3462">
        <v>0</v>
      </c>
      <c r="N139" s="3462">
        <v>0</v>
      </c>
      <c r="O139" s="3462">
        <v>30000</v>
      </c>
    </row>
    <row r="140" spans="1:15">
      <c r="A140" s="3461" t="s">
        <v>3463</v>
      </c>
      <c r="B140" s="3461" t="s">
        <v>3464</v>
      </c>
      <c r="C140" s="3461" t="s">
        <v>4081</v>
      </c>
      <c r="D140" s="3461" t="s">
        <v>4012</v>
      </c>
      <c r="E140" s="3461" t="s">
        <v>4082</v>
      </c>
      <c r="F140" s="3461" t="s">
        <v>4083</v>
      </c>
      <c r="G140" s="3461">
        <v>38.049999999999997</v>
      </c>
      <c r="H140" s="3461" t="s">
        <v>4076</v>
      </c>
      <c r="I140" s="3461" t="s">
        <v>4084</v>
      </c>
      <c r="J140" s="3462">
        <v>1.6892</v>
      </c>
      <c r="K140" s="3462">
        <v>51.379759999999997</v>
      </c>
      <c r="L140" s="3462">
        <v>1955</v>
      </c>
      <c r="M140" s="3462">
        <v>1955</v>
      </c>
      <c r="N140" s="3462">
        <v>0</v>
      </c>
      <c r="O140" s="3462">
        <v>25415</v>
      </c>
    </row>
    <row r="141" spans="1:15">
      <c r="A141" s="3461" t="s">
        <v>3463</v>
      </c>
      <c r="B141" s="3461" t="s">
        <v>3464</v>
      </c>
      <c r="C141" s="3461" t="s">
        <v>4135</v>
      </c>
      <c r="D141" s="3461" t="s">
        <v>4114</v>
      </c>
      <c r="E141" s="3461" t="s">
        <v>4065</v>
      </c>
      <c r="F141" s="3461" t="s">
        <v>4136</v>
      </c>
      <c r="G141" s="3461">
        <v>71.19</v>
      </c>
      <c r="H141" s="3461" t="s">
        <v>4133</v>
      </c>
      <c r="I141" s="3461" t="s">
        <v>4134</v>
      </c>
      <c r="J141" s="3462">
        <v>1.31664</v>
      </c>
      <c r="K141" s="3462">
        <v>40.047759999999997</v>
      </c>
      <c r="L141" s="3462">
        <v>2851</v>
      </c>
      <c r="M141" s="3462">
        <v>6600</v>
      </c>
      <c r="N141" s="3462">
        <v>0</v>
      </c>
      <c r="O141" s="3462">
        <v>46200</v>
      </c>
    </row>
    <row r="142" spans="1:15">
      <c r="A142" s="3461" t="s">
        <v>3463</v>
      </c>
      <c r="B142" s="3461" t="s">
        <v>3464</v>
      </c>
      <c r="C142" s="3461" t="s">
        <v>4719</v>
      </c>
      <c r="D142" s="3461" t="s">
        <v>4606</v>
      </c>
      <c r="E142" s="3461" t="s">
        <v>3526</v>
      </c>
      <c r="F142" s="3461" t="s">
        <v>4720</v>
      </c>
      <c r="G142" s="3461">
        <v>66.930000000000007</v>
      </c>
      <c r="H142" s="3461" t="s">
        <v>4718</v>
      </c>
      <c r="I142" s="3461" t="s">
        <v>3822</v>
      </c>
      <c r="J142" s="3462">
        <v>1.50654</v>
      </c>
      <c r="K142" s="3462">
        <v>45.823999999999998</v>
      </c>
      <c r="L142" s="3462">
        <v>3067</v>
      </c>
      <c r="M142" s="3462">
        <v>0</v>
      </c>
      <c r="N142" s="3462">
        <v>0</v>
      </c>
      <c r="O142" s="3462">
        <v>42000</v>
      </c>
    </row>
    <row r="143" spans="1:15">
      <c r="A143" s="3461" t="s">
        <v>3463</v>
      </c>
      <c r="B143" s="3461" t="s">
        <v>3464</v>
      </c>
      <c r="C143" s="3461" t="s">
        <v>4430</v>
      </c>
      <c r="D143" s="3461" t="s">
        <v>4339</v>
      </c>
      <c r="E143" s="3461" t="s">
        <v>3473</v>
      </c>
      <c r="F143" s="3461" t="s">
        <v>4431</v>
      </c>
      <c r="G143" s="3461">
        <v>66.930000000000007</v>
      </c>
      <c r="H143" s="3461" t="s">
        <v>4428</v>
      </c>
      <c r="I143" s="3461" t="s">
        <v>4429</v>
      </c>
      <c r="J143" s="3462">
        <v>1.50654</v>
      </c>
      <c r="K143" s="3462">
        <v>45.823999999999998</v>
      </c>
      <c r="L143" s="3462">
        <v>3067</v>
      </c>
      <c r="M143" s="3462">
        <v>0</v>
      </c>
      <c r="N143" s="3462">
        <v>0</v>
      </c>
      <c r="O143" s="3462">
        <v>42000</v>
      </c>
    </row>
    <row r="144" spans="1:15">
      <c r="A144" s="3461" t="s">
        <v>3463</v>
      </c>
      <c r="B144" s="3461" t="s">
        <v>3464</v>
      </c>
      <c r="C144" s="3461" t="s">
        <v>4098</v>
      </c>
      <c r="D144" s="3461" t="s">
        <v>3958</v>
      </c>
      <c r="E144" s="3461" t="s">
        <v>3582</v>
      </c>
      <c r="F144" s="3461" t="s">
        <v>4099</v>
      </c>
      <c r="G144" s="3461">
        <v>38.049999999999997</v>
      </c>
      <c r="H144" s="3461" t="s">
        <v>4100</v>
      </c>
      <c r="I144" s="3461" t="s">
        <v>4101</v>
      </c>
      <c r="J144" s="3462">
        <v>2.21021</v>
      </c>
      <c r="K144" s="3462">
        <v>67.227329999999995</v>
      </c>
      <c r="L144" s="3462">
        <v>2558</v>
      </c>
      <c r="M144" s="3462">
        <v>0</v>
      </c>
      <c r="N144" s="3462">
        <v>0</v>
      </c>
      <c r="O144" s="3462">
        <v>33600</v>
      </c>
    </row>
    <row r="145" spans="1:15">
      <c r="A145" s="3461" t="s">
        <v>3463</v>
      </c>
      <c r="B145" s="3461" t="s">
        <v>3464</v>
      </c>
      <c r="C145" s="3461" t="s">
        <v>4163</v>
      </c>
      <c r="D145" s="3461" t="s">
        <v>4089</v>
      </c>
      <c r="E145" s="3461" t="s">
        <v>3570</v>
      </c>
      <c r="F145" s="3461" t="s">
        <v>4164</v>
      </c>
      <c r="G145" s="3461">
        <v>42.31</v>
      </c>
      <c r="H145" s="3461" t="s">
        <v>4153</v>
      </c>
      <c r="I145" s="3461" t="s">
        <v>3476</v>
      </c>
      <c r="J145" s="3462">
        <v>2.1190000000000002</v>
      </c>
      <c r="K145" s="3462">
        <v>64.452849999999998</v>
      </c>
      <c r="L145" s="3462">
        <v>2727</v>
      </c>
      <c r="M145" s="3462">
        <v>0</v>
      </c>
      <c r="N145" s="3462">
        <v>0</v>
      </c>
      <c r="O145" s="3462">
        <v>36000</v>
      </c>
    </row>
    <row r="146" spans="1:15">
      <c r="A146" s="3461" t="s">
        <v>3463</v>
      </c>
      <c r="B146" s="3461" t="s">
        <v>3464</v>
      </c>
      <c r="C146" s="3461" t="s">
        <v>4449</v>
      </c>
      <c r="D146" s="3461" t="s">
        <v>4450</v>
      </c>
      <c r="E146" s="3461" t="s">
        <v>3686</v>
      </c>
      <c r="F146" s="3461" t="s">
        <v>4451</v>
      </c>
      <c r="G146" s="3461">
        <v>38.049999999999997</v>
      </c>
      <c r="H146" s="3461" t="s">
        <v>4450</v>
      </c>
      <c r="I146" s="3461" t="s">
        <v>4452</v>
      </c>
      <c r="J146" s="3462">
        <v>2.21021</v>
      </c>
      <c r="K146" s="3462">
        <v>67.227329999999995</v>
      </c>
      <c r="L146" s="3462">
        <v>2558</v>
      </c>
      <c r="M146" s="3462">
        <v>5600</v>
      </c>
      <c r="N146" s="3462">
        <v>0</v>
      </c>
      <c r="O146" s="3462">
        <v>39200</v>
      </c>
    </row>
    <row r="147" spans="1:15">
      <c r="A147" s="3461" t="s">
        <v>3463</v>
      </c>
      <c r="B147" s="3461" t="s">
        <v>3464</v>
      </c>
      <c r="C147" s="3461" t="s">
        <v>4391</v>
      </c>
      <c r="D147" s="3461" t="s">
        <v>4015</v>
      </c>
      <c r="E147" s="3461" t="s">
        <v>3668</v>
      </c>
      <c r="F147" s="3461" t="s">
        <v>4392</v>
      </c>
      <c r="G147" s="3461">
        <v>73.5</v>
      </c>
      <c r="H147" s="3461" t="s">
        <v>4393</v>
      </c>
      <c r="I147" s="3461" t="s">
        <v>4394</v>
      </c>
      <c r="J147" s="3462">
        <v>1.5955299999999999</v>
      </c>
      <c r="K147" s="3462">
        <v>48.530610000000003</v>
      </c>
      <c r="L147" s="3462">
        <v>3567</v>
      </c>
      <c r="M147" s="3462">
        <v>8000</v>
      </c>
      <c r="N147" s="3462">
        <v>0</v>
      </c>
      <c r="O147" s="3462">
        <v>56000</v>
      </c>
    </row>
    <row r="148" spans="1:15">
      <c r="A148" s="3461" t="s">
        <v>3463</v>
      </c>
      <c r="B148" s="3461" t="s">
        <v>3464</v>
      </c>
      <c r="C148" s="3461" t="s">
        <v>4241</v>
      </c>
      <c r="D148" s="3461" t="s">
        <v>4242</v>
      </c>
      <c r="E148" s="3461" t="s">
        <v>4243</v>
      </c>
      <c r="F148" s="3461" t="s">
        <v>4244</v>
      </c>
      <c r="G148" s="3461">
        <v>70.23</v>
      </c>
      <c r="H148" s="3461" t="s">
        <v>4234</v>
      </c>
      <c r="I148" s="3461" t="s">
        <v>4235</v>
      </c>
      <c r="J148" s="3462">
        <v>1.0673299999999999</v>
      </c>
      <c r="K148" s="3462">
        <v>32.464759999999998</v>
      </c>
      <c r="L148" s="3462">
        <v>2280</v>
      </c>
      <c r="M148" s="3462">
        <v>2280</v>
      </c>
      <c r="N148" s="3462">
        <v>0</v>
      </c>
      <c r="O148" s="3462">
        <v>29640</v>
      </c>
    </row>
    <row r="149" spans="1:15">
      <c r="A149" s="3461" t="s">
        <v>3463</v>
      </c>
      <c r="B149" s="3461" t="s">
        <v>3464</v>
      </c>
      <c r="C149" s="3461" t="s">
        <v>3558</v>
      </c>
      <c r="D149" s="3461" t="s">
        <v>3559</v>
      </c>
      <c r="E149" s="3461" t="s">
        <v>3560</v>
      </c>
      <c r="F149" s="3461" t="s">
        <v>3561</v>
      </c>
      <c r="G149" s="3461">
        <v>50.4</v>
      </c>
      <c r="H149" s="3461" t="s">
        <v>3562</v>
      </c>
      <c r="I149" s="3461" t="s">
        <v>3563</v>
      </c>
      <c r="J149" s="3462">
        <v>2.2999999999999998</v>
      </c>
      <c r="K149" s="3462">
        <v>69.958330000000004</v>
      </c>
      <c r="L149" s="3462">
        <v>3525.9</v>
      </c>
      <c r="M149" s="3462">
        <v>0</v>
      </c>
      <c r="N149" s="3462">
        <v>0</v>
      </c>
      <c r="O149" s="3462">
        <v>139683.6</v>
      </c>
    </row>
    <row r="150" spans="1:15">
      <c r="A150" s="3461" t="s">
        <v>3463</v>
      </c>
      <c r="B150" s="3461" t="s">
        <v>3464</v>
      </c>
      <c r="C150" s="3461" t="s">
        <v>3978</v>
      </c>
      <c r="D150" s="3461" t="s">
        <v>3972</v>
      </c>
      <c r="E150" s="3461" t="s">
        <v>3979</v>
      </c>
      <c r="F150" s="3461" t="s">
        <v>3980</v>
      </c>
      <c r="G150" s="3461">
        <v>157.35</v>
      </c>
      <c r="H150" s="3461" t="s">
        <v>3981</v>
      </c>
      <c r="I150" s="3461" t="s">
        <v>3563</v>
      </c>
      <c r="J150" s="3462">
        <v>2.6</v>
      </c>
      <c r="K150" s="3462">
        <v>79.083320000000001</v>
      </c>
      <c r="L150" s="3462">
        <v>12443.76</v>
      </c>
      <c r="M150" s="3462">
        <v>37331.279999999999</v>
      </c>
      <c r="N150" s="3462">
        <v>2360.25</v>
      </c>
      <c r="O150" s="3462">
        <v>198457.65</v>
      </c>
    </row>
    <row r="151" spans="1:15">
      <c r="A151" s="3461" t="s">
        <v>3463</v>
      </c>
      <c r="B151" s="3461" t="s">
        <v>3464</v>
      </c>
      <c r="C151" s="3461" t="s">
        <v>4936</v>
      </c>
      <c r="D151" s="3461" t="s">
        <v>4879</v>
      </c>
      <c r="E151" s="3461" t="s">
        <v>3502</v>
      </c>
      <c r="F151" s="3461" t="s">
        <v>4937</v>
      </c>
      <c r="G151" s="3461">
        <v>70.23</v>
      </c>
      <c r="H151" s="3461" t="s">
        <v>4938</v>
      </c>
      <c r="I151" s="3461" t="s">
        <v>4939</v>
      </c>
      <c r="J151" s="3462">
        <v>1.4357500000000001</v>
      </c>
      <c r="K151" s="3462">
        <v>43.6708</v>
      </c>
      <c r="L151" s="3462">
        <v>3067</v>
      </c>
      <c r="M151" s="3462">
        <v>0</v>
      </c>
      <c r="N151" s="3462">
        <v>0</v>
      </c>
      <c r="O151" s="3462">
        <v>42000</v>
      </c>
    </row>
    <row r="152" spans="1:15">
      <c r="A152" s="3461" t="s">
        <v>3463</v>
      </c>
      <c r="B152" s="3461" t="s">
        <v>3464</v>
      </c>
      <c r="C152" s="3461" t="s">
        <v>4676</v>
      </c>
      <c r="D152" s="3461" t="s">
        <v>4629</v>
      </c>
      <c r="E152" s="3461" t="s">
        <v>4677</v>
      </c>
      <c r="F152" s="3461" t="s">
        <v>4678</v>
      </c>
      <c r="G152" s="3461">
        <v>45.4</v>
      </c>
      <c r="H152" s="3461" t="s">
        <v>4679</v>
      </c>
      <c r="I152" s="3461" t="s">
        <v>4680</v>
      </c>
      <c r="J152" s="3462">
        <v>1.21658</v>
      </c>
      <c r="K152" s="3462">
        <v>37.00441</v>
      </c>
      <c r="L152" s="3462">
        <v>1680</v>
      </c>
      <c r="M152" s="3462">
        <v>0</v>
      </c>
      <c r="N152" s="3462">
        <v>0</v>
      </c>
      <c r="O152" s="3462">
        <v>20160</v>
      </c>
    </row>
    <row r="153" spans="1:15">
      <c r="A153" s="3461" t="s">
        <v>3463</v>
      </c>
      <c r="B153" s="3461" t="s">
        <v>3464</v>
      </c>
      <c r="C153" s="3461" t="s">
        <v>4407</v>
      </c>
      <c r="D153" s="3461" t="s">
        <v>4408</v>
      </c>
      <c r="E153" s="3461" t="s">
        <v>3858</v>
      </c>
      <c r="F153" s="3461" t="s">
        <v>4409</v>
      </c>
      <c r="G153" s="3461">
        <v>38.049999999999997</v>
      </c>
      <c r="H153" s="3461" t="s">
        <v>4405</v>
      </c>
      <c r="I153" s="3461" t="s">
        <v>3547</v>
      </c>
      <c r="J153" s="3462">
        <v>1.92422</v>
      </c>
      <c r="K153" s="3462">
        <v>58.52825</v>
      </c>
      <c r="L153" s="3462">
        <v>2227</v>
      </c>
      <c r="M153" s="3462">
        <v>0</v>
      </c>
      <c r="N153" s="3462">
        <v>0</v>
      </c>
      <c r="O153" s="3462">
        <v>30000</v>
      </c>
    </row>
    <row r="154" spans="1:15">
      <c r="A154" s="3461" t="s">
        <v>3463</v>
      </c>
      <c r="B154" s="3461" t="s">
        <v>3464</v>
      </c>
      <c r="C154" s="3461" t="s">
        <v>4715</v>
      </c>
      <c r="D154" s="3461" t="s">
        <v>4716</v>
      </c>
      <c r="E154" s="3461" t="s">
        <v>3570</v>
      </c>
      <c r="F154" s="3461" t="s">
        <v>4717</v>
      </c>
      <c r="G154" s="3461">
        <v>38.049999999999997</v>
      </c>
      <c r="H154" s="3461" t="s">
        <v>4718</v>
      </c>
      <c r="I154" s="3461" t="s">
        <v>3822</v>
      </c>
      <c r="J154" s="3462">
        <v>1.92422</v>
      </c>
      <c r="K154" s="3462">
        <v>58.52825</v>
      </c>
      <c r="L154" s="3462">
        <v>2227</v>
      </c>
      <c r="M154" s="3462">
        <v>5000</v>
      </c>
      <c r="N154" s="3462">
        <v>0</v>
      </c>
      <c r="O154" s="3462">
        <v>35000</v>
      </c>
    </row>
    <row r="155" spans="1:15">
      <c r="A155" s="3461" t="s">
        <v>3463</v>
      </c>
      <c r="B155" s="3461" t="s">
        <v>3464</v>
      </c>
      <c r="C155" s="3461" t="s">
        <v>3925</v>
      </c>
      <c r="D155" s="3461" t="s">
        <v>3900</v>
      </c>
      <c r="E155" s="3461" t="s">
        <v>3926</v>
      </c>
      <c r="F155" s="3461" t="s">
        <v>3927</v>
      </c>
      <c r="G155" s="3461">
        <v>66.930000000000007</v>
      </c>
      <c r="H155" s="3461" t="s">
        <v>3928</v>
      </c>
      <c r="I155" s="3461" t="s">
        <v>3929</v>
      </c>
      <c r="J155" s="3462">
        <v>1.1199600000000001</v>
      </c>
      <c r="K155" s="3462">
        <v>34.065440000000002</v>
      </c>
      <c r="L155" s="3462">
        <v>2280</v>
      </c>
      <c r="M155" s="3462">
        <v>0</v>
      </c>
      <c r="N155" s="3462">
        <v>0</v>
      </c>
      <c r="O155" s="3462">
        <v>27360</v>
      </c>
    </row>
    <row r="156" spans="1:15">
      <c r="A156" s="3461" t="s">
        <v>3463</v>
      </c>
      <c r="B156" s="3461" t="s">
        <v>3683</v>
      </c>
      <c r="C156" s="3461" t="s">
        <v>3867</v>
      </c>
      <c r="D156" s="3461" t="s">
        <v>3842</v>
      </c>
      <c r="E156" s="3461" t="s">
        <v>3868</v>
      </c>
      <c r="F156" s="3461" t="s">
        <v>3869</v>
      </c>
      <c r="G156" s="3461">
        <v>71.19</v>
      </c>
      <c r="H156" s="3461" t="s">
        <v>3870</v>
      </c>
      <c r="I156" s="3461" t="s">
        <v>3871</v>
      </c>
      <c r="J156" s="3462">
        <v>1.41639</v>
      </c>
      <c r="K156" s="3462">
        <v>43.081890000000001</v>
      </c>
      <c r="L156" s="3462">
        <v>3067</v>
      </c>
      <c r="M156" s="3462">
        <v>7000</v>
      </c>
      <c r="N156" s="3462">
        <v>0</v>
      </c>
      <c r="O156" s="3462">
        <v>49000</v>
      </c>
    </row>
    <row r="157" spans="1:15">
      <c r="A157" s="3461" t="s">
        <v>3463</v>
      </c>
      <c r="B157" s="3461" t="s">
        <v>3464</v>
      </c>
      <c r="C157" s="3461" t="s">
        <v>4640</v>
      </c>
      <c r="D157" s="3461" t="s">
        <v>4641</v>
      </c>
      <c r="E157" s="3461" t="s">
        <v>3570</v>
      </c>
      <c r="F157" s="3461" t="s">
        <v>4642</v>
      </c>
      <c r="G157" s="3461">
        <v>66.930000000000007</v>
      </c>
      <c r="H157" s="3461" t="s">
        <v>4635</v>
      </c>
      <c r="I157" s="3461" t="s">
        <v>4639</v>
      </c>
      <c r="J157" s="3462">
        <v>1.4004399999999999</v>
      </c>
      <c r="K157" s="3462">
        <v>42.596739999999997</v>
      </c>
      <c r="L157" s="3462">
        <v>2851</v>
      </c>
      <c r="M157" s="3462">
        <v>6600</v>
      </c>
      <c r="N157" s="3462">
        <v>0</v>
      </c>
      <c r="O157" s="3462">
        <v>46200</v>
      </c>
    </row>
    <row r="158" spans="1:15">
      <c r="A158" s="3461" t="s">
        <v>3463</v>
      </c>
      <c r="B158" s="3461" t="s">
        <v>3464</v>
      </c>
      <c r="C158" s="3461" t="s">
        <v>4426</v>
      </c>
      <c r="D158" s="3461" t="s">
        <v>4339</v>
      </c>
      <c r="E158" s="3461" t="s">
        <v>3473</v>
      </c>
      <c r="F158" s="3461" t="s">
        <v>4427</v>
      </c>
      <c r="G158" s="3461">
        <v>71.19</v>
      </c>
      <c r="H158" s="3461" t="s">
        <v>4428</v>
      </c>
      <c r="I158" s="3461" t="s">
        <v>4429</v>
      </c>
      <c r="J158" s="3462">
        <v>1.41639</v>
      </c>
      <c r="K158" s="3462">
        <v>43.081890000000001</v>
      </c>
      <c r="L158" s="3462">
        <v>3067</v>
      </c>
      <c r="M158" s="3462">
        <v>0</v>
      </c>
      <c r="N158" s="3462">
        <v>0</v>
      </c>
      <c r="O158" s="3462">
        <v>42000</v>
      </c>
    </row>
    <row r="159" spans="1:15">
      <c r="A159" s="3461" t="s">
        <v>3463</v>
      </c>
      <c r="B159" s="3461" t="s">
        <v>3464</v>
      </c>
      <c r="C159" s="3461" t="s">
        <v>4317</v>
      </c>
      <c r="D159" s="3461" t="s">
        <v>4318</v>
      </c>
      <c r="E159" s="3461" t="s">
        <v>4319</v>
      </c>
      <c r="F159" s="3461" t="s">
        <v>4320</v>
      </c>
      <c r="G159" s="3461">
        <v>42.31</v>
      </c>
      <c r="H159" s="3461" t="s">
        <v>4321</v>
      </c>
      <c r="I159" s="3461" t="s">
        <v>4322</v>
      </c>
      <c r="J159" s="3462">
        <v>1.15002</v>
      </c>
      <c r="K159" s="3462">
        <v>34.979909999999997</v>
      </c>
      <c r="L159" s="3462">
        <v>1480</v>
      </c>
      <c r="M159" s="3462">
        <v>1480</v>
      </c>
      <c r="N159" s="3462">
        <v>0</v>
      </c>
      <c r="O159" s="3462">
        <v>19240</v>
      </c>
    </row>
    <row r="160" spans="1:15">
      <c r="A160" s="3461" t="s">
        <v>3463</v>
      </c>
      <c r="B160" s="3461" t="s">
        <v>3464</v>
      </c>
      <c r="C160" s="3461" t="s">
        <v>4608</v>
      </c>
      <c r="D160" s="3461" t="s">
        <v>4609</v>
      </c>
      <c r="E160" s="3461" t="s">
        <v>3600</v>
      </c>
      <c r="F160" s="3461" t="s">
        <v>4610</v>
      </c>
      <c r="G160" s="3461">
        <v>42.31</v>
      </c>
      <c r="H160" s="3461" t="s">
        <v>4606</v>
      </c>
      <c r="I160" s="3461" t="s">
        <v>3805</v>
      </c>
      <c r="J160" s="3462">
        <v>1.5991599999999999</v>
      </c>
      <c r="K160" s="3462">
        <v>48.640979999999999</v>
      </c>
      <c r="L160" s="3462">
        <v>2058</v>
      </c>
      <c r="M160" s="3462">
        <v>4600</v>
      </c>
      <c r="N160" s="3462">
        <v>0</v>
      </c>
      <c r="O160" s="3462">
        <v>32200</v>
      </c>
    </row>
    <row r="161" spans="1:15">
      <c r="A161" s="3461" t="s">
        <v>3463</v>
      </c>
      <c r="B161" s="3461" t="s">
        <v>3464</v>
      </c>
      <c r="C161" s="3461" t="s">
        <v>3935</v>
      </c>
      <c r="D161" s="3461" t="s">
        <v>3903</v>
      </c>
      <c r="E161" s="3461" t="s">
        <v>3491</v>
      </c>
      <c r="F161" s="3461" t="s">
        <v>3936</v>
      </c>
      <c r="G161" s="3461">
        <v>38.049999999999997</v>
      </c>
      <c r="H161" s="3461" t="s">
        <v>3933</v>
      </c>
      <c r="I161" s="3461" t="s">
        <v>3934</v>
      </c>
      <c r="J161" s="3462">
        <v>1.92422</v>
      </c>
      <c r="K161" s="3462">
        <v>58.52825</v>
      </c>
      <c r="L161" s="3462">
        <v>2227</v>
      </c>
      <c r="M161" s="3462">
        <v>5000</v>
      </c>
      <c r="N161" s="3462">
        <v>0</v>
      </c>
      <c r="O161" s="3462">
        <v>35000</v>
      </c>
    </row>
    <row r="162" spans="1:15">
      <c r="A162" s="3461" t="s">
        <v>3463</v>
      </c>
      <c r="B162" s="3461" t="s">
        <v>3464</v>
      </c>
      <c r="C162" s="3461" t="s">
        <v>4192</v>
      </c>
      <c r="D162" s="3461" t="s">
        <v>4153</v>
      </c>
      <c r="E162" s="3461" t="s">
        <v>3467</v>
      </c>
      <c r="F162" s="3461" t="s">
        <v>4193</v>
      </c>
      <c r="G162" s="3461">
        <v>338.91</v>
      </c>
      <c r="H162" s="3461" t="s">
        <v>4194</v>
      </c>
      <c r="I162" s="3461" t="s">
        <v>4195</v>
      </c>
      <c r="J162" s="3462">
        <v>1.462574</v>
      </c>
      <c r="K162" s="3462">
        <v>222.43344999999999</v>
      </c>
      <c r="L162" s="3462">
        <v>15071</v>
      </c>
      <c r="M162" s="3462">
        <v>34600</v>
      </c>
      <c r="N162" s="3462">
        <v>0</v>
      </c>
      <c r="O162" s="3462">
        <v>242200</v>
      </c>
    </row>
    <row r="163" spans="1:15">
      <c r="A163" s="3461" t="s">
        <v>3463</v>
      </c>
      <c r="B163" s="3461" t="s">
        <v>3464</v>
      </c>
      <c r="C163" s="3461" t="s">
        <v>3909</v>
      </c>
      <c r="D163" s="3461" t="s">
        <v>3910</v>
      </c>
      <c r="E163" s="3461" t="s">
        <v>3911</v>
      </c>
      <c r="F163" s="3461" t="s">
        <v>3912</v>
      </c>
      <c r="G163" s="3461">
        <v>133.86000000000001</v>
      </c>
      <c r="H163" s="3461" t="s">
        <v>3913</v>
      </c>
      <c r="I163" s="3461" t="s">
        <v>3914</v>
      </c>
      <c r="J163" s="3462">
        <v>1.576295</v>
      </c>
      <c r="K163" s="3462">
        <v>95.891229999999993</v>
      </c>
      <c r="L163" s="3462">
        <v>6418</v>
      </c>
      <c r="M163" s="3462">
        <v>14600</v>
      </c>
      <c r="N163" s="3462">
        <v>0</v>
      </c>
      <c r="O163" s="3462">
        <v>102200</v>
      </c>
    </row>
    <row r="164" spans="1:15">
      <c r="A164" s="3461" t="s">
        <v>3463</v>
      </c>
      <c r="B164" s="3461" t="s">
        <v>3464</v>
      </c>
      <c r="C164" s="3461" t="s">
        <v>3886</v>
      </c>
      <c r="D164" s="3461" t="s">
        <v>3883</v>
      </c>
      <c r="E164" s="3461" t="s">
        <v>3532</v>
      </c>
      <c r="F164" s="3461" t="s">
        <v>3887</v>
      </c>
      <c r="G164" s="3461">
        <v>71.19</v>
      </c>
      <c r="H164" s="3461" t="s">
        <v>3888</v>
      </c>
      <c r="I164" s="3461" t="s">
        <v>3889</v>
      </c>
      <c r="J164" s="3462">
        <v>1.41639</v>
      </c>
      <c r="K164" s="3462">
        <v>43.081890000000001</v>
      </c>
      <c r="L164" s="3462">
        <v>3067</v>
      </c>
      <c r="M164" s="3462">
        <v>7000</v>
      </c>
      <c r="N164" s="3462">
        <v>0</v>
      </c>
      <c r="O164" s="3462">
        <v>49000</v>
      </c>
    </row>
    <row r="165" spans="1:15">
      <c r="A165" s="3461" t="s">
        <v>3463</v>
      </c>
      <c r="B165" s="3461" t="s">
        <v>3464</v>
      </c>
      <c r="C165" s="3461" t="s">
        <v>3882</v>
      </c>
      <c r="D165" s="3461" t="s">
        <v>3883</v>
      </c>
      <c r="E165" s="3461" t="s">
        <v>3554</v>
      </c>
      <c r="F165" s="3461" t="s">
        <v>3884</v>
      </c>
      <c r="G165" s="3461">
        <v>138.12</v>
      </c>
      <c r="H165" s="3461" t="s">
        <v>3861</v>
      </c>
      <c r="I165" s="3461" t="s">
        <v>3885</v>
      </c>
      <c r="J165" s="3462">
        <v>1.5201750000000001</v>
      </c>
      <c r="K165" s="3462">
        <v>92.477339999999998</v>
      </c>
      <c r="L165" s="3462">
        <v>6402</v>
      </c>
      <c r="M165" s="3462">
        <v>14600</v>
      </c>
      <c r="N165" s="3462">
        <v>0</v>
      </c>
      <c r="O165" s="3462">
        <v>102200</v>
      </c>
    </row>
    <row r="166" spans="1:15">
      <c r="A166" s="3461" t="s">
        <v>3463</v>
      </c>
      <c r="B166" s="3461" t="s">
        <v>3464</v>
      </c>
      <c r="C166" s="3461" t="s">
        <v>4892</v>
      </c>
      <c r="D166" s="3461" t="s">
        <v>4722</v>
      </c>
      <c r="E166" s="3461" t="s">
        <v>4893</v>
      </c>
      <c r="F166" s="3461" t="s">
        <v>4894</v>
      </c>
      <c r="G166" s="3461">
        <v>38.049999999999997</v>
      </c>
      <c r="H166" s="3461" t="s">
        <v>3688</v>
      </c>
      <c r="I166" s="3461" t="s">
        <v>4889</v>
      </c>
      <c r="J166" s="3462">
        <v>1.92422</v>
      </c>
      <c r="K166" s="3462">
        <v>58.52825</v>
      </c>
      <c r="L166" s="3462">
        <v>2227</v>
      </c>
      <c r="M166" s="3462">
        <v>0</v>
      </c>
      <c r="N166" s="3462">
        <v>0</v>
      </c>
      <c r="O166" s="3462">
        <v>30000</v>
      </c>
    </row>
    <row r="167" spans="1:15">
      <c r="A167" s="3461" t="s">
        <v>3463</v>
      </c>
      <c r="B167" s="3461" t="s">
        <v>3464</v>
      </c>
      <c r="C167" s="3461" t="s">
        <v>4910</v>
      </c>
      <c r="D167" s="3461" t="s">
        <v>4829</v>
      </c>
      <c r="E167" s="3461" t="s">
        <v>3763</v>
      </c>
      <c r="F167" s="3461" t="s">
        <v>4911</v>
      </c>
      <c r="G167" s="3461">
        <v>42.31</v>
      </c>
      <c r="H167" s="3461" t="s">
        <v>4912</v>
      </c>
      <c r="I167" s="3461" t="s">
        <v>4913</v>
      </c>
      <c r="J167" s="3462">
        <v>1.5991599999999999</v>
      </c>
      <c r="K167" s="3462">
        <v>48.640979999999999</v>
      </c>
      <c r="L167" s="3462">
        <v>2058</v>
      </c>
      <c r="M167" s="3462">
        <v>0</v>
      </c>
      <c r="N167" s="3462">
        <v>0</v>
      </c>
      <c r="O167" s="3462">
        <v>27600</v>
      </c>
    </row>
    <row r="168" spans="1:15">
      <c r="A168" s="3461" t="s">
        <v>3463</v>
      </c>
      <c r="B168" s="3461" t="s">
        <v>3464</v>
      </c>
      <c r="C168" s="3461" t="s">
        <v>4887</v>
      </c>
      <c r="D168" s="3461" t="s">
        <v>4722</v>
      </c>
      <c r="E168" s="3461" t="s">
        <v>3570</v>
      </c>
      <c r="F168" s="3461" t="s">
        <v>4888</v>
      </c>
      <c r="G168" s="3461">
        <v>38.049999999999997</v>
      </c>
      <c r="H168" s="3461" t="s">
        <v>3688</v>
      </c>
      <c r="I168" s="3461" t="s">
        <v>4889</v>
      </c>
      <c r="J168" s="3462">
        <v>1.92422</v>
      </c>
      <c r="K168" s="3462">
        <v>58.52825</v>
      </c>
      <c r="L168" s="3462">
        <v>2227</v>
      </c>
      <c r="M168" s="3462">
        <v>0</v>
      </c>
      <c r="N168" s="3462">
        <v>0</v>
      </c>
      <c r="O168" s="3462">
        <v>30000</v>
      </c>
    </row>
    <row r="169" spans="1:15">
      <c r="A169" s="3461" t="s">
        <v>3463</v>
      </c>
      <c r="B169" s="3461" t="s">
        <v>3464</v>
      </c>
      <c r="C169" s="3461" t="s">
        <v>3930</v>
      </c>
      <c r="D169" s="3461" t="s">
        <v>3878</v>
      </c>
      <c r="E169" s="3461" t="s">
        <v>3931</v>
      </c>
      <c r="F169" s="3461" t="s">
        <v>3932</v>
      </c>
      <c r="G169" s="3461">
        <v>73.5</v>
      </c>
      <c r="H169" s="3461" t="s">
        <v>3933</v>
      </c>
      <c r="I169" s="3461" t="s">
        <v>3934</v>
      </c>
      <c r="J169" s="3462">
        <v>1.2752600000000001</v>
      </c>
      <c r="K169" s="3462">
        <v>38.789119999999997</v>
      </c>
      <c r="L169" s="3462">
        <v>2851</v>
      </c>
      <c r="M169" s="3462">
        <v>6600</v>
      </c>
      <c r="N169" s="3462">
        <v>0</v>
      </c>
      <c r="O169" s="3462">
        <v>46200</v>
      </c>
    </row>
    <row r="170" spans="1:15">
      <c r="A170" s="3461" t="s">
        <v>3463</v>
      </c>
      <c r="B170" s="3461" t="s">
        <v>3464</v>
      </c>
      <c r="C170" s="3461" t="s">
        <v>3841</v>
      </c>
      <c r="D170" s="3461" t="s">
        <v>3842</v>
      </c>
      <c r="E170" s="3461" t="s">
        <v>3776</v>
      </c>
      <c r="F170" s="3461" t="s">
        <v>3843</v>
      </c>
      <c r="G170" s="3461">
        <v>70.23</v>
      </c>
      <c r="H170" s="3461" t="s">
        <v>3844</v>
      </c>
      <c r="I170" s="3461" t="s">
        <v>3845</v>
      </c>
      <c r="J170" s="3462">
        <v>1.4357500000000001</v>
      </c>
      <c r="K170" s="3462">
        <v>43.6708</v>
      </c>
      <c r="L170" s="3462">
        <v>3067</v>
      </c>
      <c r="M170" s="3462">
        <v>7000</v>
      </c>
      <c r="N170" s="3462">
        <v>0</v>
      </c>
      <c r="O170" s="3462">
        <v>49000</v>
      </c>
    </row>
    <row r="171" spans="1:15">
      <c r="A171" s="3461" t="s">
        <v>3463</v>
      </c>
      <c r="B171" s="3461" t="s">
        <v>3464</v>
      </c>
      <c r="C171" s="3461" t="s">
        <v>4801</v>
      </c>
      <c r="D171" s="3461" t="s">
        <v>4735</v>
      </c>
      <c r="E171" s="3461" t="s">
        <v>3582</v>
      </c>
      <c r="F171" s="3461" t="s">
        <v>4802</v>
      </c>
      <c r="G171" s="3461">
        <v>70.23</v>
      </c>
      <c r="H171" s="3461" t="s">
        <v>4803</v>
      </c>
      <c r="I171" s="3461" t="s">
        <v>4804</v>
      </c>
      <c r="J171" s="3462">
        <v>1.4357500000000001</v>
      </c>
      <c r="K171" s="3462">
        <v>43.6708</v>
      </c>
      <c r="L171" s="3462">
        <v>3067</v>
      </c>
      <c r="M171" s="3462">
        <v>0</v>
      </c>
      <c r="N171" s="3462">
        <v>0</v>
      </c>
      <c r="O171" s="3462">
        <v>42000</v>
      </c>
    </row>
    <row r="172" spans="1:15">
      <c r="A172" s="3461" t="s">
        <v>3463</v>
      </c>
      <c r="B172" s="3461" t="s">
        <v>3464</v>
      </c>
      <c r="C172" s="3461" t="s">
        <v>4808</v>
      </c>
      <c r="D172" s="3461" t="s">
        <v>4722</v>
      </c>
      <c r="E172" s="3461" t="s">
        <v>4008</v>
      </c>
      <c r="F172" s="3461" t="s">
        <v>4809</v>
      </c>
      <c r="G172" s="3461">
        <v>38.049999999999997</v>
      </c>
      <c r="H172" s="3461" t="s">
        <v>4743</v>
      </c>
      <c r="I172" s="3461" t="s">
        <v>4807</v>
      </c>
      <c r="J172" s="3462">
        <v>1.92422</v>
      </c>
      <c r="K172" s="3462">
        <v>58.52825</v>
      </c>
      <c r="L172" s="3462">
        <v>2227</v>
      </c>
      <c r="M172" s="3462">
        <v>0</v>
      </c>
      <c r="N172" s="3462">
        <v>0</v>
      </c>
      <c r="O172" s="3462">
        <v>30000</v>
      </c>
    </row>
    <row r="173" spans="1:15">
      <c r="A173" s="3461" t="s">
        <v>3463</v>
      </c>
      <c r="B173" s="3461" t="s">
        <v>3464</v>
      </c>
      <c r="C173" s="3461" t="s">
        <v>4517</v>
      </c>
      <c r="D173" s="3461" t="s">
        <v>4518</v>
      </c>
      <c r="E173" s="3461" t="s">
        <v>4519</v>
      </c>
      <c r="F173" s="3461" t="s">
        <v>4520</v>
      </c>
      <c r="G173" s="3461">
        <v>66.930000000000007</v>
      </c>
      <c r="H173" s="3461" t="s">
        <v>4516</v>
      </c>
      <c r="I173" s="3461" t="s">
        <v>3785</v>
      </c>
      <c r="J173" s="3462">
        <v>1.37785</v>
      </c>
      <c r="K173" s="3462">
        <v>41.909460000000003</v>
      </c>
      <c r="L173" s="3462">
        <v>2805</v>
      </c>
      <c r="M173" s="3462">
        <v>0</v>
      </c>
      <c r="N173" s="3462">
        <v>0</v>
      </c>
      <c r="O173" s="3462">
        <v>33660</v>
      </c>
    </row>
    <row r="174" spans="1:15">
      <c r="A174" s="3461" t="s">
        <v>3463</v>
      </c>
      <c r="B174" s="3461" t="s">
        <v>3464</v>
      </c>
      <c r="C174" s="3461" t="s">
        <v>4558</v>
      </c>
      <c r="D174" s="3461" t="s">
        <v>4522</v>
      </c>
      <c r="E174" s="3461" t="s">
        <v>3554</v>
      </c>
      <c r="F174" s="3461" t="s">
        <v>4559</v>
      </c>
      <c r="G174" s="3461">
        <v>71.19</v>
      </c>
      <c r="H174" s="3461" t="s">
        <v>4544</v>
      </c>
      <c r="I174" s="3461" t="s">
        <v>3488</v>
      </c>
      <c r="J174" s="3462">
        <v>1.41639</v>
      </c>
      <c r="K174" s="3462">
        <v>43.081890000000001</v>
      </c>
      <c r="L174" s="3462">
        <v>3067</v>
      </c>
      <c r="M174" s="3462">
        <v>0</v>
      </c>
      <c r="N174" s="3462">
        <v>0</v>
      </c>
      <c r="O174" s="3462">
        <v>42000</v>
      </c>
    </row>
    <row r="175" spans="1:15">
      <c r="A175" s="3461" t="s">
        <v>3463</v>
      </c>
      <c r="B175" s="3461" t="s">
        <v>3464</v>
      </c>
      <c r="C175" s="3461" t="s">
        <v>4006</v>
      </c>
      <c r="D175" s="3461" t="s">
        <v>4007</v>
      </c>
      <c r="E175" s="3461" t="s">
        <v>4008</v>
      </c>
      <c r="F175" s="3461" t="s">
        <v>4009</v>
      </c>
      <c r="G175" s="3461">
        <v>66.930000000000007</v>
      </c>
      <c r="H175" s="3461" t="s">
        <v>4004</v>
      </c>
      <c r="I175" s="3461" t="s">
        <v>4005</v>
      </c>
      <c r="J175" s="3462">
        <v>1.41001</v>
      </c>
      <c r="K175" s="3462">
        <v>214.43915000000001</v>
      </c>
      <c r="L175" s="3462">
        <v>14903</v>
      </c>
      <c r="M175" s="3462">
        <v>34200</v>
      </c>
      <c r="N175" s="3462">
        <v>0</v>
      </c>
      <c r="O175" s="3462">
        <v>229500</v>
      </c>
    </row>
    <row r="176" spans="1:15">
      <c r="A176" s="3461" t="s">
        <v>3463</v>
      </c>
      <c r="B176" s="3461" t="s">
        <v>3464</v>
      </c>
      <c r="C176" s="3461" t="s">
        <v>4925</v>
      </c>
      <c r="D176" s="3461" t="s">
        <v>4915</v>
      </c>
      <c r="E176" s="3461" t="s">
        <v>4008</v>
      </c>
      <c r="F176" s="3461" t="s">
        <v>4926</v>
      </c>
      <c r="G176" s="3461">
        <v>71.19</v>
      </c>
      <c r="H176" s="3461" t="s">
        <v>3908</v>
      </c>
      <c r="I176" s="3461" t="s">
        <v>4927</v>
      </c>
      <c r="J176" s="3462">
        <v>1.41639</v>
      </c>
      <c r="K176" s="3462">
        <v>43.081890000000001</v>
      </c>
      <c r="L176" s="3462">
        <v>3067</v>
      </c>
      <c r="M176" s="3462">
        <v>0</v>
      </c>
      <c r="N176" s="3462">
        <v>0</v>
      </c>
      <c r="O176" s="3462">
        <v>42000</v>
      </c>
    </row>
    <row r="177" spans="1:15">
      <c r="A177" s="3461" t="s">
        <v>3463</v>
      </c>
      <c r="B177" s="3461" t="s">
        <v>3464</v>
      </c>
      <c r="C177" s="3461" t="s">
        <v>4174</v>
      </c>
      <c r="D177" s="3461" t="s">
        <v>4175</v>
      </c>
      <c r="E177" s="3461" t="s">
        <v>3540</v>
      </c>
      <c r="F177" s="3461" t="s">
        <v>4176</v>
      </c>
      <c r="G177" s="3461">
        <v>38.049999999999997</v>
      </c>
      <c r="H177" s="3461" t="s">
        <v>4153</v>
      </c>
      <c r="I177" s="3461" t="s">
        <v>3476</v>
      </c>
      <c r="J177" s="3462">
        <v>1.5393699999999999</v>
      </c>
      <c r="K177" s="3462">
        <v>46.822600000000001</v>
      </c>
      <c r="L177" s="3462">
        <v>1781.6</v>
      </c>
      <c r="M177" s="3462">
        <v>5000</v>
      </c>
      <c r="N177" s="3462">
        <v>0</v>
      </c>
      <c r="O177" s="3462">
        <v>29655.200000000001</v>
      </c>
    </row>
    <row r="178" spans="1:15">
      <c r="A178" s="3461" t="s">
        <v>3463</v>
      </c>
      <c r="B178" s="3461" t="s">
        <v>3464</v>
      </c>
      <c r="C178" s="3461" t="s">
        <v>4247</v>
      </c>
      <c r="D178" s="3461" t="s">
        <v>4197</v>
      </c>
      <c r="E178" s="3461" t="s">
        <v>3540</v>
      </c>
      <c r="F178" s="3461" t="s">
        <v>4248</v>
      </c>
      <c r="G178" s="3461">
        <v>42.31</v>
      </c>
      <c r="H178" s="3461" t="s">
        <v>4234</v>
      </c>
      <c r="I178" s="3461" t="s">
        <v>4235</v>
      </c>
      <c r="J178" s="3462">
        <v>1.27932</v>
      </c>
      <c r="K178" s="3462">
        <v>38.912790000000001</v>
      </c>
      <c r="L178" s="3462">
        <v>1646.4</v>
      </c>
      <c r="M178" s="3462">
        <v>0</v>
      </c>
      <c r="N178" s="3462">
        <v>0</v>
      </c>
      <c r="O178" s="3462">
        <v>22660.799999999999</v>
      </c>
    </row>
    <row r="179" spans="1:15">
      <c r="A179" s="3461" t="s">
        <v>3463</v>
      </c>
      <c r="B179" s="3461" t="s">
        <v>3464</v>
      </c>
      <c r="C179" s="3461" t="s">
        <v>4477</v>
      </c>
      <c r="D179" s="3461" t="s">
        <v>4478</v>
      </c>
      <c r="E179" s="3461" t="s">
        <v>3479</v>
      </c>
      <c r="F179" s="3461" t="s">
        <v>4479</v>
      </c>
      <c r="G179" s="3461">
        <v>38.049999999999997</v>
      </c>
      <c r="H179" s="3461" t="s">
        <v>4480</v>
      </c>
      <c r="I179" s="3461" t="s">
        <v>4481</v>
      </c>
      <c r="J179" s="3462">
        <v>1.92422</v>
      </c>
      <c r="K179" s="3462">
        <v>58.52825</v>
      </c>
      <c r="L179" s="3462">
        <v>2227</v>
      </c>
      <c r="M179" s="3462">
        <v>0</v>
      </c>
      <c r="N179" s="3462">
        <v>0</v>
      </c>
      <c r="O179" s="3462">
        <v>30000</v>
      </c>
    </row>
    <row r="180" spans="1:15">
      <c r="A180" s="3461" t="s">
        <v>3463</v>
      </c>
      <c r="B180" s="3461" t="s">
        <v>3464</v>
      </c>
      <c r="C180" s="3461" t="s">
        <v>4873</v>
      </c>
      <c r="D180" s="3461" t="s">
        <v>4722</v>
      </c>
      <c r="E180" s="3461" t="s">
        <v>4008</v>
      </c>
      <c r="F180" s="3461" t="s">
        <v>4874</v>
      </c>
      <c r="G180" s="3461">
        <v>66.930000000000007</v>
      </c>
      <c r="H180" s="3461" t="s">
        <v>4875</v>
      </c>
      <c r="I180" s="3461" t="s">
        <v>4876</v>
      </c>
      <c r="J180" s="3462">
        <v>1.4004399999999999</v>
      </c>
      <c r="K180" s="3462">
        <v>42.596739999999997</v>
      </c>
      <c r="L180" s="3462">
        <v>2851</v>
      </c>
      <c r="M180" s="3462">
        <v>0</v>
      </c>
      <c r="N180" s="3462">
        <v>0</v>
      </c>
      <c r="O180" s="3462">
        <v>39600</v>
      </c>
    </row>
    <row r="181" spans="1:15">
      <c r="A181" s="3461" t="s">
        <v>3463</v>
      </c>
      <c r="B181" s="3461" t="s">
        <v>3464</v>
      </c>
      <c r="C181" s="3461" t="s">
        <v>3552</v>
      </c>
      <c r="D181" s="3461" t="s">
        <v>3553</v>
      </c>
      <c r="E181" s="3461" t="s">
        <v>3554</v>
      </c>
      <c r="F181" s="3461" t="s">
        <v>3555</v>
      </c>
      <c r="G181" s="3461">
        <v>146.36000000000001</v>
      </c>
      <c r="H181" s="3461" t="s">
        <v>3556</v>
      </c>
      <c r="I181" s="3461" t="s">
        <v>3557</v>
      </c>
      <c r="J181" s="3462">
        <v>1.3778699999999999</v>
      </c>
      <c r="K181" s="3462">
        <v>83.820719999999994</v>
      </c>
      <c r="L181" s="3462">
        <v>6134</v>
      </c>
      <c r="M181" s="3462">
        <v>2000</v>
      </c>
      <c r="N181" s="3462">
        <v>0</v>
      </c>
      <c r="O181" s="3462">
        <v>254000</v>
      </c>
    </row>
    <row r="182" spans="1:15">
      <c r="A182" s="3461" t="s">
        <v>3463</v>
      </c>
      <c r="B182" s="3461" t="s">
        <v>3464</v>
      </c>
      <c r="C182" s="3461" t="s">
        <v>4698</v>
      </c>
      <c r="D182" s="3461" t="s">
        <v>4606</v>
      </c>
      <c r="E182" s="3461" t="s">
        <v>3612</v>
      </c>
      <c r="F182" s="3461" t="s">
        <v>4699</v>
      </c>
      <c r="G182" s="3461">
        <v>42.31</v>
      </c>
      <c r="H182" s="3461" t="s">
        <v>4700</v>
      </c>
      <c r="I182" s="3461" t="s">
        <v>4701</v>
      </c>
      <c r="J182" s="3462">
        <v>1.5991599999999999</v>
      </c>
      <c r="K182" s="3462">
        <v>48.640979999999999</v>
      </c>
      <c r="L182" s="3462">
        <v>2058</v>
      </c>
      <c r="M182" s="3462">
        <v>0</v>
      </c>
      <c r="N182" s="3462">
        <v>0</v>
      </c>
      <c r="O182" s="3462">
        <v>27600</v>
      </c>
    </row>
    <row r="183" spans="1:15">
      <c r="A183" s="3461" t="s">
        <v>3463</v>
      </c>
      <c r="B183" s="3461" t="s">
        <v>3464</v>
      </c>
      <c r="C183" s="3461" t="s">
        <v>4207</v>
      </c>
      <c r="D183" s="3461" t="s">
        <v>4064</v>
      </c>
      <c r="E183" s="3461" t="s">
        <v>3540</v>
      </c>
      <c r="F183" s="3461" t="s">
        <v>4208</v>
      </c>
      <c r="G183" s="3461">
        <v>38.049999999999997</v>
      </c>
      <c r="H183" s="3461" t="s">
        <v>4202</v>
      </c>
      <c r="I183" s="3461" t="s">
        <v>4203</v>
      </c>
      <c r="J183" s="3462">
        <v>1.5393699999999999</v>
      </c>
      <c r="K183" s="3462">
        <v>46.822600000000001</v>
      </c>
      <c r="L183" s="3462">
        <v>1781.6</v>
      </c>
      <c r="M183" s="3462">
        <v>0</v>
      </c>
      <c r="N183" s="3462">
        <v>0</v>
      </c>
      <c r="O183" s="3462">
        <v>24655.200000000001</v>
      </c>
    </row>
    <row r="184" spans="1:15">
      <c r="A184" s="3461" t="s">
        <v>3463</v>
      </c>
      <c r="B184" s="3461" t="s">
        <v>3464</v>
      </c>
      <c r="C184" s="3461" t="s">
        <v>4613</v>
      </c>
      <c r="D184" s="3461" t="s">
        <v>4433</v>
      </c>
      <c r="E184" s="3461" t="s">
        <v>4614</v>
      </c>
      <c r="F184" s="3461" t="s">
        <v>4615</v>
      </c>
      <c r="G184" s="3461">
        <v>73.5</v>
      </c>
      <c r="H184" s="3461" t="s">
        <v>4606</v>
      </c>
      <c r="I184" s="3461" t="s">
        <v>3805</v>
      </c>
      <c r="J184" s="3462">
        <v>0.88566</v>
      </c>
      <c r="K184" s="3462">
        <v>26.938780000000001</v>
      </c>
      <c r="L184" s="3462">
        <v>1980</v>
      </c>
      <c r="M184" s="3462">
        <v>0</v>
      </c>
      <c r="N184" s="3462">
        <v>0</v>
      </c>
      <c r="O184" s="3462">
        <v>23760</v>
      </c>
    </row>
    <row r="185" spans="1:15">
      <c r="A185" s="3461" t="s">
        <v>3463</v>
      </c>
      <c r="B185" s="3461" t="s">
        <v>3464</v>
      </c>
      <c r="C185" s="3461" t="s">
        <v>4919</v>
      </c>
      <c r="D185" s="3461" t="s">
        <v>4915</v>
      </c>
      <c r="E185" s="3461" t="s">
        <v>3582</v>
      </c>
      <c r="F185" s="3461" t="s">
        <v>4920</v>
      </c>
      <c r="G185" s="3461">
        <v>70.23</v>
      </c>
      <c r="H185" s="3461" t="s">
        <v>3904</v>
      </c>
      <c r="I185" s="3461" t="s">
        <v>3898</v>
      </c>
      <c r="J185" s="3462">
        <v>1.4357500000000001</v>
      </c>
      <c r="K185" s="3462">
        <v>43.6708</v>
      </c>
      <c r="L185" s="3462">
        <v>3067</v>
      </c>
      <c r="M185" s="3462">
        <v>0</v>
      </c>
      <c r="N185" s="3462">
        <v>0</v>
      </c>
      <c r="O185" s="3462">
        <v>42000</v>
      </c>
    </row>
    <row r="186" spans="1:15">
      <c r="A186" s="3461" t="s">
        <v>3463</v>
      </c>
      <c r="B186" s="3461" t="s">
        <v>3464</v>
      </c>
      <c r="C186" s="3461" t="s">
        <v>4220</v>
      </c>
      <c r="D186" s="3461" t="s">
        <v>4064</v>
      </c>
      <c r="E186" s="3461" t="s">
        <v>3639</v>
      </c>
      <c r="F186" s="3461" t="s">
        <v>4221</v>
      </c>
      <c r="G186" s="3461">
        <v>38.049999999999997</v>
      </c>
      <c r="H186" s="3461" t="s">
        <v>4175</v>
      </c>
      <c r="I186" s="3461" t="s">
        <v>4219</v>
      </c>
      <c r="J186" s="3462">
        <v>1.92422</v>
      </c>
      <c r="K186" s="3462">
        <v>58.52825</v>
      </c>
      <c r="L186" s="3462">
        <v>2227</v>
      </c>
      <c r="M186" s="3462">
        <v>0</v>
      </c>
      <c r="N186" s="3462">
        <v>0</v>
      </c>
      <c r="O186" s="3462">
        <v>30000</v>
      </c>
    </row>
    <row r="187" spans="1:15">
      <c r="A187" s="3461" t="s">
        <v>3463</v>
      </c>
      <c r="B187" s="3461" t="s">
        <v>3464</v>
      </c>
      <c r="C187" s="3461" t="s">
        <v>3948</v>
      </c>
      <c r="D187" s="3461" t="s">
        <v>3873</v>
      </c>
      <c r="E187" s="3461" t="s">
        <v>3570</v>
      </c>
      <c r="F187" s="3461" t="s">
        <v>3949</v>
      </c>
      <c r="G187" s="3461">
        <v>38.049999999999997</v>
      </c>
      <c r="H187" s="3461" t="s">
        <v>3942</v>
      </c>
      <c r="I187" s="3461" t="s">
        <v>3943</v>
      </c>
      <c r="J187" s="3462">
        <v>1.92422</v>
      </c>
      <c r="K187" s="3462">
        <v>58.52825</v>
      </c>
      <c r="L187" s="3462">
        <v>2227</v>
      </c>
      <c r="M187" s="3462">
        <v>0</v>
      </c>
      <c r="N187" s="3462">
        <v>0</v>
      </c>
      <c r="O187" s="3462">
        <v>30000</v>
      </c>
    </row>
    <row r="188" spans="1:15">
      <c r="A188" s="3461" t="s">
        <v>3463</v>
      </c>
      <c r="B188" s="3461" t="s">
        <v>3464</v>
      </c>
      <c r="C188" s="3461" t="s">
        <v>4689</v>
      </c>
      <c r="D188" s="3461" t="s">
        <v>4582</v>
      </c>
      <c r="E188" s="3461" t="s">
        <v>3554</v>
      </c>
      <c r="F188" s="3461" t="s">
        <v>4690</v>
      </c>
      <c r="G188" s="3461">
        <v>66.930000000000007</v>
      </c>
      <c r="H188" s="3461" t="s">
        <v>4687</v>
      </c>
      <c r="I188" s="3461" t="s">
        <v>4688</v>
      </c>
      <c r="J188" s="3462">
        <v>1.4004399999999999</v>
      </c>
      <c r="K188" s="3462">
        <v>42.596739999999997</v>
      </c>
      <c r="L188" s="3462">
        <v>2851</v>
      </c>
      <c r="M188" s="3462">
        <v>0</v>
      </c>
      <c r="N188" s="3462">
        <v>0</v>
      </c>
      <c r="O188" s="3462">
        <v>39600</v>
      </c>
    </row>
    <row r="189" spans="1:15">
      <c r="A189" s="3461" t="s">
        <v>3463</v>
      </c>
      <c r="B189" s="3461" t="s">
        <v>3464</v>
      </c>
      <c r="C189" s="3461" t="s">
        <v>3999</v>
      </c>
      <c r="D189" s="3461" t="s">
        <v>3991</v>
      </c>
      <c r="E189" s="3461" t="s">
        <v>3911</v>
      </c>
      <c r="F189" s="3461" t="s">
        <v>4000</v>
      </c>
      <c r="G189" s="3461">
        <v>71.19</v>
      </c>
      <c r="H189" s="3461" t="s">
        <v>3981</v>
      </c>
      <c r="I189" s="3461" t="s">
        <v>3563</v>
      </c>
      <c r="J189" s="3462">
        <v>1.41639</v>
      </c>
      <c r="K189" s="3462">
        <v>43.081890000000001</v>
      </c>
      <c r="L189" s="3462">
        <v>3067</v>
      </c>
      <c r="M189" s="3462">
        <v>0</v>
      </c>
      <c r="N189" s="3462">
        <v>0</v>
      </c>
      <c r="O189" s="3462">
        <v>42000</v>
      </c>
    </row>
    <row r="190" spans="1:15">
      <c r="A190" s="3461" t="s">
        <v>3463</v>
      </c>
      <c r="B190" s="3461" t="s">
        <v>3464</v>
      </c>
      <c r="C190" s="3461" t="s">
        <v>4466</v>
      </c>
      <c r="D190" s="3461" t="s">
        <v>4445</v>
      </c>
      <c r="E190" s="3461" t="s">
        <v>4467</v>
      </c>
      <c r="F190" s="3461" t="s">
        <v>4468</v>
      </c>
      <c r="G190" s="3461">
        <v>42.31</v>
      </c>
      <c r="H190" s="3461" t="s">
        <v>4469</v>
      </c>
      <c r="I190" s="3461" t="s">
        <v>4470</v>
      </c>
      <c r="J190" s="3462">
        <v>1.51912</v>
      </c>
      <c r="K190" s="3462">
        <v>46.206569999999999</v>
      </c>
      <c r="L190" s="3462">
        <v>1955</v>
      </c>
      <c r="M190" s="3462">
        <v>1955</v>
      </c>
      <c r="N190" s="3462">
        <v>0</v>
      </c>
      <c r="O190" s="3462">
        <v>25415</v>
      </c>
    </row>
    <row r="191" spans="1:15">
      <c r="A191" s="3461" t="s">
        <v>3463</v>
      </c>
      <c r="B191" s="3461" t="s">
        <v>3464</v>
      </c>
      <c r="C191" s="3461" t="s">
        <v>4596</v>
      </c>
      <c r="D191" s="3461" t="s">
        <v>4580</v>
      </c>
      <c r="E191" s="3461" t="s">
        <v>3570</v>
      </c>
      <c r="F191" s="3461" t="s">
        <v>4597</v>
      </c>
      <c r="G191" s="3461">
        <v>38.049999999999997</v>
      </c>
      <c r="H191" s="3461" t="s">
        <v>4598</v>
      </c>
      <c r="I191" s="3461" t="s">
        <v>4599</v>
      </c>
      <c r="J191" s="3462">
        <v>1.92422</v>
      </c>
      <c r="K191" s="3462">
        <v>58.52825</v>
      </c>
      <c r="L191" s="3462">
        <v>2227</v>
      </c>
      <c r="M191" s="3462">
        <v>0</v>
      </c>
      <c r="N191" s="3462">
        <v>0</v>
      </c>
      <c r="O191" s="3462">
        <v>30000</v>
      </c>
    </row>
    <row r="192" spans="1:15">
      <c r="A192" s="3461" t="s">
        <v>3463</v>
      </c>
      <c r="B192" s="3461" t="s">
        <v>3464</v>
      </c>
      <c r="C192" s="3461" t="s">
        <v>4552</v>
      </c>
      <c r="D192" s="3461" t="s">
        <v>4522</v>
      </c>
      <c r="E192" s="3461" t="s">
        <v>4553</v>
      </c>
      <c r="F192" s="3461" t="s">
        <v>4554</v>
      </c>
      <c r="G192" s="3461">
        <v>42.31</v>
      </c>
      <c r="H192" s="3461" t="s">
        <v>4544</v>
      </c>
      <c r="I192" s="3461" t="s">
        <v>3488</v>
      </c>
      <c r="J192" s="3462">
        <v>1.15002</v>
      </c>
      <c r="K192" s="3462">
        <v>34.979909999999997</v>
      </c>
      <c r="L192" s="3462">
        <v>1480</v>
      </c>
      <c r="M192" s="3462">
        <v>0</v>
      </c>
      <c r="N192" s="3462">
        <v>0</v>
      </c>
      <c r="O192" s="3462">
        <v>17760</v>
      </c>
    </row>
    <row r="193" spans="1:15">
      <c r="A193" s="3461" t="s">
        <v>3463</v>
      </c>
      <c r="B193" s="3461" t="s">
        <v>3464</v>
      </c>
      <c r="C193" s="3461" t="s">
        <v>4570</v>
      </c>
      <c r="D193" s="3461" t="s">
        <v>4491</v>
      </c>
      <c r="E193" s="3461" t="s">
        <v>3782</v>
      </c>
      <c r="F193" s="3461" t="s">
        <v>4571</v>
      </c>
      <c r="G193" s="3461">
        <v>71.19</v>
      </c>
      <c r="H193" s="3461" t="s">
        <v>4565</v>
      </c>
      <c r="I193" s="3461" t="s">
        <v>4566</v>
      </c>
      <c r="J193" s="3462">
        <v>1.41639</v>
      </c>
      <c r="K193" s="3462">
        <v>43.081890000000001</v>
      </c>
      <c r="L193" s="3462">
        <v>3067</v>
      </c>
      <c r="M193" s="3462">
        <v>0</v>
      </c>
      <c r="N193" s="3462">
        <v>0</v>
      </c>
      <c r="O193" s="3462">
        <v>42000</v>
      </c>
    </row>
    <row r="194" spans="1:15">
      <c r="A194" s="3461" t="s">
        <v>3463</v>
      </c>
      <c r="B194" s="3461" t="s">
        <v>3464</v>
      </c>
      <c r="C194" s="3461" t="s">
        <v>4399</v>
      </c>
      <c r="D194" s="3461" t="s">
        <v>4275</v>
      </c>
      <c r="E194" s="3461" t="s">
        <v>4400</v>
      </c>
      <c r="F194" s="3461" t="s">
        <v>4401</v>
      </c>
      <c r="G194" s="3461">
        <v>66.930000000000007</v>
      </c>
      <c r="H194" s="3461" t="s">
        <v>4309</v>
      </c>
      <c r="I194" s="3461" t="s">
        <v>4402</v>
      </c>
      <c r="J194" s="3462">
        <v>1.1199600000000001</v>
      </c>
      <c r="K194" s="3462">
        <v>34.065440000000002</v>
      </c>
      <c r="L194" s="3462">
        <v>2280</v>
      </c>
      <c r="M194" s="3462">
        <v>0</v>
      </c>
      <c r="N194" s="3462">
        <v>0</v>
      </c>
      <c r="O194" s="3462">
        <v>27360</v>
      </c>
    </row>
    <row r="195" spans="1:15">
      <c r="A195" s="3461" t="s">
        <v>3463</v>
      </c>
      <c r="B195" s="3461" t="s">
        <v>3464</v>
      </c>
      <c r="C195" s="3461" t="s">
        <v>4724</v>
      </c>
      <c r="D195" s="3461" t="s">
        <v>4725</v>
      </c>
      <c r="E195" s="3461" t="s">
        <v>4726</v>
      </c>
      <c r="F195" s="3461" t="s">
        <v>4727</v>
      </c>
      <c r="G195" s="3461">
        <v>66.930000000000007</v>
      </c>
      <c r="H195" s="3461" t="s">
        <v>4718</v>
      </c>
      <c r="I195" s="3461" t="s">
        <v>3822</v>
      </c>
      <c r="J195" s="3462">
        <v>1.64605</v>
      </c>
      <c r="K195" s="3462">
        <v>50.067230000000002</v>
      </c>
      <c r="L195" s="3462">
        <v>3351</v>
      </c>
      <c r="M195" s="3462">
        <v>0</v>
      </c>
      <c r="N195" s="3462">
        <v>0</v>
      </c>
      <c r="O195" s="3462">
        <v>45600</v>
      </c>
    </row>
    <row r="196" spans="1:15">
      <c r="A196" s="3461" t="s">
        <v>3463</v>
      </c>
      <c r="B196" s="3461" t="s">
        <v>3464</v>
      </c>
      <c r="C196" s="3461" t="s">
        <v>3850</v>
      </c>
      <c r="D196" s="3461" t="s">
        <v>3851</v>
      </c>
      <c r="E196" s="3461" t="s">
        <v>3526</v>
      </c>
      <c r="F196" s="3461" t="s">
        <v>3852</v>
      </c>
      <c r="G196" s="3461">
        <v>38.049999999999997</v>
      </c>
      <c r="H196" s="3461" t="s">
        <v>3853</v>
      </c>
      <c r="I196" s="3461" t="s">
        <v>3688</v>
      </c>
      <c r="J196" s="3462">
        <v>1.92422</v>
      </c>
      <c r="K196" s="3462">
        <v>58.52825</v>
      </c>
      <c r="L196" s="3462">
        <v>2227</v>
      </c>
      <c r="M196" s="3462">
        <v>0</v>
      </c>
      <c r="N196" s="3462">
        <v>0</v>
      </c>
      <c r="O196" s="3462">
        <v>30000</v>
      </c>
    </row>
    <row r="197" spans="1:15">
      <c r="A197" s="3461" t="s">
        <v>3463</v>
      </c>
      <c r="B197" s="3461" t="s">
        <v>3464</v>
      </c>
      <c r="C197" s="3461" t="s">
        <v>4650</v>
      </c>
      <c r="D197" s="3461" t="s">
        <v>4598</v>
      </c>
      <c r="E197" s="3461" t="s">
        <v>3668</v>
      </c>
      <c r="F197" s="3461" t="s">
        <v>4651</v>
      </c>
      <c r="G197" s="3461">
        <v>42.31</v>
      </c>
      <c r="H197" s="3461" t="s">
        <v>4652</v>
      </c>
      <c r="I197" s="3461" t="s">
        <v>4653</v>
      </c>
      <c r="J197" s="3462">
        <v>1.9876799999999999</v>
      </c>
      <c r="K197" s="3462">
        <v>60.45852</v>
      </c>
      <c r="L197" s="3462">
        <v>2558</v>
      </c>
      <c r="M197" s="3462">
        <v>0</v>
      </c>
      <c r="N197" s="3462">
        <v>0</v>
      </c>
      <c r="O197" s="3462">
        <v>33600</v>
      </c>
    </row>
    <row r="198" spans="1:15">
      <c r="A198" s="3461" t="s">
        <v>3463</v>
      </c>
      <c r="B198" s="3461" t="s">
        <v>3464</v>
      </c>
      <c r="C198" s="3461" t="s">
        <v>3905</v>
      </c>
      <c r="D198" s="3461" t="s">
        <v>3903</v>
      </c>
      <c r="E198" s="3461" t="s">
        <v>3540</v>
      </c>
      <c r="F198" s="3461" t="s">
        <v>3906</v>
      </c>
      <c r="G198" s="3461">
        <v>38.049999999999997</v>
      </c>
      <c r="H198" s="3461" t="s">
        <v>3907</v>
      </c>
      <c r="I198" s="3461" t="s">
        <v>3908</v>
      </c>
      <c r="J198" s="3462">
        <v>1.5393699999999999</v>
      </c>
      <c r="K198" s="3462">
        <v>46.822600000000001</v>
      </c>
      <c r="L198" s="3462">
        <v>1781.6</v>
      </c>
      <c r="M198" s="3462">
        <v>5000</v>
      </c>
      <c r="N198" s="3462">
        <v>0</v>
      </c>
      <c r="O198" s="3462">
        <v>29655.200000000001</v>
      </c>
    </row>
    <row r="199" spans="1:15">
      <c r="A199" s="3461" t="s">
        <v>3463</v>
      </c>
      <c r="B199" s="3461" t="s">
        <v>3464</v>
      </c>
      <c r="C199" s="3461" t="s">
        <v>4865</v>
      </c>
      <c r="D199" s="3461" t="s">
        <v>4829</v>
      </c>
      <c r="E199" s="3461" t="s">
        <v>4866</v>
      </c>
      <c r="F199" s="3461" t="s">
        <v>4867</v>
      </c>
      <c r="G199" s="3461">
        <v>73.5</v>
      </c>
      <c r="H199" s="3461" t="s">
        <v>4829</v>
      </c>
      <c r="I199" s="3461" t="s">
        <v>3470</v>
      </c>
      <c r="J199" s="3462">
        <v>0.93039000000000005</v>
      </c>
      <c r="K199" s="3462">
        <v>28.299320000000002</v>
      </c>
      <c r="L199" s="3462">
        <v>2080</v>
      </c>
      <c r="M199" s="3462">
        <v>0</v>
      </c>
      <c r="N199" s="3462">
        <v>0</v>
      </c>
      <c r="O199" s="3462">
        <v>24960</v>
      </c>
    </row>
    <row r="200" spans="1:15">
      <c r="A200" s="3461" t="s">
        <v>3463</v>
      </c>
      <c r="B200" s="3461" t="s">
        <v>3464</v>
      </c>
      <c r="C200" s="3461" t="s">
        <v>4914</v>
      </c>
      <c r="D200" s="3461" t="s">
        <v>4915</v>
      </c>
      <c r="E200" s="3461" t="s">
        <v>3582</v>
      </c>
      <c r="F200" s="3461" t="s">
        <v>4916</v>
      </c>
      <c r="G200" s="3461">
        <v>140.46</v>
      </c>
      <c r="H200" s="3461" t="s">
        <v>4917</v>
      </c>
      <c r="I200" s="3461" t="s">
        <v>4918</v>
      </c>
      <c r="J200" s="3462">
        <v>1.44</v>
      </c>
      <c r="K200" s="3462">
        <v>87.36</v>
      </c>
      <c r="L200" s="3462">
        <v>6134</v>
      </c>
      <c r="M200" s="3462">
        <v>0</v>
      </c>
      <c r="N200" s="3462">
        <v>0</v>
      </c>
      <c r="O200" s="3462">
        <v>84000</v>
      </c>
    </row>
    <row r="201" spans="1:15">
      <c r="A201" s="3461" t="s">
        <v>3463</v>
      </c>
      <c r="B201" s="3461" t="s">
        <v>3464</v>
      </c>
      <c r="C201" s="3461" t="s">
        <v>4792</v>
      </c>
      <c r="D201" s="3461" t="s">
        <v>4735</v>
      </c>
      <c r="E201" s="3461" t="s">
        <v>4793</v>
      </c>
      <c r="F201" s="3461" t="s">
        <v>4794</v>
      </c>
      <c r="G201" s="3461">
        <v>70.23</v>
      </c>
      <c r="H201" s="3461" t="s">
        <v>4795</v>
      </c>
      <c r="I201" s="3461" t="s">
        <v>4796</v>
      </c>
      <c r="J201" s="3462">
        <v>1.4357500000000001</v>
      </c>
      <c r="K201" s="3462">
        <v>43.6708</v>
      </c>
      <c r="L201" s="3462">
        <v>3067</v>
      </c>
      <c r="M201" s="3462">
        <v>0</v>
      </c>
      <c r="N201" s="3462">
        <v>0</v>
      </c>
      <c r="O201" s="3462">
        <v>42000</v>
      </c>
    </row>
    <row r="202" spans="1:15">
      <c r="A202" s="3461" t="s">
        <v>3463</v>
      </c>
      <c r="B202" s="3461" t="s">
        <v>3464</v>
      </c>
      <c r="C202" s="3461" t="s">
        <v>4567</v>
      </c>
      <c r="D202" s="3461" t="s">
        <v>4568</v>
      </c>
      <c r="E202" s="3461" t="s">
        <v>4008</v>
      </c>
      <c r="F202" s="3461" t="s">
        <v>4569</v>
      </c>
      <c r="G202" s="3461">
        <v>45.4</v>
      </c>
      <c r="H202" s="3461" t="s">
        <v>4565</v>
      </c>
      <c r="I202" s="3461" t="s">
        <v>4566</v>
      </c>
      <c r="J202" s="3462">
        <v>1.49031</v>
      </c>
      <c r="K202" s="3462">
        <v>45.330399999999997</v>
      </c>
      <c r="L202" s="3462">
        <v>2058</v>
      </c>
      <c r="M202" s="3462">
        <v>4600</v>
      </c>
      <c r="N202" s="3462">
        <v>0</v>
      </c>
      <c r="O202" s="3462">
        <v>32200</v>
      </c>
    </row>
    <row r="203" spans="1:15">
      <c r="A203" s="3461" t="s">
        <v>3463</v>
      </c>
      <c r="B203" s="3461" t="s">
        <v>3464</v>
      </c>
      <c r="C203" s="3461" t="s">
        <v>3877</v>
      </c>
      <c r="D203" s="3461" t="s">
        <v>3878</v>
      </c>
      <c r="E203" s="3461" t="s">
        <v>3491</v>
      </c>
      <c r="F203" s="3461" t="s">
        <v>3879</v>
      </c>
      <c r="G203" s="3461">
        <v>38.049999999999997</v>
      </c>
      <c r="H203" s="3461" t="s">
        <v>3880</v>
      </c>
      <c r="I203" s="3461" t="s">
        <v>3881</v>
      </c>
      <c r="J203" s="3462">
        <v>1.92422</v>
      </c>
      <c r="K203" s="3462">
        <v>58.52825</v>
      </c>
      <c r="L203" s="3462">
        <v>2227</v>
      </c>
      <c r="M203" s="3462">
        <v>0</v>
      </c>
      <c r="N203" s="3462">
        <v>0</v>
      </c>
      <c r="O203" s="3462">
        <v>30000</v>
      </c>
    </row>
    <row r="204" spans="1:15">
      <c r="A204" s="3461" t="s">
        <v>3463</v>
      </c>
      <c r="B204" s="3461" t="s">
        <v>3464</v>
      </c>
      <c r="C204" s="3461" t="s">
        <v>4502</v>
      </c>
      <c r="D204" s="3461" t="s">
        <v>4503</v>
      </c>
      <c r="E204" s="3461" t="s">
        <v>4008</v>
      </c>
      <c r="F204" s="3461" t="s">
        <v>4504</v>
      </c>
      <c r="G204" s="3461">
        <v>38.049999999999997</v>
      </c>
      <c r="H204" s="3461" t="s">
        <v>4503</v>
      </c>
      <c r="I204" s="3461" t="s">
        <v>4505</v>
      </c>
      <c r="J204" s="3462">
        <v>1.92422</v>
      </c>
      <c r="K204" s="3462">
        <v>58.52825</v>
      </c>
      <c r="L204" s="3462">
        <v>2227</v>
      </c>
      <c r="M204" s="3462">
        <v>5000</v>
      </c>
      <c r="N204" s="3462">
        <v>0</v>
      </c>
      <c r="O204" s="3462">
        <v>35000</v>
      </c>
    </row>
    <row r="205" spans="1:15">
      <c r="A205" s="3461" t="s">
        <v>3463</v>
      </c>
      <c r="B205" s="3461" t="s">
        <v>3464</v>
      </c>
      <c r="C205" s="3461" t="s">
        <v>4432</v>
      </c>
      <c r="D205" s="3461" t="s">
        <v>4433</v>
      </c>
      <c r="E205" s="3461" t="s">
        <v>4434</v>
      </c>
      <c r="F205" s="3461" t="s">
        <v>4435</v>
      </c>
      <c r="G205" s="3461">
        <v>66.930000000000007</v>
      </c>
      <c r="H205" s="3461" t="s">
        <v>4436</v>
      </c>
      <c r="I205" s="3461" t="s">
        <v>4437</v>
      </c>
      <c r="J205" s="3462">
        <v>1.1299999999999999</v>
      </c>
      <c r="K205" s="3462">
        <v>34.369999999999997</v>
      </c>
      <c r="L205" s="3462">
        <v>2300</v>
      </c>
      <c r="M205" s="3462">
        <v>0</v>
      </c>
      <c r="N205" s="3462">
        <v>0</v>
      </c>
      <c r="O205" s="3462">
        <v>27600</v>
      </c>
    </row>
    <row r="206" spans="1:15">
      <c r="A206" s="3461" t="s">
        <v>3463</v>
      </c>
      <c r="B206" s="3461" t="s">
        <v>3464</v>
      </c>
      <c r="C206" s="3461" t="s">
        <v>4769</v>
      </c>
      <c r="D206" s="3461" t="s">
        <v>4647</v>
      </c>
      <c r="E206" s="3461" t="s">
        <v>4770</v>
      </c>
      <c r="F206" s="3461" t="s">
        <v>4771</v>
      </c>
      <c r="G206" s="3461">
        <v>71.19</v>
      </c>
      <c r="H206" s="3461" t="s">
        <v>4772</v>
      </c>
      <c r="I206" s="3461" t="s">
        <v>4773</v>
      </c>
      <c r="J206" s="3462">
        <v>1.41639</v>
      </c>
      <c r="K206" s="3462">
        <v>43.081890000000001</v>
      </c>
      <c r="L206" s="3462">
        <v>3067</v>
      </c>
      <c r="M206" s="3462">
        <v>0</v>
      </c>
      <c r="N206" s="3462">
        <v>0</v>
      </c>
      <c r="O206" s="3462">
        <v>42000</v>
      </c>
    </row>
    <row r="207" spans="1:15">
      <c r="A207" s="3461" t="s">
        <v>3463</v>
      </c>
      <c r="B207" s="3461" t="s">
        <v>3464</v>
      </c>
      <c r="C207" s="3461" t="s">
        <v>4535</v>
      </c>
      <c r="D207" s="3461" t="s">
        <v>4424</v>
      </c>
      <c r="E207" s="3461" t="s">
        <v>3570</v>
      </c>
      <c r="F207" s="3461" t="s">
        <v>4536</v>
      </c>
      <c r="G207" s="3461">
        <v>66.930000000000007</v>
      </c>
      <c r="H207" s="3461" t="s">
        <v>4533</v>
      </c>
      <c r="I207" s="3461" t="s">
        <v>4534</v>
      </c>
      <c r="J207" s="3462">
        <v>1.4004399999999999</v>
      </c>
      <c r="K207" s="3462">
        <v>42.596739999999997</v>
      </c>
      <c r="L207" s="3462">
        <v>2851</v>
      </c>
      <c r="M207" s="3462">
        <v>0</v>
      </c>
      <c r="N207" s="3462">
        <v>0</v>
      </c>
      <c r="O207" s="3462">
        <v>39600</v>
      </c>
    </row>
    <row r="208" spans="1:15">
      <c r="A208" s="3461" t="s">
        <v>3463</v>
      </c>
      <c r="B208" s="3461" t="s">
        <v>3464</v>
      </c>
      <c r="C208" s="3461" t="s">
        <v>4787</v>
      </c>
      <c r="D208" s="3461" t="s">
        <v>4788</v>
      </c>
      <c r="E208" s="3461" t="s">
        <v>3782</v>
      </c>
      <c r="F208" s="3461" t="s">
        <v>4789</v>
      </c>
      <c r="G208" s="3461">
        <v>71.19</v>
      </c>
      <c r="H208" s="3461" t="s">
        <v>4790</v>
      </c>
      <c r="I208" s="3461" t="s">
        <v>4791</v>
      </c>
      <c r="J208" s="3462">
        <v>1.41639</v>
      </c>
      <c r="K208" s="3462">
        <v>43.081890000000001</v>
      </c>
      <c r="L208" s="3462">
        <v>3067</v>
      </c>
      <c r="M208" s="3462">
        <v>0</v>
      </c>
      <c r="N208" s="3462">
        <v>0</v>
      </c>
      <c r="O208" s="3462">
        <v>42000</v>
      </c>
    </row>
    <row r="209" spans="1:15">
      <c r="A209" s="3461" t="s">
        <v>3463</v>
      </c>
      <c r="B209" s="3461" t="s">
        <v>3464</v>
      </c>
      <c r="C209" s="3461" t="s">
        <v>4196</v>
      </c>
      <c r="D209" s="3461" t="s">
        <v>4197</v>
      </c>
      <c r="E209" s="3461" t="s">
        <v>4198</v>
      </c>
      <c r="F209" s="3461" t="s">
        <v>4199</v>
      </c>
      <c r="G209" s="3461">
        <v>42.31</v>
      </c>
      <c r="H209" s="3461" t="s">
        <v>4194</v>
      </c>
      <c r="I209" s="3461" t="s">
        <v>4195</v>
      </c>
      <c r="J209" s="3462">
        <v>1.0723199999999999</v>
      </c>
      <c r="K209" s="3462">
        <v>32.616399999999999</v>
      </c>
      <c r="L209" s="3462">
        <v>1380</v>
      </c>
      <c r="M209" s="3462">
        <v>0</v>
      </c>
      <c r="N209" s="3462">
        <v>0</v>
      </c>
      <c r="O209" s="3462">
        <v>16560</v>
      </c>
    </row>
    <row r="210" spans="1:15">
      <c r="A210" s="3461" t="s">
        <v>3463</v>
      </c>
      <c r="B210" s="3461" t="s">
        <v>3464</v>
      </c>
      <c r="C210" s="3461" t="s">
        <v>4584</v>
      </c>
      <c r="D210" s="3461" t="s">
        <v>4582</v>
      </c>
      <c r="E210" s="3461" t="s">
        <v>3743</v>
      </c>
      <c r="F210" s="3461" t="s">
        <v>4585</v>
      </c>
      <c r="G210" s="3461">
        <v>42.31</v>
      </c>
      <c r="H210" s="3461" t="s">
        <v>4586</v>
      </c>
      <c r="I210" s="3461" t="s">
        <v>4587</v>
      </c>
      <c r="J210" s="3462">
        <v>1.5991599999999999</v>
      </c>
      <c r="K210" s="3462">
        <v>48.640979999999999</v>
      </c>
      <c r="L210" s="3462">
        <v>2058</v>
      </c>
      <c r="M210" s="3462">
        <v>4600</v>
      </c>
      <c r="N210" s="3462">
        <v>0</v>
      </c>
      <c r="O210" s="3462">
        <v>32200</v>
      </c>
    </row>
    <row r="211" spans="1:15">
      <c r="A211" s="3461" t="s">
        <v>3463</v>
      </c>
      <c r="B211" s="3461" t="s">
        <v>3464</v>
      </c>
      <c r="C211" s="3461" t="s">
        <v>4563</v>
      </c>
      <c r="D211" s="3461" t="s">
        <v>4491</v>
      </c>
      <c r="E211" s="3461" t="s">
        <v>3782</v>
      </c>
      <c r="F211" s="3461" t="s">
        <v>4564</v>
      </c>
      <c r="G211" s="3461">
        <v>38.049999999999997</v>
      </c>
      <c r="H211" s="3461" t="s">
        <v>4565</v>
      </c>
      <c r="I211" s="3461" t="s">
        <v>4566</v>
      </c>
      <c r="J211" s="3462">
        <v>1.92422</v>
      </c>
      <c r="K211" s="3462">
        <v>58.52825</v>
      </c>
      <c r="L211" s="3462">
        <v>2227</v>
      </c>
      <c r="M211" s="3462">
        <v>0</v>
      </c>
      <c r="N211" s="3462">
        <v>0</v>
      </c>
      <c r="O211" s="3462">
        <v>30000</v>
      </c>
    </row>
    <row r="212" spans="1:15">
      <c r="A212" s="3461" t="s">
        <v>3463</v>
      </c>
      <c r="B212" s="3461" t="s">
        <v>3464</v>
      </c>
      <c r="C212" s="3461" t="s">
        <v>4572</v>
      </c>
      <c r="D212" s="3461" t="s">
        <v>4491</v>
      </c>
      <c r="E212" s="3461" t="s">
        <v>3782</v>
      </c>
      <c r="F212" s="3461" t="s">
        <v>4573</v>
      </c>
      <c r="G212" s="3461">
        <v>71.19</v>
      </c>
      <c r="H212" s="3461" t="s">
        <v>4565</v>
      </c>
      <c r="I212" s="3461" t="s">
        <v>4566</v>
      </c>
      <c r="J212" s="3462">
        <v>1.41639</v>
      </c>
      <c r="K212" s="3462">
        <v>43.081890000000001</v>
      </c>
      <c r="L212" s="3462">
        <v>3067</v>
      </c>
      <c r="M212" s="3462">
        <v>0</v>
      </c>
      <c r="N212" s="3462">
        <v>0</v>
      </c>
      <c r="O212" s="3462">
        <v>42000</v>
      </c>
    </row>
    <row r="213" spans="1:15">
      <c r="A213" s="3461" t="s">
        <v>3463</v>
      </c>
      <c r="B213" s="3461" t="s">
        <v>3464</v>
      </c>
      <c r="C213" s="3461" t="s">
        <v>4023</v>
      </c>
      <c r="D213" s="3461" t="s">
        <v>3942</v>
      </c>
      <c r="E213" s="3461" t="s">
        <v>4024</v>
      </c>
      <c r="F213" s="3461" t="s">
        <v>4025</v>
      </c>
      <c r="G213" s="3461">
        <v>66.930000000000007</v>
      </c>
      <c r="H213" s="3461" t="s">
        <v>4021</v>
      </c>
      <c r="I213" s="3461" t="s">
        <v>4022</v>
      </c>
      <c r="J213" s="3462">
        <v>1.02172</v>
      </c>
      <c r="K213" s="3462">
        <v>31.07724</v>
      </c>
      <c r="L213" s="3462">
        <v>2080</v>
      </c>
      <c r="M213" s="3462">
        <v>0</v>
      </c>
      <c r="N213" s="3462">
        <v>0</v>
      </c>
      <c r="O213" s="3462">
        <v>24960</v>
      </c>
    </row>
    <row r="214" spans="1:15">
      <c r="A214" s="3461" t="s">
        <v>3463</v>
      </c>
      <c r="B214" s="3461" t="s">
        <v>3464</v>
      </c>
      <c r="C214" s="3461" t="s">
        <v>4661</v>
      </c>
      <c r="D214" s="3461" t="s">
        <v>4602</v>
      </c>
      <c r="E214" s="3461" t="s">
        <v>3570</v>
      </c>
      <c r="F214" s="3461" t="s">
        <v>4662</v>
      </c>
      <c r="G214" s="3461">
        <v>71.19</v>
      </c>
      <c r="H214" s="3461" t="s">
        <v>4663</v>
      </c>
      <c r="I214" s="3461" t="s">
        <v>4664</v>
      </c>
      <c r="J214" s="3462">
        <v>1.41639</v>
      </c>
      <c r="K214" s="3462">
        <v>43.081890000000001</v>
      </c>
      <c r="L214" s="3462">
        <v>3067</v>
      </c>
      <c r="M214" s="3462">
        <v>0</v>
      </c>
      <c r="N214" s="3462">
        <v>0</v>
      </c>
      <c r="O214" s="3462">
        <v>42000</v>
      </c>
    </row>
    <row r="215" spans="1:15">
      <c r="A215" s="3461" t="s">
        <v>3463</v>
      </c>
      <c r="B215" s="3461" t="s">
        <v>3464</v>
      </c>
      <c r="C215" s="3461" t="s">
        <v>4161</v>
      </c>
      <c r="D215" s="3461" t="s">
        <v>4089</v>
      </c>
      <c r="E215" s="3461" t="s">
        <v>3479</v>
      </c>
      <c r="F215" s="3461" t="s">
        <v>4162</v>
      </c>
      <c r="G215" s="3461">
        <v>38.049999999999997</v>
      </c>
      <c r="H215" s="3461" t="s">
        <v>4153</v>
      </c>
      <c r="I215" s="3461" t="s">
        <v>3476</v>
      </c>
      <c r="J215" s="3462">
        <v>1.92422</v>
      </c>
      <c r="K215" s="3462">
        <v>58.52825</v>
      </c>
      <c r="L215" s="3462">
        <v>2227</v>
      </c>
      <c r="M215" s="3462">
        <v>0</v>
      </c>
      <c r="N215" s="3462">
        <v>0</v>
      </c>
      <c r="O215" s="3462">
        <v>30000</v>
      </c>
    </row>
    <row r="216" spans="1:15">
      <c r="A216" s="3461" t="s">
        <v>3463</v>
      </c>
      <c r="B216" s="3461" t="s">
        <v>3464</v>
      </c>
      <c r="C216" s="3461" t="s">
        <v>4232</v>
      </c>
      <c r="D216" s="3461" t="s">
        <v>4197</v>
      </c>
      <c r="E216" s="3461" t="s">
        <v>3938</v>
      </c>
      <c r="F216" s="3461" t="s">
        <v>4233</v>
      </c>
      <c r="G216" s="3461">
        <v>42.31</v>
      </c>
      <c r="H216" s="3461" t="s">
        <v>4234</v>
      </c>
      <c r="I216" s="3461" t="s">
        <v>4235</v>
      </c>
      <c r="J216" s="3462">
        <v>1.6</v>
      </c>
      <c r="K216" s="3462">
        <v>48.65</v>
      </c>
      <c r="L216" s="3462">
        <v>2058</v>
      </c>
      <c r="M216" s="3462">
        <v>0</v>
      </c>
      <c r="N216" s="3462">
        <v>0</v>
      </c>
      <c r="O216" s="3462">
        <v>27600</v>
      </c>
    </row>
    <row r="217" spans="1:15">
      <c r="A217" s="3461" t="s">
        <v>3463</v>
      </c>
      <c r="B217" s="3461" t="s">
        <v>3464</v>
      </c>
      <c r="C217" s="3461" t="s">
        <v>4337</v>
      </c>
      <c r="D217" s="3461" t="s">
        <v>4234</v>
      </c>
      <c r="E217" s="3461" t="s">
        <v>3600</v>
      </c>
      <c r="F217" s="3461" t="s">
        <v>4338</v>
      </c>
      <c r="G217" s="3461">
        <v>38.049999999999997</v>
      </c>
      <c r="H217" s="3461" t="s">
        <v>4339</v>
      </c>
      <c r="I217" s="3461" t="s">
        <v>4340</v>
      </c>
      <c r="J217" s="3462">
        <v>1.92422</v>
      </c>
      <c r="K217" s="3462">
        <v>58.52825</v>
      </c>
      <c r="L217" s="3462">
        <v>2227</v>
      </c>
      <c r="M217" s="3462">
        <v>0</v>
      </c>
      <c r="N217" s="3462">
        <v>0</v>
      </c>
      <c r="O217" s="3462">
        <v>30000</v>
      </c>
    </row>
    <row r="218" spans="1:15">
      <c r="A218" s="3461" t="s">
        <v>3463</v>
      </c>
      <c r="B218" s="3461" t="s">
        <v>3464</v>
      </c>
      <c r="C218" s="3461" t="s">
        <v>4001</v>
      </c>
      <c r="D218" s="3461" t="s">
        <v>3954</v>
      </c>
      <c r="E218" s="3461" t="s">
        <v>4002</v>
      </c>
      <c r="F218" s="3461" t="s">
        <v>4003</v>
      </c>
      <c r="G218" s="3461">
        <v>73.5</v>
      </c>
      <c r="H218" s="3461" t="s">
        <v>4004</v>
      </c>
      <c r="I218" s="3461" t="s">
        <v>4005</v>
      </c>
      <c r="J218" s="3462">
        <v>0.88566</v>
      </c>
      <c r="K218" s="3462">
        <v>26.938780000000001</v>
      </c>
      <c r="L218" s="3462">
        <v>1980</v>
      </c>
      <c r="M218" s="3462">
        <v>1980</v>
      </c>
      <c r="N218" s="3462">
        <v>0</v>
      </c>
      <c r="O218" s="3462">
        <v>25740</v>
      </c>
    </row>
    <row r="219" spans="1:15">
      <c r="A219" s="3461" t="s">
        <v>3463</v>
      </c>
      <c r="B219" s="3461" t="s">
        <v>3464</v>
      </c>
      <c r="C219" s="3461" t="s">
        <v>4159</v>
      </c>
      <c r="D219" s="3461" t="s">
        <v>4089</v>
      </c>
      <c r="E219" s="3461" t="s">
        <v>3570</v>
      </c>
      <c r="F219" s="3461" t="s">
        <v>4160</v>
      </c>
      <c r="G219" s="3461">
        <v>70.23</v>
      </c>
      <c r="H219" s="3461" t="s">
        <v>4153</v>
      </c>
      <c r="I219" s="3461" t="s">
        <v>3476</v>
      </c>
      <c r="J219" s="3462">
        <v>1.4357500000000001</v>
      </c>
      <c r="K219" s="3462">
        <v>43.6708</v>
      </c>
      <c r="L219" s="3462">
        <v>3067</v>
      </c>
      <c r="M219" s="3462">
        <v>0</v>
      </c>
      <c r="N219" s="3462">
        <v>0</v>
      </c>
      <c r="O219" s="3462">
        <v>42000</v>
      </c>
    </row>
    <row r="220" spans="1:15">
      <c r="A220" s="3461" t="s">
        <v>3463</v>
      </c>
      <c r="B220" s="3461" t="s">
        <v>3464</v>
      </c>
      <c r="C220" s="3461" t="s">
        <v>3854</v>
      </c>
      <c r="D220" s="3461" t="s">
        <v>3851</v>
      </c>
      <c r="E220" s="3461" t="s">
        <v>3540</v>
      </c>
      <c r="F220" s="3461" t="s">
        <v>3855</v>
      </c>
      <c r="G220" s="3461">
        <v>128.85</v>
      </c>
      <c r="H220" s="3461" t="s">
        <v>3853</v>
      </c>
      <c r="I220" s="3461" t="s">
        <v>3688</v>
      </c>
      <c r="J220" s="3462">
        <v>1.3079566666666667</v>
      </c>
      <c r="K220" s="3462">
        <v>119.35124</v>
      </c>
      <c r="L220" s="3462">
        <v>5074.3999999999996</v>
      </c>
      <c r="M220" s="3462">
        <v>0</v>
      </c>
      <c r="N220" s="3462">
        <v>0</v>
      </c>
      <c r="O220" s="3462">
        <v>69976.800000000003</v>
      </c>
    </row>
    <row r="221" spans="1:15">
      <c r="A221" s="3461" t="s">
        <v>3463</v>
      </c>
      <c r="B221" s="3461" t="s">
        <v>3464</v>
      </c>
      <c r="C221" s="3461" t="s">
        <v>4249</v>
      </c>
      <c r="D221" s="3461" t="s">
        <v>4197</v>
      </c>
      <c r="E221" s="3461" t="s">
        <v>3570</v>
      </c>
      <c r="F221" s="3461" t="s">
        <v>4250</v>
      </c>
      <c r="G221" s="3461">
        <v>71.19</v>
      </c>
      <c r="H221" s="3461" t="s">
        <v>4234</v>
      </c>
      <c r="I221" s="3461" t="s">
        <v>4235</v>
      </c>
      <c r="J221" s="3462">
        <v>1.41639</v>
      </c>
      <c r="K221" s="3462">
        <v>43.081890000000001</v>
      </c>
      <c r="L221" s="3462">
        <v>3067</v>
      </c>
      <c r="M221" s="3462">
        <v>0</v>
      </c>
      <c r="N221" s="3462">
        <v>0</v>
      </c>
      <c r="O221" s="3462">
        <v>42000</v>
      </c>
    </row>
    <row r="222" spans="1:15">
      <c r="A222" s="3461" t="s">
        <v>3463</v>
      </c>
      <c r="B222" s="3461" t="s">
        <v>3464</v>
      </c>
      <c r="C222" s="3461" t="s">
        <v>4810</v>
      </c>
      <c r="D222" s="3461" t="s">
        <v>4647</v>
      </c>
      <c r="E222" s="3461" t="s">
        <v>3570</v>
      </c>
      <c r="F222" s="3461" t="s">
        <v>4811</v>
      </c>
      <c r="G222" s="3461">
        <v>66.930000000000007</v>
      </c>
      <c r="H222" s="3461" t="s">
        <v>4812</v>
      </c>
      <c r="I222" s="3461" t="s">
        <v>4813</v>
      </c>
      <c r="J222" s="3462">
        <v>1.4004399999999999</v>
      </c>
      <c r="K222" s="3462">
        <v>42.596739999999997</v>
      </c>
      <c r="L222" s="3462">
        <v>2851</v>
      </c>
      <c r="M222" s="3462">
        <v>0</v>
      </c>
      <c r="N222" s="3462">
        <v>0</v>
      </c>
      <c r="O222" s="3462">
        <v>39600</v>
      </c>
    </row>
    <row r="223" spans="1:15">
      <c r="A223" s="3461" t="s">
        <v>3463</v>
      </c>
      <c r="B223" s="3461" t="s">
        <v>3464</v>
      </c>
      <c r="C223" s="3461" t="s">
        <v>4251</v>
      </c>
      <c r="D223" s="3461" t="s">
        <v>4197</v>
      </c>
      <c r="E223" s="3461" t="s">
        <v>3570</v>
      </c>
      <c r="F223" s="3461" t="s">
        <v>4252</v>
      </c>
      <c r="G223" s="3461">
        <v>71.19</v>
      </c>
      <c r="H223" s="3461" t="s">
        <v>4234</v>
      </c>
      <c r="I223" s="3461" t="s">
        <v>4235</v>
      </c>
      <c r="J223" s="3462">
        <v>1.41639</v>
      </c>
      <c r="K223" s="3462">
        <v>43.081890000000001</v>
      </c>
      <c r="L223" s="3462">
        <v>3067</v>
      </c>
      <c r="M223" s="3462">
        <v>0</v>
      </c>
      <c r="N223" s="3462">
        <v>0</v>
      </c>
      <c r="O223" s="3462">
        <v>42000</v>
      </c>
    </row>
    <row r="224" spans="1:15">
      <c r="A224" s="3461" t="s">
        <v>3463</v>
      </c>
      <c r="B224" s="3461" t="s">
        <v>3464</v>
      </c>
      <c r="C224" s="3461" t="s">
        <v>4734</v>
      </c>
      <c r="D224" s="3461" t="s">
        <v>4735</v>
      </c>
      <c r="E224" s="3461" t="s">
        <v>3770</v>
      </c>
      <c r="F224" s="3461" t="s">
        <v>4736</v>
      </c>
      <c r="G224" s="3461">
        <v>42.31</v>
      </c>
      <c r="H224" s="3461" t="s">
        <v>4737</v>
      </c>
      <c r="I224" s="3461" t="s">
        <v>4738</v>
      </c>
      <c r="J224" s="3462">
        <v>1.6</v>
      </c>
      <c r="K224" s="3462">
        <v>48.65</v>
      </c>
      <c r="L224" s="3462">
        <v>2058</v>
      </c>
      <c r="M224" s="3462">
        <v>0</v>
      </c>
      <c r="N224" s="3462">
        <v>0</v>
      </c>
      <c r="O224" s="3462">
        <v>27600</v>
      </c>
    </row>
    <row r="225" spans="1:15">
      <c r="A225" s="3461" t="s">
        <v>3463</v>
      </c>
      <c r="B225" s="3461" t="s">
        <v>3464</v>
      </c>
      <c r="C225" s="3461" t="s">
        <v>4695</v>
      </c>
      <c r="D225" s="3461" t="s">
        <v>4696</v>
      </c>
      <c r="E225" s="3461" t="s">
        <v>3582</v>
      </c>
      <c r="F225" s="3461" t="s">
        <v>4697</v>
      </c>
      <c r="G225" s="3461">
        <v>38.049999999999997</v>
      </c>
      <c r="H225" s="3461" t="s">
        <v>4693</v>
      </c>
      <c r="I225" s="3461" t="s">
        <v>4694</v>
      </c>
      <c r="J225" s="3462">
        <v>1.92422</v>
      </c>
      <c r="K225" s="3462">
        <v>58.52825</v>
      </c>
      <c r="L225" s="3462">
        <v>2227</v>
      </c>
      <c r="M225" s="3462">
        <v>5000</v>
      </c>
      <c r="N225" s="3462">
        <v>0</v>
      </c>
      <c r="O225" s="3462">
        <v>35000</v>
      </c>
    </row>
    <row r="226" spans="1:15">
      <c r="A226" s="3461" t="s">
        <v>3463</v>
      </c>
      <c r="B226" s="3461" t="s">
        <v>3464</v>
      </c>
      <c r="C226" s="3461" t="s">
        <v>4119</v>
      </c>
      <c r="D226" s="3461" t="s">
        <v>4111</v>
      </c>
      <c r="E226" s="3461" t="s">
        <v>3570</v>
      </c>
      <c r="F226" s="3461" t="s">
        <v>4120</v>
      </c>
      <c r="G226" s="3461">
        <v>38.049999999999997</v>
      </c>
      <c r="H226" s="3461" t="s">
        <v>4117</v>
      </c>
      <c r="I226" s="3461" t="s">
        <v>4118</v>
      </c>
      <c r="J226" s="3462">
        <v>1.92422</v>
      </c>
      <c r="K226" s="3462">
        <v>58.52825</v>
      </c>
      <c r="L226" s="3462">
        <v>2227</v>
      </c>
      <c r="M226" s="3462">
        <v>0</v>
      </c>
      <c r="N226" s="3462">
        <v>0</v>
      </c>
      <c r="O226" s="3462">
        <v>30000</v>
      </c>
    </row>
    <row r="227" spans="1:15">
      <c r="A227" s="3461" t="s">
        <v>3463</v>
      </c>
      <c r="B227" s="3461" t="s">
        <v>3464</v>
      </c>
      <c r="C227" s="3461" t="s">
        <v>4087</v>
      </c>
      <c r="D227" s="3461" t="s">
        <v>3958</v>
      </c>
      <c r="E227" s="3461" t="s">
        <v>4008</v>
      </c>
      <c r="F227" s="3461" t="s">
        <v>4088</v>
      </c>
      <c r="G227" s="3461">
        <v>66.930000000000007</v>
      </c>
      <c r="H227" s="3461" t="s">
        <v>4089</v>
      </c>
      <c r="I227" s="3461" t="s">
        <v>4090</v>
      </c>
      <c r="J227" s="3462">
        <v>1.4004399999999999</v>
      </c>
      <c r="K227" s="3462">
        <v>42.596739999999997</v>
      </c>
      <c r="L227" s="3462">
        <v>2851</v>
      </c>
      <c r="M227" s="3462">
        <v>0</v>
      </c>
      <c r="N227" s="3462">
        <v>0</v>
      </c>
      <c r="O227" s="3462">
        <v>39600</v>
      </c>
    </row>
    <row r="228" spans="1:15">
      <c r="A228" s="3461" t="s">
        <v>3463</v>
      </c>
      <c r="B228" s="3461" t="s">
        <v>3464</v>
      </c>
      <c r="C228" s="3461" t="s">
        <v>4702</v>
      </c>
      <c r="D228" s="3461" t="s">
        <v>4598</v>
      </c>
      <c r="E228" s="3461" t="s">
        <v>4703</v>
      </c>
      <c r="F228" s="3461" t="s">
        <v>4704</v>
      </c>
      <c r="G228" s="3461">
        <v>284.45</v>
      </c>
      <c r="H228" s="3461" t="s">
        <v>4705</v>
      </c>
      <c r="I228" s="3461" t="s">
        <v>4706</v>
      </c>
      <c r="J228" s="3462">
        <v>1.620204</v>
      </c>
      <c r="K228" s="3462">
        <v>246.40593000000001</v>
      </c>
      <c r="L228" s="3462">
        <v>13439</v>
      </c>
      <c r="M228" s="3462">
        <v>0</v>
      </c>
      <c r="N228" s="3462">
        <v>0</v>
      </c>
      <c r="O228" s="3462">
        <v>183600</v>
      </c>
    </row>
    <row r="229" spans="1:15">
      <c r="A229" s="3461" t="s">
        <v>3463</v>
      </c>
      <c r="B229" s="3461" t="s">
        <v>3464</v>
      </c>
      <c r="C229" s="3461" t="s">
        <v>4854</v>
      </c>
      <c r="D229" s="3461" t="s">
        <v>4829</v>
      </c>
      <c r="E229" s="3461" t="s">
        <v>4855</v>
      </c>
      <c r="F229" s="3461" t="s">
        <v>4856</v>
      </c>
      <c r="G229" s="3461">
        <v>42.31</v>
      </c>
      <c r="H229" s="3461" t="s">
        <v>4857</v>
      </c>
      <c r="I229" s="3461" t="s">
        <v>4858</v>
      </c>
      <c r="J229" s="3462">
        <v>1.0723199999999999</v>
      </c>
      <c r="K229" s="3462">
        <v>32.616399999999999</v>
      </c>
      <c r="L229" s="3462">
        <v>1380</v>
      </c>
      <c r="M229" s="3462">
        <v>0</v>
      </c>
      <c r="N229" s="3462">
        <v>0</v>
      </c>
      <c r="O229" s="3462">
        <v>16560</v>
      </c>
    </row>
    <row r="230" spans="1:15">
      <c r="A230" s="3461" t="s">
        <v>3463</v>
      </c>
      <c r="B230" s="3461" t="s">
        <v>3464</v>
      </c>
      <c r="C230" s="3461" t="s">
        <v>4167</v>
      </c>
      <c r="D230" s="3461" t="s">
        <v>4072</v>
      </c>
      <c r="E230" s="3461" t="s">
        <v>4168</v>
      </c>
      <c r="F230" s="3461" t="s">
        <v>4169</v>
      </c>
      <c r="G230" s="3461">
        <v>73.5</v>
      </c>
      <c r="H230" s="3461" t="s">
        <v>4153</v>
      </c>
      <c r="I230" s="3461" t="s">
        <v>3476</v>
      </c>
      <c r="J230" s="3462">
        <v>0.88566</v>
      </c>
      <c r="K230" s="3462">
        <v>26.938780000000001</v>
      </c>
      <c r="L230" s="3462">
        <v>1980</v>
      </c>
      <c r="M230" s="3462">
        <v>1980</v>
      </c>
      <c r="N230" s="3462">
        <v>0</v>
      </c>
      <c r="O230" s="3462">
        <v>25740</v>
      </c>
    </row>
    <row r="231" spans="1:15">
      <c r="A231" s="3461" t="s">
        <v>3463</v>
      </c>
      <c r="B231" s="3461" t="s">
        <v>3464</v>
      </c>
      <c r="C231" s="3461" t="s">
        <v>4280</v>
      </c>
      <c r="D231" s="3461" t="s">
        <v>4270</v>
      </c>
      <c r="E231" s="3461" t="s">
        <v>3668</v>
      </c>
      <c r="F231" s="3461" t="s">
        <v>4281</v>
      </c>
      <c r="G231" s="3461">
        <v>70.23</v>
      </c>
      <c r="H231" s="3461" t="s">
        <v>4278</v>
      </c>
      <c r="I231" s="3461" t="s">
        <v>4279</v>
      </c>
      <c r="J231" s="3462">
        <v>1.6698200000000001</v>
      </c>
      <c r="K231" s="3462">
        <v>50.790260000000004</v>
      </c>
      <c r="L231" s="3462">
        <v>3567</v>
      </c>
      <c r="M231" s="3462">
        <v>8000</v>
      </c>
      <c r="N231" s="3462">
        <v>0</v>
      </c>
      <c r="O231" s="3462">
        <v>56000</v>
      </c>
    </row>
    <row r="232" spans="1:15">
      <c r="A232" s="3461" t="s">
        <v>3463</v>
      </c>
      <c r="B232" s="3461" t="s">
        <v>3464</v>
      </c>
      <c r="C232" s="3461" t="s">
        <v>4253</v>
      </c>
      <c r="D232" s="3461" t="s">
        <v>4197</v>
      </c>
      <c r="E232" s="3461" t="s">
        <v>3570</v>
      </c>
      <c r="F232" s="3461" t="s">
        <v>4254</v>
      </c>
      <c r="G232" s="3461">
        <v>45.4</v>
      </c>
      <c r="H232" s="3461" t="s">
        <v>4234</v>
      </c>
      <c r="I232" s="3461" t="s">
        <v>4235</v>
      </c>
      <c r="J232" s="3462">
        <v>1.49031</v>
      </c>
      <c r="K232" s="3462">
        <v>45.330399999999997</v>
      </c>
      <c r="L232" s="3462">
        <v>2058</v>
      </c>
      <c r="M232" s="3462">
        <v>0</v>
      </c>
      <c r="N232" s="3462">
        <v>0</v>
      </c>
      <c r="O232" s="3462">
        <v>27600</v>
      </c>
    </row>
    <row r="233" spans="1:15">
      <c r="A233" s="3461" t="s">
        <v>3463</v>
      </c>
      <c r="B233" s="3461" t="s">
        <v>3464</v>
      </c>
      <c r="C233" s="3461" t="s">
        <v>4094</v>
      </c>
      <c r="D233" s="3461" t="s">
        <v>4095</v>
      </c>
      <c r="E233" s="3461" t="s">
        <v>3540</v>
      </c>
      <c r="F233" s="3461" t="s">
        <v>4096</v>
      </c>
      <c r="G233" s="3461">
        <v>38.049999999999997</v>
      </c>
      <c r="H233" s="3461" t="s">
        <v>4095</v>
      </c>
      <c r="I233" s="3461" t="s">
        <v>4097</v>
      </c>
      <c r="J233" s="3462">
        <v>1.5393699999999999</v>
      </c>
      <c r="K233" s="3462">
        <v>46.822600000000001</v>
      </c>
      <c r="L233" s="3462">
        <v>1781.6</v>
      </c>
      <c r="M233" s="3462">
        <v>5000</v>
      </c>
      <c r="N233" s="3462">
        <v>0</v>
      </c>
      <c r="O233" s="3462">
        <v>29655.200000000001</v>
      </c>
    </row>
    <row r="234" spans="1:15">
      <c r="A234" s="3461" t="s">
        <v>3463</v>
      </c>
      <c r="B234" s="3461" t="s">
        <v>3464</v>
      </c>
      <c r="C234" s="3461" t="s">
        <v>4204</v>
      </c>
      <c r="D234" s="3461" t="s">
        <v>4205</v>
      </c>
      <c r="E234" s="3461" t="s">
        <v>3540</v>
      </c>
      <c r="F234" s="3461" t="s">
        <v>4206</v>
      </c>
      <c r="G234" s="3461">
        <v>38.049999999999997</v>
      </c>
      <c r="H234" s="3461" t="s">
        <v>4202</v>
      </c>
      <c r="I234" s="3461" t="s">
        <v>4203</v>
      </c>
      <c r="J234" s="3462">
        <v>1.5393699999999999</v>
      </c>
      <c r="K234" s="3462">
        <v>46.822600000000001</v>
      </c>
      <c r="L234" s="3462">
        <v>1781.6</v>
      </c>
      <c r="M234" s="3462">
        <v>5000</v>
      </c>
      <c r="N234" s="3462">
        <v>0</v>
      </c>
      <c r="O234" s="3462">
        <v>29655.200000000001</v>
      </c>
    </row>
    <row r="235" spans="1:15">
      <c r="A235" s="3461" t="s">
        <v>3463</v>
      </c>
      <c r="B235" s="3461" t="s">
        <v>3464</v>
      </c>
      <c r="C235" s="3461" t="s">
        <v>4881</v>
      </c>
      <c r="D235" s="3461" t="s">
        <v>4722</v>
      </c>
      <c r="E235" s="3461" t="s">
        <v>3554</v>
      </c>
      <c r="F235" s="3461" t="s">
        <v>4882</v>
      </c>
      <c r="G235" s="3461">
        <v>66.930000000000007</v>
      </c>
      <c r="H235" s="3461" t="s">
        <v>4883</v>
      </c>
      <c r="I235" s="3461" t="s">
        <v>4884</v>
      </c>
      <c r="J235" s="3462">
        <v>1.4004399999999999</v>
      </c>
      <c r="K235" s="3462">
        <v>42.596739999999997</v>
      </c>
      <c r="L235" s="3462">
        <v>2851</v>
      </c>
      <c r="M235" s="3462">
        <v>0</v>
      </c>
      <c r="N235" s="3462">
        <v>0</v>
      </c>
      <c r="O235" s="3462">
        <v>39600</v>
      </c>
    </row>
    <row r="236" spans="1:15">
      <c r="A236" s="3461" t="s">
        <v>3463</v>
      </c>
      <c r="B236" s="3461" t="s">
        <v>3464</v>
      </c>
      <c r="C236" s="3461" t="s">
        <v>4859</v>
      </c>
      <c r="D236" s="3461" t="s">
        <v>4722</v>
      </c>
      <c r="E236" s="3461" t="s">
        <v>3570</v>
      </c>
      <c r="F236" s="3461" t="s">
        <v>4860</v>
      </c>
      <c r="G236" s="3461">
        <v>71.19</v>
      </c>
      <c r="H236" s="3461" t="s">
        <v>4861</v>
      </c>
      <c r="I236" s="3461" t="s">
        <v>4862</v>
      </c>
      <c r="J236" s="3462">
        <v>1.41639</v>
      </c>
      <c r="K236" s="3462">
        <v>43.081890000000001</v>
      </c>
      <c r="L236" s="3462">
        <v>3067</v>
      </c>
      <c r="M236" s="3462">
        <v>0</v>
      </c>
      <c r="N236" s="3462">
        <v>0</v>
      </c>
      <c r="O236" s="3462">
        <v>42000</v>
      </c>
    </row>
    <row r="237" spans="1:15">
      <c r="A237" s="3461" t="s">
        <v>3463</v>
      </c>
      <c r="B237" s="3461" t="s">
        <v>3464</v>
      </c>
      <c r="C237" s="3461" t="s">
        <v>4154</v>
      </c>
      <c r="D237" s="3461" t="s">
        <v>4048</v>
      </c>
      <c r="E237" s="3461" t="s">
        <v>3582</v>
      </c>
      <c r="F237" s="3461" t="s">
        <v>4155</v>
      </c>
      <c r="G237" s="3461">
        <v>42.31</v>
      </c>
      <c r="H237" s="3461" t="s">
        <v>4153</v>
      </c>
      <c r="I237" s="3461" t="s">
        <v>3476</v>
      </c>
      <c r="J237" s="3462">
        <v>1.9876799999999999</v>
      </c>
      <c r="K237" s="3462">
        <v>60.45852</v>
      </c>
      <c r="L237" s="3462">
        <v>2558</v>
      </c>
      <c r="M237" s="3462">
        <v>5600</v>
      </c>
      <c r="N237" s="3462">
        <v>0</v>
      </c>
      <c r="O237" s="3462">
        <v>39200</v>
      </c>
    </row>
    <row r="238" spans="1:15">
      <c r="A238" s="3461" t="s">
        <v>3463</v>
      </c>
      <c r="B238" s="3461" t="s">
        <v>3464</v>
      </c>
      <c r="C238" s="3461" t="s">
        <v>4200</v>
      </c>
      <c r="D238" s="3461" t="s">
        <v>4197</v>
      </c>
      <c r="E238" s="3461" t="s">
        <v>3540</v>
      </c>
      <c r="F238" s="3461" t="s">
        <v>4201</v>
      </c>
      <c r="G238" s="3461">
        <v>38.049999999999997</v>
      </c>
      <c r="H238" s="3461" t="s">
        <v>4202</v>
      </c>
      <c r="I238" s="3461" t="s">
        <v>4203</v>
      </c>
      <c r="J238" s="3462">
        <v>1.5393699999999999</v>
      </c>
      <c r="K238" s="3462">
        <v>46.822600000000001</v>
      </c>
      <c r="L238" s="3462">
        <v>1781.6</v>
      </c>
      <c r="M238" s="3462">
        <v>0</v>
      </c>
      <c r="N238" s="3462">
        <v>0</v>
      </c>
      <c r="O238" s="3462">
        <v>24655.200000000001</v>
      </c>
    </row>
    <row r="239" spans="1:15">
      <c r="A239" s="3461" t="s">
        <v>3463</v>
      </c>
      <c r="B239" s="3461" t="s">
        <v>3464</v>
      </c>
      <c r="C239" s="3461" t="s">
        <v>4732</v>
      </c>
      <c r="D239" s="3461" t="s">
        <v>4716</v>
      </c>
      <c r="E239" s="3461" t="s">
        <v>3540</v>
      </c>
      <c r="F239" s="3461" t="s">
        <v>4733</v>
      </c>
      <c r="G239" s="3461">
        <v>42.31</v>
      </c>
      <c r="H239" s="3461" t="s">
        <v>4718</v>
      </c>
      <c r="I239" s="3461" t="s">
        <v>3822</v>
      </c>
      <c r="J239" s="3462">
        <v>1.27932</v>
      </c>
      <c r="K239" s="3462">
        <v>38.912790000000001</v>
      </c>
      <c r="L239" s="3462">
        <v>1646.4</v>
      </c>
      <c r="M239" s="3462">
        <v>4600</v>
      </c>
      <c r="N239" s="3462">
        <v>0</v>
      </c>
      <c r="O239" s="3462">
        <v>27260.799999999999</v>
      </c>
    </row>
    <row r="240" spans="1:15">
      <c r="A240" s="3461" t="s">
        <v>3463</v>
      </c>
      <c r="B240" s="3461" t="s">
        <v>3464</v>
      </c>
      <c r="C240" s="3461" t="s">
        <v>4091</v>
      </c>
      <c r="D240" s="3461" t="s">
        <v>4076</v>
      </c>
      <c r="E240" s="3461" t="s">
        <v>4092</v>
      </c>
      <c r="F240" s="3461" t="s">
        <v>4093</v>
      </c>
      <c r="G240" s="3461">
        <v>38.049999999999997</v>
      </c>
      <c r="H240" s="3461" t="s">
        <v>4089</v>
      </c>
      <c r="I240" s="3461" t="s">
        <v>4090</v>
      </c>
      <c r="J240" s="3462">
        <v>1.92422</v>
      </c>
      <c r="K240" s="3462">
        <v>58.52825</v>
      </c>
      <c r="L240" s="3462">
        <v>2227</v>
      </c>
      <c r="M240" s="3462">
        <v>5000</v>
      </c>
      <c r="N240" s="3462">
        <v>0</v>
      </c>
      <c r="O240" s="3462">
        <v>35000</v>
      </c>
    </row>
    <row r="241" spans="1:15">
      <c r="A241" s="3461" t="s">
        <v>3463</v>
      </c>
      <c r="B241" s="3461" t="s">
        <v>3464</v>
      </c>
      <c r="C241" s="3461" t="s">
        <v>4181</v>
      </c>
      <c r="D241" s="3461" t="s">
        <v>4182</v>
      </c>
      <c r="E241" s="3461" t="s">
        <v>4183</v>
      </c>
      <c r="F241" s="3461" t="s">
        <v>4184</v>
      </c>
      <c r="G241" s="3461">
        <v>66.930000000000007</v>
      </c>
      <c r="H241" s="3461" t="s">
        <v>4185</v>
      </c>
      <c r="I241" s="3461" t="s">
        <v>4186</v>
      </c>
      <c r="J241" s="3462">
        <v>1.02172</v>
      </c>
      <c r="K241" s="3462">
        <v>31.07724</v>
      </c>
      <c r="L241" s="3462">
        <v>2080</v>
      </c>
      <c r="M241" s="3462">
        <v>2080</v>
      </c>
      <c r="N241" s="3462">
        <v>0</v>
      </c>
      <c r="O241" s="3462">
        <v>27040</v>
      </c>
    </row>
    <row r="242" spans="1:15">
      <c r="A242" s="3461" t="s">
        <v>3463</v>
      </c>
      <c r="B242" s="3461" t="s">
        <v>3464</v>
      </c>
      <c r="C242" s="3461" t="s">
        <v>4824</v>
      </c>
      <c r="D242" s="3461" t="s">
        <v>4825</v>
      </c>
      <c r="E242" s="3461" t="s">
        <v>4826</v>
      </c>
      <c r="F242" s="3461" t="s">
        <v>4827</v>
      </c>
      <c r="G242" s="3461">
        <v>71.19</v>
      </c>
      <c r="H242" s="3461" t="s">
        <v>4817</v>
      </c>
      <c r="I242" s="3461" t="s">
        <v>4823</v>
      </c>
      <c r="J242" s="3462">
        <v>1.41639</v>
      </c>
      <c r="K242" s="3462">
        <v>43.081890000000001</v>
      </c>
      <c r="L242" s="3462">
        <v>3067</v>
      </c>
      <c r="M242" s="3462">
        <v>0</v>
      </c>
      <c r="N242" s="3462">
        <v>0</v>
      </c>
      <c r="O242" s="3462">
        <v>42000</v>
      </c>
    </row>
    <row r="243" spans="1:15">
      <c r="A243" s="3461" t="s">
        <v>3463</v>
      </c>
      <c r="B243" s="3461" t="s">
        <v>3464</v>
      </c>
      <c r="C243" s="3461" t="s">
        <v>4545</v>
      </c>
      <c r="D243" s="3461" t="s">
        <v>4512</v>
      </c>
      <c r="E243" s="3461" t="s">
        <v>3570</v>
      </c>
      <c r="F243" s="3461" t="s">
        <v>4546</v>
      </c>
      <c r="G243" s="3461">
        <v>66.930000000000007</v>
      </c>
      <c r="H243" s="3461" t="s">
        <v>4544</v>
      </c>
      <c r="I243" s="3461" t="s">
        <v>3488</v>
      </c>
      <c r="J243" s="3462">
        <v>1.4004399999999999</v>
      </c>
      <c r="K243" s="3462">
        <v>42.596739999999997</v>
      </c>
      <c r="L243" s="3462">
        <v>2851</v>
      </c>
      <c r="M243" s="3462">
        <v>6600</v>
      </c>
      <c r="N243" s="3462">
        <v>0</v>
      </c>
      <c r="O243" s="3462">
        <v>46200</v>
      </c>
    </row>
    <row r="244" spans="1:15">
      <c r="A244" s="3461" t="s">
        <v>3463</v>
      </c>
      <c r="B244" s="3461" t="s">
        <v>3464</v>
      </c>
      <c r="C244" s="3461" t="s">
        <v>4209</v>
      </c>
      <c r="D244" s="3461" t="s">
        <v>4197</v>
      </c>
      <c r="E244" s="3461" t="s">
        <v>4210</v>
      </c>
      <c r="F244" s="3461" t="s">
        <v>4211</v>
      </c>
      <c r="G244" s="3461">
        <v>38.049999999999997</v>
      </c>
      <c r="H244" s="3461" t="s">
        <v>4205</v>
      </c>
      <c r="I244" s="3461" t="s">
        <v>4212</v>
      </c>
      <c r="J244" s="3462">
        <v>1.92422</v>
      </c>
      <c r="K244" s="3462">
        <v>58.52825</v>
      </c>
      <c r="L244" s="3462">
        <v>2227</v>
      </c>
      <c r="M244" s="3462">
        <v>0</v>
      </c>
      <c r="N244" s="3462">
        <v>0</v>
      </c>
      <c r="O244" s="3462">
        <v>30000</v>
      </c>
    </row>
    <row r="245" spans="1:15">
      <c r="A245" s="3461" t="s">
        <v>3463</v>
      </c>
      <c r="B245" s="3461" t="s">
        <v>3464</v>
      </c>
      <c r="C245" s="3461" t="s">
        <v>4797</v>
      </c>
      <c r="D245" s="3461" t="s">
        <v>4798</v>
      </c>
      <c r="E245" s="3461" t="s">
        <v>4799</v>
      </c>
      <c r="F245" s="3461" t="s">
        <v>4800</v>
      </c>
      <c r="G245" s="3461">
        <v>42.31</v>
      </c>
      <c r="H245" s="3461" t="s">
        <v>4795</v>
      </c>
      <c r="I245" s="3461" t="s">
        <v>4029</v>
      </c>
      <c r="J245" s="3462">
        <v>1.6</v>
      </c>
      <c r="K245" s="3462">
        <v>48.65</v>
      </c>
      <c r="L245" s="3462">
        <v>2058</v>
      </c>
      <c r="M245" s="3462">
        <v>0</v>
      </c>
      <c r="N245" s="3462">
        <v>0</v>
      </c>
      <c r="O245" s="3462">
        <v>6900</v>
      </c>
    </row>
    <row r="246" spans="1:15">
      <c r="A246" s="3461" t="s">
        <v>3463</v>
      </c>
      <c r="B246" s="3461" t="s">
        <v>3464</v>
      </c>
      <c r="C246" s="3461" t="s">
        <v>4177</v>
      </c>
      <c r="D246" s="3461" t="s">
        <v>4064</v>
      </c>
      <c r="E246" s="3461" t="s">
        <v>3532</v>
      </c>
      <c r="F246" s="3461" t="s">
        <v>4178</v>
      </c>
      <c r="G246" s="3461">
        <v>38.049999999999997</v>
      </c>
      <c r="H246" s="3461" t="s">
        <v>4179</v>
      </c>
      <c r="I246" s="3461" t="s">
        <v>4180</v>
      </c>
      <c r="J246" s="3462">
        <v>1.92422</v>
      </c>
      <c r="K246" s="3462">
        <v>58.52825</v>
      </c>
      <c r="L246" s="3462">
        <v>2227</v>
      </c>
      <c r="M246" s="3462">
        <v>0</v>
      </c>
      <c r="N246" s="3462">
        <v>0</v>
      </c>
      <c r="O246" s="3462">
        <v>30000</v>
      </c>
    </row>
    <row r="247" spans="1:15">
      <c r="A247" s="3461" t="s">
        <v>3463</v>
      </c>
      <c r="B247" s="3461" t="s">
        <v>3464</v>
      </c>
      <c r="C247" s="3461" t="s">
        <v>3969</v>
      </c>
      <c r="D247" s="3461" t="s">
        <v>3954</v>
      </c>
      <c r="E247" s="3461" t="s">
        <v>3970</v>
      </c>
      <c r="F247" s="3461" t="s">
        <v>3971</v>
      </c>
      <c r="G247" s="3461">
        <v>73.5</v>
      </c>
      <c r="H247" s="3461" t="s">
        <v>3972</v>
      </c>
      <c r="I247" s="3461" t="s">
        <v>3973</v>
      </c>
      <c r="J247" s="3462">
        <v>1.2752600000000001</v>
      </c>
      <c r="K247" s="3462">
        <v>38.789119999999997</v>
      </c>
      <c r="L247" s="3462">
        <v>2851</v>
      </c>
      <c r="M247" s="3462">
        <v>6600</v>
      </c>
      <c r="N247" s="3462">
        <v>0</v>
      </c>
      <c r="O247" s="3462">
        <v>46200</v>
      </c>
    </row>
    <row r="248" spans="1:15">
      <c r="A248" s="3461" t="s">
        <v>3463</v>
      </c>
      <c r="B248" s="3461" t="s">
        <v>3464</v>
      </c>
      <c r="C248" s="3461" t="s">
        <v>3976</v>
      </c>
      <c r="D248" s="3461" t="s">
        <v>3910</v>
      </c>
      <c r="E248" s="3461" t="s">
        <v>3858</v>
      </c>
      <c r="F248" s="3461" t="s">
        <v>3977</v>
      </c>
      <c r="G248" s="3461">
        <v>70.23</v>
      </c>
      <c r="H248" s="3461" t="s">
        <v>3972</v>
      </c>
      <c r="I248" s="3461" t="s">
        <v>3973</v>
      </c>
      <c r="J248" s="3462">
        <v>1.4357500000000001</v>
      </c>
      <c r="K248" s="3462">
        <v>43.6708</v>
      </c>
      <c r="L248" s="3462">
        <v>3067</v>
      </c>
      <c r="M248" s="3462">
        <v>7000</v>
      </c>
      <c r="N248" s="3462">
        <v>0</v>
      </c>
      <c r="O248" s="3462">
        <v>49000</v>
      </c>
    </row>
    <row r="249" spans="1:15">
      <c r="A249" s="3461" t="s">
        <v>3463</v>
      </c>
      <c r="B249" s="3461" t="s">
        <v>3464</v>
      </c>
      <c r="C249" s="3461" t="s">
        <v>3890</v>
      </c>
      <c r="D249" s="3461" t="s">
        <v>3891</v>
      </c>
      <c r="E249" s="3461" t="s">
        <v>3540</v>
      </c>
      <c r="F249" s="3461" t="s">
        <v>3892</v>
      </c>
      <c r="G249" s="3461">
        <v>70.23</v>
      </c>
      <c r="H249" s="3461" t="s">
        <v>3883</v>
      </c>
      <c r="I249" s="3461" t="s">
        <v>3893</v>
      </c>
      <c r="J249" s="3462">
        <v>1.1486000000000001</v>
      </c>
      <c r="K249" s="3462">
        <v>34.936639999999997</v>
      </c>
      <c r="L249" s="3462">
        <v>2453.6</v>
      </c>
      <c r="M249" s="3462">
        <v>7000</v>
      </c>
      <c r="N249" s="3462">
        <v>0</v>
      </c>
      <c r="O249" s="3462">
        <v>41639.199999999997</v>
      </c>
    </row>
    <row r="250" spans="1:15">
      <c r="A250" s="3461" t="s">
        <v>3463</v>
      </c>
      <c r="B250" s="3461" t="s">
        <v>3464</v>
      </c>
      <c r="C250" s="3461" t="s">
        <v>4756</v>
      </c>
      <c r="D250" s="3461" t="s">
        <v>4757</v>
      </c>
      <c r="E250" s="3461" t="s">
        <v>3479</v>
      </c>
      <c r="F250" s="3461" t="s">
        <v>4758</v>
      </c>
      <c r="G250" s="3461">
        <v>45.4</v>
      </c>
      <c r="H250" s="3461" t="s">
        <v>4754</v>
      </c>
      <c r="I250" s="3461" t="s">
        <v>4755</v>
      </c>
      <c r="J250" s="3462">
        <v>1.49031</v>
      </c>
      <c r="K250" s="3462">
        <v>45.330399999999997</v>
      </c>
      <c r="L250" s="3462">
        <v>2058</v>
      </c>
      <c r="M250" s="3462">
        <v>0</v>
      </c>
      <c r="N250" s="3462">
        <v>0</v>
      </c>
      <c r="O250" s="3462">
        <v>27600</v>
      </c>
    </row>
    <row r="251" spans="1:15">
      <c r="A251" s="3461" t="s">
        <v>3463</v>
      </c>
      <c r="B251" s="3461" t="s">
        <v>3464</v>
      </c>
      <c r="C251" s="3461" t="s">
        <v>4047</v>
      </c>
      <c r="D251" s="3461" t="s">
        <v>4048</v>
      </c>
      <c r="E251" s="3461" t="s">
        <v>4049</v>
      </c>
      <c r="F251" s="3461" t="s">
        <v>4050</v>
      </c>
      <c r="G251" s="3461">
        <v>38.049999999999997</v>
      </c>
      <c r="H251" s="3461" t="s">
        <v>4043</v>
      </c>
      <c r="I251" s="3461" t="s">
        <v>3573</v>
      </c>
      <c r="J251" s="3462">
        <v>1.8360799999999999</v>
      </c>
      <c r="K251" s="3462">
        <v>55.847569999999997</v>
      </c>
      <c r="L251" s="3462">
        <v>2125</v>
      </c>
      <c r="M251" s="3462">
        <v>2125</v>
      </c>
      <c r="N251" s="3462">
        <v>0</v>
      </c>
      <c r="O251" s="3462">
        <v>27625</v>
      </c>
    </row>
    <row r="252" spans="1:15">
      <c r="A252" s="3461" t="s">
        <v>3463</v>
      </c>
      <c r="B252" s="3461" t="s">
        <v>3464</v>
      </c>
      <c r="C252" s="3461" t="s">
        <v>4071</v>
      </c>
      <c r="D252" s="3461" t="s">
        <v>4072</v>
      </c>
      <c r="E252" s="3461" t="s">
        <v>4073</v>
      </c>
      <c r="F252" s="3461" t="s">
        <v>4074</v>
      </c>
      <c r="G252" s="3461">
        <v>66.930000000000007</v>
      </c>
      <c r="H252" s="3461" t="s">
        <v>4043</v>
      </c>
      <c r="I252" s="3461" t="s">
        <v>3573</v>
      </c>
      <c r="J252" s="3462">
        <v>1.37785</v>
      </c>
      <c r="K252" s="3462">
        <v>41.909460000000003</v>
      </c>
      <c r="L252" s="3462">
        <v>2805</v>
      </c>
      <c r="M252" s="3462">
        <v>2805</v>
      </c>
      <c r="N252" s="3462">
        <v>0</v>
      </c>
      <c r="O252" s="3462">
        <v>36465</v>
      </c>
    </row>
    <row r="253" spans="1:15">
      <c r="A253" s="3461" t="s">
        <v>3463</v>
      </c>
      <c r="B253" s="3461" t="s">
        <v>3464</v>
      </c>
      <c r="C253" s="3461" t="s">
        <v>3997</v>
      </c>
      <c r="D253" s="3461" t="s">
        <v>3991</v>
      </c>
      <c r="E253" s="3461" t="s">
        <v>3612</v>
      </c>
      <c r="F253" s="3461" t="s">
        <v>3998</v>
      </c>
      <c r="G253" s="3461">
        <v>71.19</v>
      </c>
      <c r="H253" s="3461" t="s">
        <v>3981</v>
      </c>
      <c r="I253" s="3461" t="s">
        <v>3563</v>
      </c>
      <c r="J253" s="3462">
        <v>1.50875</v>
      </c>
      <c r="K253" s="3462">
        <v>45.891280000000002</v>
      </c>
      <c r="L253" s="3462">
        <v>3267</v>
      </c>
      <c r="M253" s="3462">
        <v>7400</v>
      </c>
      <c r="N253" s="3462">
        <v>0</v>
      </c>
      <c r="O253" s="3462">
        <v>51800</v>
      </c>
    </row>
    <row r="254" spans="1:15">
      <c r="A254" s="3461" t="s">
        <v>3463</v>
      </c>
      <c r="B254" s="3461" t="s">
        <v>3464</v>
      </c>
      <c r="C254" s="3461" t="s">
        <v>4410</v>
      </c>
      <c r="D254" s="3461" t="s">
        <v>4261</v>
      </c>
      <c r="E254" s="3461" t="s">
        <v>3554</v>
      </c>
      <c r="F254" s="3461" t="s">
        <v>4411</v>
      </c>
      <c r="G254" s="3461">
        <v>112.54</v>
      </c>
      <c r="H254" s="3461" t="s">
        <v>4405</v>
      </c>
      <c r="I254" s="3461" t="s">
        <v>3547</v>
      </c>
      <c r="J254" s="3462">
        <v>1.517455</v>
      </c>
      <c r="K254" s="3462">
        <v>92.311779999999999</v>
      </c>
      <c r="L254" s="3462">
        <v>5125</v>
      </c>
      <c r="M254" s="3462">
        <v>11600</v>
      </c>
      <c r="N254" s="3462">
        <v>0</v>
      </c>
      <c r="O254" s="3462">
        <v>81200</v>
      </c>
    </row>
    <row r="255" spans="1:15">
      <c r="A255" s="3461" t="s">
        <v>3463</v>
      </c>
      <c r="B255" s="3461" t="s">
        <v>3464</v>
      </c>
      <c r="C255" s="3461" t="s">
        <v>4302</v>
      </c>
      <c r="D255" s="3461" t="s">
        <v>4270</v>
      </c>
      <c r="E255" s="3461" t="s">
        <v>3526</v>
      </c>
      <c r="F255" s="3461" t="s">
        <v>4303</v>
      </c>
      <c r="G255" s="3461">
        <v>38.049999999999997</v>
      </c>
      <c r="H255" s="3461" t="s">
        <v>4300</v>
      </c>
      <c r="I255" s="3461" t="s">
        <v>4301</v>
      </c>
      <c r="J255" s="3462">
        <v>1.92422</v>
      </c>
      <c r="K255" s="3462">
        <v>58.52825</v>
      </c>
      <c r="L255" s="3462">
        <v>2227</v>
      </c>
      <c r="M255" s="3462">
        <v>0</v>
      </c>
      <c r="N255" s="3462">
        <v>0</v>
      </c>
      <c r="O255" s="3462">
        <v>30000</v>
      </c>
    </row>
    <row r="256" spans="1:15">
      <c r="A256" s="3461" t="s">
        <v>3463</v>
      </c>
      <c r="B256" s="3461" t="s">
        <v>3464</v>
      </c>
      <c r="C256" s="3461" t="s">
        <v>4514</v>
      </c>
      <c r="D256" s="3461" t="s">
        <v>4475</v>
      </c>
      <c r="E256" s="3461" t="s">
        <v>3479</v>
      </c>
      <c r="F256" s="3461" t="s">
        <v>4515</v>
      </c>
      <c r="G256" s="3461">
        <v>42.31</v>
      </c>
      <c r="H256" s="3461" t="s">
        <v>4516</v>
      </c>
      <c r="I256" s="3461" t="s">
        <v>3785</v>
      </c>
      <c r="J256" s="3462">
        <v>1.5991599999999999</v>
      </c>
      <c r="K256" s="3462">
        <v>48.640979999999999</v>
      </c>
      <c r="L256" s="3462">
        <v>2058</v>
      </c>
      <c r="M256" s="3462">
        <v>0</v>
      </c>
      <c r="N256" s="3462">
        <v>0</v>
      </c>
      <c r="O256" s="3462">
        <v>27600</v>
      </c>
    </row>
    <row r="257" spans="1:15">
      <c r="A257" s="3461" t="s">
        <v>3463</v>
      </c>
      <c r="B257" s="3461" t="s">
        <v>3464</v>
      </c>
      <c r="C257" s="3461" t="s">
        <v>4144</v>
      </c>
      <c r="D257" s="3461" t="s">
        <v>4145</v>
      </c>
      <c r="E257" s="3461" t="s">
        <v>4092</v>
      </c>
      <c r="F257" s="3461" t="s">
        <v>4146</v>
      </c>
      <c r="G257" s="3461">
        <v>38.049999999999997</v>
      </c>
      <c r="H257" s="3461" t="s">
        <v>4147</v>
      </c>
      <c r="I257" s="3461" t="s">
        <v>4148</v>
      </c>
      <c r="J257" s="3462">
        <v>1.92422</v>
      </c>
      <c r="K257" s="3462">
        <v>58.52825</v>
      </c>
      <c r="L257" s="3462">
        <v>2227</v>
      </c>
      <c r="M257" s="3462">
        <v>5000</v>
      </c>
      <c r="N257" s="3462">
        <v>0</v>
      </c>
      <c r="O257" s="3462">
        <v>35000</v>
      </c>
    </row>
    <row r="258" spans="1:15">
      <c r="A258" s="3461" t="s">
        <v>3463</v>
      </c>
      <c r="B258" s="3461" t="s">
        <v>3464</v>
      </c>
      <c r="C258" s="3461" t="s">
        <v>3872</v>
      </c>
      <c r="D258" s="3461" t="s">
        <v>3873</v>
      </c>
      <c r="E258" s="3461" t="s">
        <v>3570</v>
      </c>
      <c r="F258" s="3461" t="s">
        <v>3874</v>
      </c>
      <c r="G258" s="3461">
        <v>71.19</v>
      </c>
      <c r="H258" s="3461" t="s">
        <v>3875</v>
      </c>
      <c r="I258" s="3461" t="s">
        <v>3876</v>
      </c>
      <c r="J258" s="3462">
        <v>1.65</v>
      </c>
      <c r="K258" s="3462">
        <v>50.11</v>
      </c>
      <c r="L258" s="3462">
        <v>3567</v>
      </c>
      <c r="M258" s="3462">
        <v>0</v>
      </c>
      <c r="N258" s="3462">
        <v>0</v>
      </c>
      <c r="O258" s="3462">
        <v>48000</v>
      </c>
    </row>
    <row r="259" spans="1:15">
      <c r="A259" s="3461" t="s">
        <v>3463</v>
      </c>
      <c r="B259" s="3461" t="s">
        <v>3464</v>
      </c>
      <c r="C259" s="3461" t="s">
        <v>4654</v>
      </c>
      <c r="D259" s="3461" t="s">
        <v>4655</v>
      </c>
      <c r="E259" s="3461" t="s">
        <v>3858</v>
      </c>
      <c r="F259" s="3461" t="s">
        <v>4656</v>
      </c>
      <c r="G259" s="3461">
        <v>66.930000000000007</v>
      </c>
      <c r="H259" s="3461" t="s">
        <v>4652</v>
      </c>
      <c r="I259" s="3461" t="s">
        <v>4653</v>
      </c>
      <c r="J259" s="3462">
        <v>1.64605</v>
      </c>
      <c r="K259" s="3462">
        <v>50.067230000000002</v>
      </c>
      <c r="L259" s="3462">
        <v>3351</v>
      </c>
      <c r="M259" s="3462">
        <v>0</v>
      </c>
      <c r="N259" s="3462">
        <v>0</v>
      </c>
      <c r="O259" s="3462">
        <v>45600</v>
      </c>
    </row>
    <row r="260" spans="1:15">
      <c r="A260" s="3461" t="s">
        <v>3463</v>
      </c>
      <c r="B260" s="3461" t="s">
        <v>3464</v>
      </c>
      <c r="C260" s="3461" t="s">
        <v>4187</v>
      </c>
      <c r="D260" s="3461" t="s">
        <v>4188</v>
      </c>
      <c r="E260" s="3461" t="s">
        <v>3612</v>
      </c>
      <c r="F260" s="3461" t="s">
        <v>4189</v>
      </c>
      <c r="G260" s="3461">
        <v>71.19</v>
      </c>
      <c r="H260" s="3461" t="s">
        <v>4190</v>
      </c>
      <c r="I260" s="3461" t="s">
        <v>4191</v>
      </c>
      <c r="J260" s="3462">
        <v>1.50875</v>
      </c>
      <c r="K260" s="3462">
        <v>45.891280000000002</v>
      </c>
      <c r="L260" s="3462">
        <v>3267</v>
      </c>
      <c r="M260" s="3462">
        <v>0</v>
      </c>
      <c r="N260" s="3462">
        <v>0</v>
      </c>
      <c r="O260" s="3462">
        <v>44400</v>
      </c>
    </row>
    <row r="261" spans="1:15">
      <c r="A261" s="3461" t="s">
        <v>3463</v>
      </c>
      <c r="B261" s="3461" t="s">
        <v>3464</v>
      </c>
      <c r="C261" s="3461" t="s">
        <v>4051</v>
      </c>
      <c r="D261" s="3461" t="s">
        <v>4052</v>
      </c>
      <c r="E261" s="3461" t="s">
        <v>3858</v>
      </c>
      <c r="F261" s="3461" t="s">
        <v>4053</v>
      </c>
      <c r="G261" s="3461">
        <v>38.049999999999997</v>
      </c>
      <c r="H261" s="3461" t="s">
        <v>4043</v>
      </c>
      <c r="I261" s="3461" t="s">
        <v>3573</v>
      </c>
      <c r="J261" s="3462">
        <v>2.0970200000000001</v>
      </c>
      <c r="K261" s="3462">
        <v>63.784489999999998</v>
      </c>
      <c r="L261" s="3462">
        <v>2427</v>
      </c>
      <c r="M261" s="3462">
        <v>5400</v>
      </c>
      <c r="N261" s="3462">
        <v>0</v>
      </c>
      <c r="O261" s="3462">
        <v>37800</v>
      </c>
    </row>
    <row r="262" spans="1:15">
      <c r="A262" s="3461" t="s">
        <v>3463</v>
      </c>
      <c r="B262" s="3461" t="s">
        <v>3464</v>
      </c>
      <c r="C262" s="3461" t="s">
        <v>4588</v>
      </c>
      <c r="D262" s="3461" t="s">
        <v>4580</v>
      </c>
      <c r="E262" s="3461" t="s">
        <v>3479</v>
      </c>
      <c r="F262" s="3461" t="s">
        <v>4589</v>
      </c>
      <c r="G262" s="3461">
        <v>42.31</v>
      </c>
      <c r="H262" s="3461" t="s">
        <v>4590</v>
      </c>
      <c r="I262" s="3461" t="s">
        <v>4591</v>
      </c>
      <c r="J262" s="3462">
        <v>1.5991599999999999</v>
      </c>
      <c r="K262" s="3462">
        <v>48.640979999999999</v>
      </c>
      <c r="L262" s="3462">
        <v>2058</v>
      </c>
      <c r="M262" s="3462">
        <v>0</v>
      </c>
      <c r="N262" s="3462">
        <v>0</v>
      </c>
      <c r="O262" s="3462">
        <v>27600</v>
      </c>
    </row>
    <row r="263" spans="1:15">
      <c r="A263" s="3461" t="s">
        <v>3463</v>
      </c>
      <c r="B263" s="3461" t="s">
        <v>3464</v>
      </c>
      <c r="C263" s="3461" t="s">
        <v>4537</v>
      </c>
      <c r="D263" s="3461" t="s">
        <v>4529</v>
      </c>
      <c r="E263" s="3461" t="s">
        <v>4538</v>
      </c>
      <c r="F263" s="3461" t="s">
        <v>4539</v>
      </c>
      <c r="G263" s="3461">
        <v>73.5</v>
      </c>
      <c r="H263" s="3461" t="s">
        <v>4540</v>
      </c>
      <c r="I263" s="3461" t="s">
        <v>4541</v>
      </c>
      <c r="J263" s="3462">
        <v>0.88566</v>
      </c>
      <c r="K263" s="3462">
        <v>26.938780000000001</v>
      </c>
      <c r="L263" s="3462">
        <v>1980</v>
      </c>
      <c r="M263" s="3462">
        <v>1980</v>
      </c>
      <c r="N263" s="3462">
        <v>0</v>
      </c>
      <c r="O263" s="3462">
        <v>25740</v>
      </c>
    </row>
    <row r="264" spans="1:15">
      <c r="A264" s="3461" t="s">
        <v>3463</v>
      </c>
      <c r="B264" s="3461" t="s">
        <v>3464</v>
      </c>
      <c r="C264" s="3461" t="s">
        <v>4488</v>
      </c>
      <c r="D264" s="3461" t="s">
        <v>4489</v>
      </c>
      <c r="E264" s="3461" t="s">
        <v>3911</v>
      </c>
      <c r="F264" s="3461" t="s">
        <v>4490</v>
      </c>
      <c r="G264" s="3461">
        <v>70.23</v>
      </c>
      <c r="H264" s="3461" t="s">
        <v>4491</v>
      </c>
      <c r="I264" s="3461" t="s">
        <v>4492</v>
      </c>
      <c r="J264" s="3462">
        <v>1.4357500000000001</v>
      </c>
      <c r="K264" s="3462">
        <v>43.6708</v>
      </c>
      <c r="L264" s="3462">
        <v>3067</v>
      </c>
      <c r="M264" s="3462">
        <v>0</v>
      </c>
      <c r="N264" s="3462">
        <v>0</v>
      </c>
      <c r="O264" s="3462">
        <v>42000</v>
      </c>
    </row>
    <row r="265" spans="1:15">
      <c r="A265" s="3461" t="s">
        <v>3463</v>
      </c>
      <c r="B265" s="3461" t="s">
        <v>3464</v>
      </c>
      <c r="C265" s="3461" t="s">
        <v>3984</v>
      </c>
      <c r="D265" s="3461" t="s">
        <v>3870</v>
      </c>
      <c r="E265" s="3461" t="s">
        <v>3911</v>
      </c>
      <c r="F265" s="3461" t="s">
        <v>3985</v>
      </c>
      <c r="G265" s="3461">
        <v>70.23</v>
      </c>
      <c r="H265" s="3461" t="s">
        <v>3981</v>
      </c>
      <c r="I265" s="3461" t="s">
        <v>3563</v>
      </c>
      <c r="J265" s="3462">
        <v>1.4357500000000001</v>
      </c>
      <c r="K265" s="3462">
        <v>43.6708</v>
      </c>
      <c r="L265" s="3462">
        <v>3067</v>
      </c>
      <c r="M265" s="3462">
        <v>0</v>
      </c>
      <c r="N265" s="3462">
        <v>0</v>
      </c>
      <c r="O265" s="3462">
        <v>42000</v>
      </c>
    </row>
    <row r="266" spans="1:15">
      <c r="A266" s="3461" t="s">
        <v>3463</v>
      </c>
      <c r="B266" s="3461" t="s">
        <v>3464</v>
      </c>
      <c r="C266" s="3461" t="s">
        <v>4600</v>
      </c>
      <c r="D266" s="3461" t="s">
        <v>4491</v>
      </c>
      <c r="E266" s="3461" t="s">
        <v>3617</v>
      </c>
      <c r="F266" s="3461" t="s">
        <v>4601</v>
      </c>
      <c r="G266" s="3461">
        <v>45.4</v>
      </c>
      <c r="H266" s="3461" t="s">
        <v>4602</v>
      </c>
      <c r="I266" s="3461" t="s">
        <v>4603</v>
      </c>
      <c r="J266" s="3462">
        <v>1.49031</v>
      </c>
      <c r="K266" s="3462">
        <v>45.330399999999997</v>
      </c>
      <c r="L266" s="3462">
        <v>2058</v>
      </c>
      <c r="M266" s="3462">
        <v>0</v>
      </c>
      <c r="N266" s="3462">
        <v>0</v>
      </c>
      <c r="O266" s="3462">
        <v>27600</v>
      </c>
    </row>
    <row r="267" spans="1:15">
      <c r="A267" s="3461" t="s">
        <v>3463</v>
      </c>
      <c r="B267" s="3461" t="s">
        <v>3464</v>
      </c>
      <c r="C267" s="3461" t="s">
        <v>4106</v>
      </c>
      <c r="D267" s="3461" t="s">
        <v>4105</v>
      </c>
      <c r="E267" s="3461" t="s">
        <v>3686</v>
      </c>
      <c r="F267" s="3461" t="s">
        <v>4107</v>
      </c>
      <c r="G267" s="3461">
        <v>38.049999999999997</v>
      </c>
      <c r="H267" s="3461" t="s">
        <v>4105</v>
      </c>
      <c r="I267" s="3461" t="s">
        <v>3579</v>
      </c>
      <c r="J267" s="3462">
        <v>1.92422</v>
      </c>
      <c r="K267" s="3462">
        <v>58.52825</v>
      </c>
      <c r="L267" s="3462">
        <v>2227</v>
      </c>
      <c r="M267" s="3462">
        <v>5000</v>
      </c>
      <c r="N267" s="3462">
        <v>0</v>
      </c>
      <c r="O267" s="3462">
        <v>35000</v>
      </c>
    </row>
    <row r="268" spans="1:15">
      <c r="A268" s="3461" t="s">
        <v>3463</v>
      </c>
      <c r="B268" s="3461" t="s">
        <v>3464</v>
      </c>
      <c r="C268" s="3461" t="s">
        <v>3950</v>
      </c>
      <c r="D268" s="3461" t="s">
        <v>3873</v>
      </c>
      <c r="E268" s="3461" t="s">
        <v>3570</v>
      </c>
      <c r="F268" s="3461" t="s">
        <v>3951</v>
      </c>
      <c r="G268" s="3461">
        <v>38.049999999999997</v>
      </c>
      <c r="H268" s="3461" t="s">
        <v>3942</v>
      </c>
      <c r="I268" s="3461" t="s">
        <v>3943</v>
      </c>
      <c r="J268" s="3462">
        <v>1.92422</v>
      </c>
      <c r="K268" s="3462">
        <v>58.52825</v>
      </c>
      <c r="L268" s="3462">
        <v>2227</v>
      </c>
      <c r="M268" s="3462">
        <v>0</v>
      </c>
      <c r="N268" s="3462">
        <v>0</v>
      </c>
      <c r="O268" s="3462">
        <v>30000</v>
      </c>
    </row>
    <row r="269" spans="1:15">
      <c r="A269" s="3461" t="s">
        <v>3463</v>
      </c>
      <c r="B269" s="3461" t="s">
        <v>3464</v>
      </c>
      <c r="C269" s="3461" t="s">
        <v>4019</v>
      </c>
      <c r="D269" s="3461" t="s">
        <v>3954</v>
      </c>
      <c r="E269" s="3461" t="s">
        <v>3554</v>
      </c>
      <c r="F269" s="3461" t="s">
        <v>4020</v>
      </c>
      <c r="G269" s="3461">
        <v>142.38</v>
      </c>
      <c r="H269" s="3461" t="s">
        <v>4021</v>
      </c>
      <c r="I269" s="3461" t="s">
        <v>4022</v>
      </c>
      <c r="J269" s="3462">
        <v>1.50875</v>
      </c>
      <c r="K269" s="3462">
        <v>91.782560000000004</v>
      </c>
      <c r="L269" s="3462">
        <v>6534</v>
      </c>
      <c r="M269" s="3462">
        <v>14800</v>
      </c>
      <c r="N269" s="3462">
        <v>0</v>
      </c>
      <c r="O269" s="3462">
        <v>103600</v>
      </c>
    </row>
    <row r="270" spans="1:15">
      <c r="A270" s="3461" t="s">
        <v>3463</v>
      </c>
      <c r="B270" s="3461" t="s">
        <v>3464</v>
      </c>
      <c r="C270" s="3461" t="s">
        <v>4323</v>
      </c>
      <c r="D270" s="3461" t="s">
        <v>4324</v>
      </c>
      <c r="E270" s="3461" t="s">
        <v>4325</v>
      </c>
      <c r="F270" s="3461" t="s">
        <v>4326</v>
      </c>
      <c r="G270" s="3461">
        <v>66.930000000000007</v>
      </c>
      <c r="H270" s="3461" t="s">
        <v>4324</v>
      </c>
      <c r="I270" s="3461" t="s">
        <v>4327</v>
      </c>
      <c r="J270" s="3462">
        <v>0.97260000000000002</v>
      </c>
      <c r="K270" s="3462">
        <v>29.58315</v>
      </c>
      <c r="L270" s="3462">
        <v>1980</v>
      </c>
      <c r="M270" s="3462">
        <v>1980</v>
      </c>
      <c r="N270" s="3462">
        <v>0</v>
      </c>
      <c r="O270" s="3462">
        <v>25740</v>
      </c>
    </row>
    <row r="271" spans="1:15">
      <c r="A271" s="3461" t="s">
        <v>3463</v>
      </c>
      <c r="B271" s="3461" t="s">
        <v>3464</v>
      </c>
      <c r="C271" s="3461" t="s">
        <v>4668</v>
      </c>
      <c r="D271" s="3461" t="s">
        <v>4602</v>
      </c>
      <c r="E271" s="3461" t="s">
        <v>3570</v>
      </c>
      <c r="F271" s="3461" t="s">
        <v>4669</v>
      </c>
      <c r="G271" s="3461">
        <v>71.19</v>
      </c>
      <c r="H271" s="3461" t="s">
        <v>4670</v>
      </c>
      <c r="I271" s="3461" t="s">
        <v>4671</v>
      </c>
      <c r="J271" s="3462">
        <v>1.41639</v>
      </c>
      <c r="K271" s="3462">
        <v>43.081890000000001</v>
      </c>
      <c r="L271" s="3462">
        <v>3067</v>
      </c>
      <c r="M271" s="3462">
        <v>0</v>
      </c>
      <c r="N271" s="3462">
        <v>0</v>
      </c>
      <c r="O271" s="3462">
        <v>42000</v>
      </c>
    </row>
    <row r="272" spans="1:15">
      <c r="A272" s="3461" t="s">
        <v>3463</v>
      </c>
      <c r="B272" s="3461" t="s">
        <v>3464</v>
      </c>
      <c r="C272" s="3461" t="s">
        <v>3993</v>
      </c>
      <c r="D272" s="3461" t="s">
        <v>3954</v>
      </c>
      <c r="E272" s="3461" t="s">
        <v>3834</v>
      </c>
      <c r="F272" s="3461" t="s">
        <v>3994</v>
      </c>
      <c r="G272" s="3461">
        <v>42.31</v>
      </c>
      <c r="H272" s="3461" t="s">
        <v>3981</v>
      </c>
      <c r="I272" s="3461" t="s">
        <v>3563</v>
      </c>
      <c r="J272" s="3462">
        <v>1.5991599999999999</v>
      </c>
      <c r="K272" s="3462">
        <v>48.640979999999999</v>
      </c>
      <c r="L272" s="3462">
        <v>2058</v>
      </c>
      <c r="M272" s="3462">
        <v>4600</v>
      </c>
      <c r="N272" s="3462">
        <v>0</v>
      </c>
      <c r="O272" s="3462">
        <v>32200</v>
      </c>
    </row>
    <row r="273" spans="1:15">
      <c r="A273" s="3461" t="s">
        <v>3463</v>
      </c>
      <c r="B273" s="3461" t="s">
        <v>3464</v>
      </c>
      <c r="C273" s="3461" t="s">
        <v>4344</v>
      </c>
      <c r="D273" s="3461" t="s">
        <v>4261</v>
      </c>
      <c r="E273" s="3461" t="s">
        <v>4345</v>
      </c>
      <c r="F273" s="3461" t="s">
        <v>4346</v>
      </c>
      <c r="G273" s="3461">
        <v>38.049999999999997</v>
      </c>
      <c r="H273" s="3461" t="s">
        <v>4339</v>
      </c>
      <c r="I273" s="3461" t="s">
        <v>4340</v>
      </c>
      <c r="J273" s="3462">
        <v>1.92422</v>
      </c>
      <c r="K273" s="3462">
        <v>58.52825</v>
      </c>
      <c r="L273" s="3462">
        <v>2227</v>
      </c>
      <c r="M273" s="3462">
        <v>0</v>
      </c>
      <c r="N273" s="3462">
        <v>0</v>
      </c>
      <c r="O273" s="3462">
        <v>30000</v>
      </c>
    </row>
    <row r="274" spans="1:15">
      <c r="A274" s="3461" t="s">
        <v>3463</v>
      </c>
      <c r="B274" s="3461" t="s">
        <v>3464</v>
      </c>
      <c r="C274" s="3461" t="s">
        <v>3982</v>
      </c>
      <c r="D274" s="3461" t="s">
        <v>3878</v>
      </c>
      <c r="E274" s="3461" t="s">
        <v>3570</v>
      </c>
      <c r="F274" s="3461" t="s">
        <v>3983</v>
      </c>
      <c r="G274" s="3461">
        <v>42.31</v>
      </c>
      <c r="H274" s="3461" t="s">
        <v>3981</v>
      </c>
      <c r="I274" s="3461" t="s">
        <v>3563</v>
      </c>
      <c r="J274" s="3462">
        <v>1.5991599999999999</v>
      </c>
      <c r="K274" s="3462">
        <v>48.640979999999999</v>
      </c>
      <c r="L274" s="3462">
        <v>2058</v>
      </c>
      <c r="M274" s="3462">
        <v>4600</v>
      </c>
      <c r="N274" s="3462">
        <v>0</v>
      </c>
      <c r="O274" s="3462">
        <v>32200</v>
      </c>
    </row>
    <row r="275" spans="1:15">
      <c r="A275" s="3461" t="s">
        <v>3463</v>
      </c>
      <c r="B275" s="3461" t="s">
        <v>3464</v>
      </c>
      <c r="C275" s="3461" t="s">
        <v>4085</v>
      </c>
      <c r="D275" s="3461" t="s">
        <v>4060</v>
      </c>
      <c r="E275" s="3461" t="s">
        <v>3814</v>
      </c>
      <c r="F275" s="3461" t="s">
        <v>4086</v>
      </c>
      <c r="G275" s="3461">
        <v>38.049999999999997</v>
      </c>
      <c r="H275" s="3461" t="s">
        <v>4076</v>
      </c>
      <c r="I275" s="3461" t="s">
        <v>4084</v>
      </c>
      <c r="J275" s="3462">
        <v>1.92422</v>
      </c>
      <c r="K275" s="3462">
        <v>58.52825</v>
      </c>
      <c r="L275" s="3462">
        <v>2227</v>
      </c>
      <c r="M275" s="3462">
        <v>5000</v>
      </c>
      <c r="N275" s="3462">
        <v>0</v>
      </c>
      <c r="O275" s="3462">
        <v>35000</v>
      </c>
    </row>
    <row r="276" spans="1:15">
      <c r="A276" s="3461" t="s">
        <v>3463</v>
      </c>
      <c r="B276" s="3461" t="s">
        <v>3464</v>
      </c>
      <c r="C276" s="3461" t="s">
        <v>3986</v>
      </c>
      <c r="D276" s="3461" t="s">
        <v>3933</v>
      </c>
      <c r="E276" s="3461" t="s">
        <v>3545</v>
      </c>
      <c r="F276" s="3461" t="s">
        <v>3987</v>
      </c>
      <c r="G276" s="3461">
        <v>66.930000000000007</v>
      </c>
      <c r="H276" s="3461" t="s">
        <v>3981</v>
      </c>
      <c r="I276" s="3461" t="s">
        <v>3563</v>
      </c>
      <c r="J276" s="3462">
        <v>1.4613499999999999</v>
      </c>
      <c r="K276" s="3462">
        <v>44.449420000000003</v>
      </c>
      <c r="L276" s="3462">
        <v>2975</v>
      </c>
      <c r="M276" s="3462">
        <v>2975</v>
      </c>
      <c r="N276" s="3462">
        <v>0</v>
      </c>
      <c r="O276" s="3462">
        <v>38675</v>
      </c>
    </row>
    <row r="277" spans="1:15">
      <c r="A277" s="3461" t="s">
        <v>3463</v>
      </c>
      <c r="B277" s="3461" t="s">
        <v>3464</v>
      </c>
      <c r="C277" s="3461" t="s">
        <v>4681</v>
      </c>
      <c r="D277" s="3461" t="s">
        <v>4606</v>
      </c>
      <c r="E277" s="3461" t="s">
        <v>3770</v>
      </c>
      <c r="F277" s="3461" t="s">
        <v>4682</v>
      </c>
      <c r="G277" s="3461">
        <v>71.19</v>
      </c>
      <c r="H277" s="3461" t="s">
        <v>4683</v>
      </c>
      <c r="I277" s="3461" t="s">
        <v>4684</v>
      </c>
      <c r="J277" s="3462">
        <v>1.73966</v>
      </c>
      <c r="K277" s="3462">
        <v>52.914740000000002</v>
      </c>
      <c r="L277" s="3462">
        <v>3767</v>
      </c>
      <c r="M277" s="3462">
        <v>0</v>
      </c>
      <c r="N277" s="3462">
        <v>0</v>
      </c>
      <c r="O277" s="3462">
        <v>50400</v>
      </c>
    </row>
    <row r="278" spans="1:15">
      <c r="A278" s="3461" t="s">
        <v>3463</v>
      </c>
      <c r="B278" s="3461" t="s">
        <v>3464</v>
      </c>
      <c r="C278" s="3461" t="s">
        <v>4054</v>
      </c>
      <c r="D278" s="3461" t="s">
        <v>4043</v>
      </c>
      <c r="E278" s="3461" t="s">
        <v>4055</v>
      </c>
      <c r="F278" s="3461" t="s">
        <v>4056</v>
      </c>
      <c r="G278" s="3461">
        <v>38.049999999999997</v>
      </c>
      <c r="H278" s="3461" t="s">
        <v>4043</v>
      </c>
      <c r="I278" s="3461" t="s">
        <v>3573</v>
      </c>
      <c r="J278" s="3462">
        <v>1.7280800000000001</v>
      </c>
      <c r="K278" s="3462">
        <v>52.562420000000003</v>
      </c>
      <c r="L278" s="3462">
        <v>2000</v>
      </c>
      <c r="M278" s="3462">
        <v>4000</v>
      </c>
      <c r="N278" s="3462">
        <v>0</v>
      </c>
      <c r="O278" s="3462">
        <v>28000</v>
      </c>
    </row>
    <row r="279" spans="1:15">
      <c r="A279" s="3461" t="s">
        <v>3463</v>
      </c>
      <c r="B279" s="3461" t="s">
        <v>3464</v>
      </c>
      <c r="C279" s="3461" t="s">
        <v>4418</v>
      </c>
      <c r="D279" s="3461" t="s">
        <v>4419</v>
      </c>
      <c r="E279" s="3461" t="s">
        <v>3540</v>
      </c>
      <c r="F279" s="3461" t="s">
        <v>4420</v>
      </c>
      <c r="G279" s="3461">
        <v>42.31</v>
      </c>
      <c r="H279" s="3461" t="s">
        <v>4419</v>
      </c>
      <c r="I279" s="3461" t="s">
        <v>4421</v>
      </c>
      <c r="J279" s="3462">
        <v>1.27932</v>
      </c>
      <c r="K279" s="3462">
        <v>38.912790000000001</v>
      </c>
      <c r="L279" s="3462">
        <v>1646.4</v>
      </c>
      <c r="M279" s="3462">
        <v>4600</v>
      </c>
      <c r="N279" s="3462">
        <v>0</v>
      </c>
      <c r="O279" s="3462">
        <v>27260.799999999999</v>
      </c>
    </row>
    <row r="280" spans="1:15">
      <c r="A280" s="3461" t="s">
        <v>3463</v>
      </c>
      <c r="B280" s="3461" t="s">
        <v>3464</v>
      </c>
      <c r="C280" s="3461" t="s">
        <v>4721</v>
      </c>
      <c r="D280" s="3461" t="s">
        <v>4722</v>
      </c>
      <c r="E280" s="3461" t="s">
        <v>4494</v>
      </c>
      <c r="F280" s="3461" t="s">
        <v>4723</v>
      </c>
      <c r="G280" s="3461">
        <v>38.049999999999997</v>
      </c>
      <c r="H280" s="3461" t="s">
        <v>4718</v>
      </c>
      <c r="I280" s="3461" t="s">
        <v>3822</v>
      </c>
      <c r="J280" s="3462">
        <v>1.92422</v>
      </c>
      <c r="K280" s="3462">
        <v>58.52825</v>
      </c>
      <c r="L280" s="3462">
        <v>2227</v>
      </c>
      <c r="M280" s="3462">
        <v>5000</v>
      </c>
      <c r="N280" s="3462">
        <v>0</v>
      </c>
      <c r="O280" s="3462">
        <v>35000</v>
      </c>
    </row>
    <row r="281" spans="1:15">
      <c r="A281" s="3461" t="s">
        <v>3463</v>
      </c>
      <c r="B281" s="3461" t="s">
        <v>3464</v>
      </c>
      <c r="C281" s="3461" t="s">
        <v>4542</v>
      </c>
      <c r="D281" s="3461" t="s">
        <v>4424</v>
      </c>
      <c r="E281" s="3461" t="s">
        <v>3554</v>
      </c>
      <c r="F281" s="3461" t="s">
        <v>4543</v>
      </c>
      <c r="G281" s="3461">
        <v>73.5</v>
      </c>
      <c r="H281" s="3461" t="s">
        <v>4544</v>
      </c>
      <c r="I281" s="3461" t="s">
        <v>3488</v>
      </c>
      <c r="J281" s="3462">
        <v>1.2752600000000001</v>
      </c>
      <c r="K281" s="3462">
        <v>38.789119999999997</v>
      </c>
      <c r="L281" s="3462">
        <v>2851</v>
      </c>
      <c r="M281" s="3462">
        <v>0</v>
      </c>
      <c r="N281" s="3462">
        <v>0</v>
      </c>
      <c r="O281" s="3462">
        <v>39600</v>
      </c>
    </row>
    <row r="282" spans="1:15">
      <c r="A282" s="3461" t="s">
        <v>3463</v>
      </c>
      <c r="B282" s="3461" t="s">
        <v>3464</v>
      </c>
      <c r="C282" s="3461" t="s">
        <v>4877</v>
      </c>
      <c r="D282" s="3461" t="s">
        <v>4722</v>
      </c>
      <c r="E282" s="3461" t="s">
        <v>3814</v>
      </c>
      <c r="F282" s="3461" t="s">
        <v>4878</v>
      </c>
      <c r="G282" s="3461">
        <v>70.23</v>
      </c>
      <c r="H282" s="3461" t="s">
        <v>4879</v>
      </c>
      <c r="I282" s="3461" t="s">
        <v>4880</v>
      </c>
      <c r="J282" s="3462">
        <v>1.4357500000000001</v>
      </c>
      <c r="K282" s="3462">
        <v>43.6708</v>
      </c>
      <c r="L282" s="3462">
        <v>3067</v>
      </c>
      <c r="M282" s="3462">
        <v>0</v>
      </c>
      <c r="N282" s="3462">
        <v>0</v>
      </c>
      <c r="O282" s="3462">
        <v>42000</v>
      </c>
    </row>
    <row r="283" spans="1:15">
      <c r="A283" s="3461" t="s">
        <v>3463</v>
      </c>
      <c r="B283" s="3461" t="s">
        <v>3464</v>
      </c>
      <c r="C283" s="3461" t="s">
        <v>3564</v>
      </c>
      <c r="D283" s="3461" t="s">
        <v>3565</v>
      </c>
      <c r="E283" s="3461" t="s">
        <v>3566</v>
      </c>
      <c r="F283" s="3461" t="s">
        <v>3567</v>
      </c>
      <c r="G283" s="3461">
        <v>277.20999999999998</v>
      </c>
      <c r="H283" s="3461" t="s">
        <v>3562</v>
      </c>
      <c r="I283" s="3461" t="s">
        <v>3563</v>
      </c>
      <c r="J283" s="3462">
        <v>2.8</v>
      </c>
      <c r="K283" s="3462">
        <v>85.166659999999993</v>
      </c>
      <c r="L283" s="3462">
        <v>23609.05</v>
      </c>
      <c r="M283" s="3462">
        <v>0</v>
      </c>
      <c r="N283" s="3462">
        <v>0</v>
      </c>
      <c r="O283" s="3462">
        <v>910218.96</v>
      </c>
    </row>
    <row r="284" spans="1:15">
      <c r="A284" s="3461" t="s">
        <v>3463</v>
      </c>
      <c r="B284" s="3461" t="s">
        <v>3464</v>
      </c>
      <c r="C284" s="3461" t="s">
        <v>4828</v>
      </c>
      <c r="D284" s="3461" t="s">
        <v>4829</v>
      </c>
      <c r="E284" s="3461" t="s">
        <v>4830</v>
      </c>
      <c r="F284" s="3461" t="s">
        <v>4831</v>
      </c>
      <c r="G284" s="3461">
        <v>133.47</v>
      </c>
      <c r="H284" s="3461" t="s">
        <v>4817</v>
      </c>
      <c r="I284" s="3461" t="s">
        <v>3573</v>
      </c>
      <c r="J284" s="3462">
        <v>2.5</v>
      </c>
      <c r="K284" s="3462">
        <v>76.040000000000006</v>
      </c>
      <c r="L284" s="3462">
        <v>10149.280000000001</v>
      </c>
      <c r="M284" s="3462">
        <v>0</v>
      </c>
      <c r="N284" s="3462">
        <v>0</v>
      </c>
      <c r="O284" s="3462">
        <v>32449.89</v>
      </c>
    </row>
    <row r="285" spans="1:15">
      <c r="A285" s="3467"/>
      <c r="B285" s="3467"/>
      <c r="C285" s="3467"/>
      <c r="D285" s="3467"/>
      <c r="E285" s="3467"/>
      <c r="F285" s="3467"/>
      <c r="G285" s="3464">
        <f>SUM(G2:G284)</f>
        <v>17419.959999999981</v>
      </c>
      <c r="H285" s="3464">
        <f>面积表!C2</f>
        <v>24186.799999999999</v>
      </c>
      <c r="I285" s="3464"/>
      <c r="J285" s="3465">
        <f>ROUND(SUMPRODUCT(J2:J284,G2:G284)/G285,2)</f>
        <v>1.54</v>
      </c>
      <c r="K285" s="3468"/>
      <c r="L285" s="3468"/>
      <c r="M285" s="3468"/>
      <c r="N285" s="3468"/>
      <c r="O285" s="3468"/>
    </row>
    <row r="287" spans="1:15">
      <c r="A287" s="3461" t="s">
        <v>3463</v>
      </c>
      <c r="B287" s="3461" t="s">
        <v>3464</v>
      </c>
      <c r="C287" s="3461" t="s">
        <v>3667</v>
      </c>
      <c r="D287" s="3461" t="s">
        <v>3641</v>
      </c>
      <c r="E287" s="3461" t="s">
        <v>3668</v>
      </c>
      <c r="F287" s="3461" t="s">
        <v>3669</v>
      </c>
      <c r="G287" s="3461">
        <v>788.14</v>
      </c>
      <c r="H287" s="3461" t="s">
        <v>3670</v>
      </c>
      <c r="I287" s="3461" t="s">
        <v>3488</v>
      </c>
      <c r="J287" s="3462">
        <v>3.99</v>
      </c>
      <c r="K287" s="3462">
        <v>121.3625</v>
      </c>
      <c r="L287" s="3462">
        <v>95650.64</v>
      </c>
      <c r="M287" s="3462">
        <v>49623.27</v>
      </c>
      <c r="N287" s="3462">
        <v>11822.1</v>
      </c>
      <c r="O287" s="3462">
        <v>3646733.61</v>
      </c>
    </row>
    <row r="288" spans="1:15">
      <c r="A288" s="3461" t="s">
        <v>3463</v>
      </c>
      <c r="B288" s="3461" t="s">
        <v>3464</v>
      </c>
      <c r="C288" s="3461" t="s">
        <v>4604</v>
      </c>
      <c r="D288" s="3461" t="s">
        <v>4382</v>
      </c>
      <c r="E288" s="3461" t="s">
        <v>3911</v>
      </c>
      <c r="F288" s="3461" t="s">
        <v>4605</v>
      </c>
      <c r="G288" s="3461">
        <v>973.92</v>
      </c>
      <c r="H288" s="3461" t="s">
        <v>4606</v>
      </c>
      <c r="I288" s="3461" t="s">
        <v>4607</v>
      </c>
      <c r="J288" s="3462">
        <v>4.3</v>
      </c>
      <c r="K288" s="3462">
        <v>130.79167000000001</v>
      </c>
      <c r="L288" s="3462">
        <v>127380.62</v>
      </c>
      <c r="M288" s="3462">
        <v>71096.160000000003</v>
      </c>
      <c r="N288" s="3462">
        <v>0</v>
      </c>
      <c r="O288" s="3462">
        <v>8631755.5999999996</v>
      </c>
    </row>
    <row r="289" spans="1:15">
      <c r="A289" s="3461" t="s">
        <v>3463</v>
      </c>
      <c r="B289" s="3461" t="s">
        <v>3464</v>
      </c>
      <c r="C289" s="3461" t="s">
        <v>3718</v>
      </c>
      <c r="D289" s="3461" t="s">
        <v>3714</v>
      </c>
      <c r="E289" s="3461" t="s">
        <v>3719</v>
      </c>
      <c r="F289" s="3461" t="s">
        <v>3720</v>
      </c>
      <c r="G289" s="3461">
        <v>810.11</v>
      </c>
      <c r="H289" s="3461" t="s">
        <v>3721</v>
      </c>
      <c r="I289" s="3461" t="s">
        <v>3722</v>
      </c>
      <c r="J289" s="3462">
        <v>2.15</v>
      </c>
      <c r="K289" s="3462">
        <v>65.395840000000007</v>
      </c>
      <c r="L289" s="3462">
        <v>52977.82</v>
      </c>
      <c r="M289" s="3462">
        <v>25872.9</v>
      </c>
      <c r="N289" s="3462">
        <v>0</v>
      </c>
      <c r="O289" s="3462">
        <v>3577678.86</v>
      </c>
    </row>
    <row r="290" spans="1:15">
      <c r="A290" s="3461" t="s">
        <v>3463</v>
      </c>
      <c r="B290" s="3461" t="s">
        <v>3464</v>
      </c>
      <c r="C290" s="3461" t="s">
        <v>4555</v>
      </c>
      <c r="D290" s="3461" t="s">
        <v>4556</v>
      </c>
      <c r="E290" s="3461" t="s">
        <v>3582</v>
      </c>
      <c r="F290" s="3461" t="s">
        <v>4557</v>
      </c>
      <c r="G290" s="3461">
        <v>810.11</v>
      </c>
      <c r="H290" s="3461" t="s">
        <v>4544</v>
      </c>
      <c r="I290" s="3461" t="s">
        <v>3529</v>
      </c>
      <c r="J290" s="3462">
        <v>2.1</v>
      </c>
      <c r="K290" s="3462">
        <v>63.875</v>
      </c>
      <c r="L290" s="3462">
        <v>51745.78</v>
      </c>
      <c r="M290" s="3462">
        <v>170761.05</v>
      </c>
      <c r="N290" s="3462">
        <v>12151.65</v>
      </c>
      <c r="O290" s="3462">
        <v>1757806.96</v>
      </c>
    </row>
    <row r="291" spans="1:15">
      <c r="A291" s="3461" t="s">
        <v>3463</v>
      </c>
      <c r="B291" s="3461" t="s">
        <v>3464</v>
      </c>
      <c r="C291" s="3461" t="s">
        <v>3580</v>
      </c>
      <c r="D291" s="3461" t="s">
        <v>3581</v>
      </c>
      <c r="E291" s="3461" t="s">
        <v>3582</v>
      </c>
      <c r="F291" s="3461" t="s">
        <v>3583</v>
      </c>
      <c r="G291" s="3461">
        <v>2160.3200000000002</v>
      </c>
      <c r="H291" s="3461" t="s">
        <v>3584</v>
      </c>
      <c r="I291" s="3461" t="s">
        <v>3585</v>
      </c>
      <c r="J291" s="3462">
        <v>1.95</v>
      </c>
      <c r="K291" s="3462">
        <v>237.25002000000001</v>
      </c>
      <c r="L291" s="3462">
        <v>128133.98</v>
      </c>
      <c r="M291" s="3462">
        <v>68995.14</v>
      </c>
      <c r="N291" s="3462">
        <v>32404.799999999999</v>
      </c>
      <c r="O291" s="3462">
        <v>9415295.6999999993</v>
      </c>
    </row>
    <row r="292" spans="1:15">
      <c r="A292" s="3461" t="s">
        <v>3463</v>
      </c>
      <c r="B292" s="3461" t="s">
        <v>3464</v>
      </c>
      <c r="C292" s="3461" t="s">
        <v>3723</v>
      </c>
      <c r="D292" s="3461" t="s">
        <v>3724</v>
      </c>
      <c r="E292" s="3461" t="s">
        <v>3725</v>
      </c>
      <c r="F292" s="3461" t="s">
        <v>3726</v>
      </c>
      <c r="G292" s="3461">
        <v>1880.46</v>
      </c>
      <c r="H292" s="3461" t="s">
        <v>3721</v>
      </c>
      <c r="I292" s="3461" t="s">
        <v>3722</v>
      </c>
      <c r="J292" s="3462">
        <v>2.25</v>
      </c>
      <c r="K292" s="3462">
        <v>136.875</v>
      </c>
      <c r="L292" s="3462">
        <v>128693.98</v>
      </c>
      <c r="M292" s="3462">
        <v>386081.94</v>
      </c>
      <c r="N292" s="3462">
        <v>28206.9</v>
      </c>
      <c r="O292" s="3462">
        <v>8557902.8399999999</v>
      </c>
    </row>
    <row r="293" spans="1:15">
      <c r="A293" s="3461" t="s">
        <v>3463</v>
      </c>
      <c r="B293" s="3461" t="s">
        <v>3464</v>
      </c>
      <c r="C293" s="3461" t="s">
        <v>3833</v>
      </c>
      <c r="D293" s="3461" t="s">
        <v>3796</v>
      </c>
      <c r="E293" s="3461" t="s">
        <v>3834</v>
      </c>
      <c r="F293" s="3461" t="s">
        <v>3835</v>
      </c>
      <c r="G293" s="3461">
        <v>1350.21</v>
      </c>
      <c r="H293" s="3461" t="s">
        <v>3836</v>
      </c>
      <c r="I293" s="3461" t="s">
        <v>3837</v>
      </c>
      <c r="J293" s="3462">
        <v>2.4</v>
      </c>
      <c r="K293" s="3462">
        <v>73</v>
      </c>
      <c r="L293" s="3462">
        <v>98565.33</v>
      </c>
      <c r="M293" s="3462">
        <v>61603.32</v>
      </c>
      <c r="N293" s="3462">
        <v>0</v>
      </c>
      <c r="O293" s="3462">
        <v>6617142.8399999999</v>
      </c>
    </row>
    <row r="294" spans="1:15">
      <c r="A294" s="3461" t="s">
        <v>3463</v>
      </c>
      <c r="B294" s="3461" t="s">
        <v>3464</v>
      </c>
      <c r="C294" s="3461" t="s">
        <v>4373</v>
      </c>
      <c r="D294" s="3461" t="s">
        <v>4349</v>
      </c>
      <c r="E294" s="3461" t="s">
        <v>3858</v>
      </c>
      <c r="F294" s="3461" t="s">
        <v>4374</v>
      </c>
      <c r="G294" s="3461">
        <v>788.14</v>
      </c>
      <c r="H294" s="3461" t="s">
        <v>4372</v>
      </c>
      <c r="I294" s="3461" t="s">
        <v>3779</v>
      </c>
      <c r="J294" s="3462">
        <v>4.4000000000000004</v>
      </c>
      <c r="K294" s="3462">
        <v>133.83332999999999</v>
      </c>
      <c r="L294" s="3462">
        <v>105479.4</v>
      </c>
      <c r="M294" s="3462">
        <v>28767.09</v>
      </c>
      <c r="N294" s="3462">
        <v>0</v>
      </c>
      <c r="O294" s="3462">
        <v>2654849.4900000002</v>
      </c>
    </row>
    <row r="295" spans="1:15">
      <c r="A295" s="3461" t="s">
        <v>3463</v>
      </c>
      <c r="B295" s="3461" t="s">
        <v>3464</v>
      </c>
      <c r="C295" s="3461" t="s">
        <v>4375</v>
      </c>
      <c r="D295" s="3461" t="s">
        <v>4349</v>
      </c>
      <c r="E295" s="3461" t="s">
        <v>3858</v>
      </c>
      <c r="F295" s="3461" t="s">
        <v>4376</v>
      </c>
      <c r="G295" s="3461">
        <v>3230.67</v>
      </c>
      <c r="H295" s="3461" t="s">
        <v>4372</v>
      </c>
      <c r="I295" s="3461" t="s">
        <v>3779</v>
      </c>
      <c r="J295" s="3462">
        <v>2.42</v>
      </c>
      <c r="K295" s="3462">
        <v>368.04160000000002</v>
      </c>
      <c r="L295" s="3462">
        <v>237804.23</v>
      </c>
      <c r="M295" s="3462">
        <v>123815.43</v>
      </c>
      <c r="N295" s="3462">
        <v>0</v>
      </c>
      <c r="O295" s="3462">
        <v>6218797.5899999999</v>
      </c>
    </row>
    <row r="296" spans="1:15">
      <c r="A296" s="3461" t="s">
        <v>3463</v>
      </c>
      <c r="B296" s="3461" t="s">
        <v>3464</v>
      </c>
      <c r="C296" s="3461" t="s">
        <v>4547</v>
      </c>
      <c r="D296" s="3461" t="s">
        <v>4548</v>
      </c>
      <c r="E296" s="3461" t="s">
        <v>4549</v>
      </c>
      <c r="F296" s="3461" t="s">
        <v>4550</v>
      </c>
      <c r="G296" s="3461">
        <v>1070.3499999999999</v>
      </c>
      <c r="H296" s="3461" t="s">
        <v>4544</v>
      </c>
      <c r="I296" s="3461" t="s">
        <v>4551</v>
      </c>
      <c r="J296" s="3462">
        <v>2.15</v>
      </c>
      <c r="K296" s="3462">
        <v>65.395830000000004</v>
      </c>
      <c r="L296" s="3462">
        <v>69996.429999999993</v>
      </c>
      <c r="M296" s="3462">
        <v>231476.58</v>
      </c>
      <c r="N296" s="3462">
        <v>16055.25</v>
      </c>
      <c r="O296" s="3462">
        <v>3537720.93</v>
      </c>
    </row>
    <row r="297" spans="1:15">
      <c r="A297" s="3461" t="s">
        <v>3463</v>
      </c>
      <c r="B297" s="3461" t="s">
        <v>3464</v>
      </c>
      <c r="C297" s="3461" t="s">
        <v>3506</v>
      </c>
      <c r="D297" s="3461" t="s">
        <v>3507</v>
      </c>
      <c r="E297" s="3461" t="s">
        <v>3508</v>
      </c>
      <c r="F297" s="3461" t="s">
        <v>3509</v>
      </c>
      <c r="G297" s="3461">
        <v>973.92</v>
      </c>
      <c r="H297" s="3461" t="s">
        <v>3510</v>
      </c>
      <c r="I297" s="3461" t="s">
        <v>3511</v>
      </c>
      <c r="J297" s="3462">
        <v>3.8</v>
      </c>
      <c r="K297" s="3462">
        <v>115.58333</v>
      </c>
      <c r="L297" s="3462">
        <v>112568.92</v>
      </c>
      <c r="M297" s="3462">
        <v>337706.76</v>
      </c>
      <c r="N297" s="3462">
        <v>0</v>
      </c>
      <c r="O297" s="3462">
        <v>7355287.3200000003</v>
      </c>
    </row>
    <row r="298" spans="1:15">
      <c r="A298" s="3461" t="s">
        <v>3463</v>
      </c>
      <c r="B298" s="3461" t="s">
        <v>3464</v>
      </c>
      <c r="C298" s="3461" t="s">
        <v>3856</v>
      </c>
      <c r="D298" s="3461" t="s">
        <v>3857</v>
      </c>
      <c r="E298" s="3461" t="s">
        <v>3858</v>
      </c>
      <c r="F298" s="3461" t="s">
        <v>3859</v>
      </c>
      <c r="G298" s="3461">
        <v>810.11</v>
      </c>
      <c r="H298" s="3461" t="s">
        <v>3853</v>
      </c>
      <c r="I298" s="3461" t="s">
        <v>3779</v>
      </c>
      <c r="J298" s="3462">
        <v>2.2000000000000002</v>
      </c>
      <c r="K298" s="3462">
        <v>66.916669999999996</v>
      </c>
      <c r="L298" s="3462">
        <v>54209.86</v>
      </c>
      <c r="M298" s="3462">
        <v>162629.57999999999</v>
      </c>
      <c r="N298" s="3462">
        <v>12151.65</v>
      </c>
      <c r="O298" s="3462">
        <v>1756747.66</v>
      </c>
    </row>
    <row r="299" spans="1:15">
      <c r="A299" s="3461" t="s">
        <v>3463</v>
      </c>
      <c r="B299" s="3461" t="s">
        <v>3464</v>
      </c>
      <c r="C299" s="3461" t="s">
        <v>3662</v>
      </c>
      <c r="D299" s="3461" t="s">
        <v>3663</v>
      </c>
      <c r="E299" s="3461" t="s">
        <v>3664</v>
      </c>
      <c r="F299" s="3461" t="s">
        <v>3665</v>
      </c>
      <c r="G299" s="3461">
        <v>810.11</v>
      </c>
      <c r="H299" s="3461" t="s">
        <v>3657</v>
      </c>
      <c r="I299" s="3461" t="s">
        <v>3666</v>
      </c>
      <c r="J299" s="3462">
        <v>2.1</v>
      </c>
      <c r="K299" s="3462">
        <v>63.88</v>
      </c>
      <c r="L299" s="3462">
        <v>51745.78</v>
      </c>
      <c r="M299" s="3462">
        <v>155237.34</v>
      </c>
      <c r="N299" s="3462">
        <v>12151.65</v>
      </c>
      <c r="O299" s="3462">
        <v>3595977.03</v>
      </c>
    </row>
    <row r="300" spans="1:15">
      <c r="A300" s="3461" t="s">
        <v>3463</v>
      </c>
      <c r="B300" s="3461" t="s">
        <v>3464</v>
      </c>
      <c r="C300" s="3461" t="s">
        <v>3621</v>
      </c>
      <c r="D300" s="3461" t="s">
        <v>3605</v>
      </c>
      <c r="E300" s="3461" t="s">
        <v>3622</v>
      </c>
      <c r="F300" s="3461" t="s">
        <v>3623</v>
      </c>
      <c r="G300" s="3461">
        <v>810.11</v>
      </c>
      <c r="H300" s="3461" t="s">
        <v>3624</v>
      </c>
      <c r="I300" s="3461" t="s">
        <v>3625</v>
      </c>
      <c r="J300" s="3462">
        <v>2.2000000000000002</v>
      </c>
      <c r="K300" s="3462">
        <v>66.916669999999996</v>
      </c>
      <c r="L300" s="3462">
        <v>54209.86</v>
      </c>
      <c r="M300" s="3462">
        <v>36961.26</v>
      </c>
      <c r="N300" s="3462">
        <v>12151.65</v>
      </c>
      <c r="O300" s="3462">
        <v>3692582.55</v>
      </c>
    </row>
    <row r="301" spans="1:15">
      <c r="A301" s="3461"/>
      <c r="B301" s="3461"/>
      <c r="C301" s="3461"/>
      <c r="D301" s="3461"/>
      <c r="E301" s="3461"/>
      <c r="F301" s="3461"/>
      <c r="G301" s="3464">
        <f>SUM(G287:G300)</f>
        <v>17266.68</v>
      </c>
      <c r="H301" s="3464">
        <f>面积表!C3</f>
        <v>23770.1</v>
      </c>
      <c r="I301" s="3461"/>
      <c r="J301" s="3465">
        <f>ROUND(SUMPRODUCT(J287:J300,G287:G300)/G301,2)</f>
        <v>2.61</v>
      </c>
      <c r="K301" s="3462"/>
      <c r="L301" s="3462"/>
      <c r="M301" s="3462"/>
      <c r="N301" s="3462"/>
      <c r="O301" s="3462"/>
    </row>
    <row r="302" spans="1:15">
      <c r="A302" s="3461" t="s">
        <v>3463</v>
      </c>
      <c r="B302" s="3461" t="s">
        <v>3464</v>
      </c>
      <c r="C302" s="3461" t="s">
        <v>3530</v>
      </c>
      <c r="D302" s="3461" t="s">
        <v>3531</v>
      </c>
      <c r="E302" s="3461" t="s">
        <v>3532</v>
      </c>
      <c r="F302" s="3461" t="s">
        <v>3533</v>
      </c>
      <c r="G302" s="3461">
        <v>812.26</v>
      </c>
      <c r="H302" s="3461" t="s">
        <v>3534</v>
      </c>
      <c r="I302" s="3461" t="s">
        <v>3482</v>
      </c>
      <c r="J302" s="3462">
        <v>2.1</v>
      </c>
      <c r="K302" s="3462">
        <v>63.875</v>
      </c>
      <c r="L302" s="3462">
        <v>51883.11</v>
      </c>
      <c r="M302" s="3462">
        <v>155649.32999999999</v>
      </c>
      <c r="N302" s="3462">
        <v>12183.9</v>
      </c>
      <c r="O302" s="3462">
        <v>3549697.98</v>
      </c>
    </row>
    <row r="303" spans="1:15">
      <c r="A303" s="3461" t="s">
        <v>3463</v>
      </c>
      <c r="B303" s="3461" t="s">
        <v>3464</v>
      </c>
      <c r="C303" s="3461" t="s">
        <v>3767</v>
      </c>
      <c r="D303" s="3461" t="s">
        <v>3742</v>
      </c>
      <c r="E303" s="3461" t="s">
        <v>3763</v>
      </c>
      <c r="F303" s="3461" t="s">
        <v>3768</v>
      </c>
      <c r="G303" s="3461">
        <v>812.26</v>
      </c>
      <c r="H303" s="3461" t="s">
        <v>3765</v>
      </c>
      <c r="I303" s="3461" t="s">
        <v>3766</v>
      </c>
      <c r="J303" s="3462">
        <v>2.2000000000000002</v>
      </c>
      <c r="K303" s="3462">
        <v>66.916659999999993</v>
      </c>
      <c r="L303" s="3462">
        <v>54353.73</v>
      </c>
      <c r="M303" s="3462">
        <v>14823.75</v>
      </c>
      <c r="N303" s="3462">
        <v>0</v>
      </c>
      <c r="O303" s="3462">
        <v>3650174.67</v>
      </c>
    </row>
    <row r="304" spans="1:15">
      <c r="A304" s="3461" t="s">
        <v>3463</v>
      </c>
      <c r="B304" s="3461" t="s">
        <v>3464</v>
      </c>
      <c r="C304" s="3461" t="s">
        <v>3792</v>
      </c>
      <c r="D304" s="3461" t="s">
        <v>3793</v>
      </c>
      <c r="E304" s="3461" t="s">
        <v>3788</v>
      </c>
      <c r="F304" s="3461" t="s">
        <v>3794</v>
      </c>
      <c r="G304" s="3461">
        <v>3647.21</v>
      </c>
      <c r="H304" s="3461" t="s">
        <v>3790</v>
      </c>
      <c r="I304" s="3461" t="s">
        <v>3791</v>
      </c>
      <c r="J304" s="3462">
        <v>3.05</v>
      </c>
      <c r="K304" s="3462">
        <v>371.1</v>
      </c>
      <c r="L304" s="3462">
        <v>335760.7</v>
      </c>
      <c r="M304" s="3462">
        <v>149244.75</v>
      </c>
      <c r="N304" s="3462">
        <v>16023</v>
      </c>
      <c r="O304" s="3462">
        <v>12909150.75</v>
      </c>
    </row>
    <row r="305" spans="1:15">
      <c r="A305" s="3461" t="s">
        <v>3463</v>
      </c>
      <c r="B305" s="3461" t="s">
        <v>3464</v>
      </c>
      <c r="C305" s="3461" t="s">
        <v>3574</v>
      </c>
      <c r="D305" s="3461" t="s">
        <v>3575</v>
      </c>
      <c r="E305" s="3461" t="s">
        <v>3576</v>
      </c>
      <c r="F305" s="3461" t="s">
        <v>3577</v>
      </c>
      <c r="G305" s="3461">
        <v>1068.2</v>
      </c>
      <c r="H305" s="3461" t="s">
        <v>3578</v>
      </c>
      <c r="I305" s="3461" t="s">
        <v>3579</v>
      </c>
      <c r="J305" s="3462">
        <v>2.2000000000000002</v>
      </c>
      <c r="K305" s="3462">
        <v>66.92</v>
      </c>
      <c r="L305" s="3462">
        <v>71480.38</v>
      </c>
      <c r="M305" s="3462">
        <v>214441.14</v>
      </c>
      <c r="N305" s="3462">
        <v>16023</v>
      </c>
      <c r="O305" s="3462">
        <v>2638631.8199999998</v>
      </c>
    </row>
    <row r="306" spans="1:15">
      <c r="A306" s="3461" t="s">
        <v>3463</v>
      </c>
      <c r="B306" s="3461" t="s">
        <v>3464</v>
      </c>
      <c r="C306" s="3461" t="s">
        <v>3730</v>
      </c>
      <c r="D306" s="3461" t="s">
        <v>3731</v>
      </c>
      <c r="E306" s="3461" t="s">
        <v>3732</v>
      </c>
      <c r="F306" s="3461" t="s">
        <v>3733</v>
      </c>
      <c r="G306" s="3461">
        <v>812.26</v>
      </c>
      <c r="H306" s="3461" t="s">
        <v>3731</v>
      </c>
      <c r="I306" s="3461" t="s">
        <v>3734</v>
      </c>
      <c r="J306" s="3462">
        <v>2.25</v>
      </c>
      <c r="K306" s="3462">
        <v>68.4375</v>
      </c>
      <c r="L306" s="3462">
        <v>55589.04</v>
      </c>
      <c r="M306" s="3462">
        <v>18529.68</v>
      </c>
      <c r="N306" s="3462">
        <v>0</v>
      </c>
      <c r="O306" s="3462">
        <v>2165941.92</v>
      </c>
    </row>
    <row r="307" spans="1:15">
      <c r="A307" s="3461" t="s">
        <v>3463</v>
      </c>
      <c r="B307" s="3461" t="s">
        <v>3464</v>
      </c>
      <c r="C307" s="3461" t="s">
        <v>4395</v>
      </c>
      <c r="D307" s="3461" t="s">
        <v>4318</v>
      </c>
      <c r="E307" s="3461" t="s">
        <v>4396</v>
      </c>
      <c r="F307" s="3461" t="s">
        <v>4397</v>
      </c>
      <c r="G307" s="3461">
        <v>1880.46</v>
      </c>
      <c r="H307" s="3461" t="s">
        <v>4382</v>
      </c>
      <c r="I307" s="3461" t="s">
        <v>4398</v>
      </c>
      <c r="J307" s="3462">
        <v>2.4500000000000002</v>
      </c>
      <c r="K307" s="3462">
        <v>149.04166000000001</v>
      </c>
      <c r="L307" s="3462">
        <v>140133.44</v>
      </c>
      <c r="M307" s="3462">
        <v>25738.77</v>
      </c>
      <c r="N307" s="3462">
        <v>0</v>
      </c>
      <c r="O307" s="3462">
        <v>3614596.53</v>
      </c>
    </row>
    <row r="308" spans="1:15">
      <c r="A308" s="3461" t="s">
        <v>3463</v>
      </c>
      <c r="B308" s="3461" t="s">
        <v>3464</v>
      </c>
      <c r="C308" s="3461" t="s">
        <v>3762</v>
      </c>
      <c r="D308" s="3461" t="s">
        <v>3742</v>
      </c>
      <c r="E308" s="3461" t="s">
        <v>3763</v>
      </c>
      <c r="F308" s="3461" t="s">
        <v>3764</v>
      </c>
      <c r="G308" s="3461">
        <v>1068.2</v>
      </c>
      <c r="H308" s="3461" t="s">
        <v>3765</v>
      </c>
      <c r="I308" s="3461" t="s">
        <v>3766</v>
      </c>
      <c r="J308" s="3462">
        <v>2.2000000000000002</v>
      </c>
      <c r="K308" s="3462">
        <v>66.916659999999993</v>
      </c>
      <c r="L308" s="3462">
        <v>71480.38</v>
      </c>
      <c r="M308" s="3462">
        <v>19494.63</v>
      </c>
      <c r="N308" s="3462">
        <v>0</v>
      </c>
      <c r="O308" s="3462">
        <v>4800330.3899999997</v>
      </c>
    </row>
    <row r="309" spans="1:15">
      <c r="A309" s="3461"/>
      <c r="B309" s="3461"/>
      <c r="C309" s="3461"/>
      <c r="D309" s="3461"/>
      <c r="E309" s="3461"/>
      <c r="F309" s="3461"/>
      <c r="G309" s="3464">
        <f>SUM(G302:G308)</f>
        <v>10100.85</v>
      </c>
      <c r="H309" s="3469">
        <f>面积表!C5</f>
        <v>9393.74</v>
      </c>
      <c r="I309" s="3461"/>
      <c r="J309" s="3465">
        <f>ROUND(SUMPRODUCT(J302:J308,G302:G308)/G309,2)</f>
        <v>2.5499999999999998</v>
      </c>
      <c r="K309" s="3462"/>
      <c r="L309" s="3462"/>
      <c r="M309" s="3462"/>
      <c r="N309" s="3462"/>
      <c r="O309" s="3462"/>
    </row>
    <row r="310" spans="1:15">
      <c r="A310" s="3461" t="s">
        <v>3463</v>
      </c>
      <c r="B310" s="3461" t="s">
        <v>3464</v>
      </c>
      <c r="C310" s="3461" t="s">
        <v>3735</v>
      </c>
      <c r="D310" s="3461" t="s">
        <v>3736</v>
      </c>
      <c r="E310" s="3461" t="s">
        <v>3737</v>
      </c>
      <c r="F310" s="3461" t="s">
        <v>3738</v>
      </c>
      <c r="G310" s="3461">
        <v>1054.75</v>
      </c>
      <c r="H310" s="3461" t="s">
        <v>3739</v>
      </c>
      <c r="I310" s="3461" t="s">
        <v>3740</v>
      </c>
      <c r="J310" s="3462">
        <v>4</v>
      </c>
      <c r="K310" s="3462">
        <v>121.66667</v>
      </c>
      <c r="L310" s="3462">
        <v>128327.92</v>
      </c>
      <c r="M310" s="3462">
        <v>18286.740000000002</v>
      </c>
      <c r="N310" s="3462">
        <v>0</v>
      </c>
      <c r="O310" s="3462">
        <v>4827946.8600000003</v>
      </c>
    </row>
    <row r="311" spans="1:15">
      <c r="A311" s="3461" t="s">
        <v>3463</v>
      </c>
      <c r="B311" s="3461" t="s">
        <v>3464</v>
      </c>
      <c r="C311" s="3461" t="s">
        <v>3786</v>
      </c>
      <c r="D311" s="3461" t="s">
        <v>3787</v>
      </c>
      <c r="E311" s="3461" t="s">
        <v>3788</v>
      </c>
      <c r="F311" s="3461" t="s">
        <v>3789</v>
      </c>
      <c r="G311" s="3461">
        <v>727.99</v>
      </c>
      <c r="H311" s="3461" t="s">
        <v>3790</v>
      </c>
      <c r="I311" s="3461" t="s">
        <v>3791</v>
      </c>
      <c r="J311" s="3462">
        <v>3.85</v>
      </c>
      <c r="K311" s="3462">
        <v>117.11</v>
      </c>
      <c r="L311" s="3462">
        <v>85250.66</v>
      </c>
      <c r="M311" s="3462">
        <v>23250.18</v>
      </c>
      <c r="N311" s="3462">
        <v>0</v>
      </c>
      <c r="O311" s="3462">
        <v>3223312.14</v>
      </c>
    </row>
    <row r="312" spans="1:15">
      <c r="A312" s="3461" t="s">
        <v>3463</v>
      </c>
      <c r="B312" s="3461" t="s">
        <v>3464</v>
      </c>
      <c r="C312" s="3461" t="s">
        <v>4078</v>
      </c>
      <c r="D312" s="3461" t="s">
        <v>3913</v>
      </c>
      <c r="E312" s="3461" t="s">
        <v>4079</v>
      </c>
      <c r="F312" s="3461" t="s">
        <v>4080</v>
      </c>
      <c r="G312" s="3461">
        <v>811.88</v>
      </c>
      <c r="H312" s="3461" t="s">
        <v>4043</v>
      </c>
      <c r="I312" s="3461" t="s">
        <v>3573</v>
      </c>
      <c r="J312" s="3462">
        <v>2.42</v>
      </c>
      <c r="K312" s="3462">
        <v>73.608329999999995</v>
      </c>
      <c r="L312" s="3462">
        <v>59761.13</v>
      </c>
      <c r="M312" s="3462">
        <v>16298.49</v>
      </c>
      <c r="N312" s="3462">
        <v>0</v>
      </c>
      <c r="O312" s="3462">
        <v>782144.85</v>
      </c>
    </row>
    <row r="313" spans="1:15">
      <c r="A313" s="3461" t="s">
        <v>3463</v>
      </c>
      <c r="B313" s="3461" t="s">
        <v>3464</v>
      </c>
      <c r="C313" s="3461" t="s">
        <v>3795</v>
      </c>
      <c r="D313" s="3461" t="s">
        <v>3796</v>
      </c>
      <c r="E313" s="3461" t="s">
        <v>3797</v>
      </c>
      <c r="F313" s="3461" t="s">
        <v>3798</v>
      </c>
      <c r="G313" s="3461">
        <v>1897.48</v>
      </c>
      <c r="H313" s="3461" t="s">
        <v>3799</v>
      </c>
      <c r="I313" s="3461" t="s">
        <v>3800</v>
      </c>
      <c r="J313" s="3462">
        <v>2</v>
      </c>
      <c r="K313" s="3462">
        <v>121.66668</v>
      </c>
      <c r="L313" s="3462">
        <v>115430.04</v>
      </c>
      <c r="M313" s="3462">
        <v>51943.53</v>
      </c>
      <c r="N313" s="3462">
        <v>28462.2</v>
      </c>
      <c r="O313" s="3462">
        <v>4577433.57</v>
      </c>
    </row>
    <row r="314" spans="1:15">
      <c r="A314" s="3461" t="s">
        <v>3463</v>
      </c>
      <c r="B314" s="3461" t="s">
        <v>3464</v>
      </c>
      <c r="C314" s="3461" t="s">
        <v>4818</v>
      </c>
      <c r="D314" s="3461" t="s">
        <v>4819</v>
      </c>
      <c r="E314" s="3461" t="s">
        <v>3797</v>
      </c>
      <c r="F314" s="3461" t="s">
        <v>4820</v>
      </c>
      <c r="G314" s="3461">
        <v>1085.5999999999999</v>
      </c>
      <c r="H314" s="3461" t="s">
        <v>4817</v>
      </c>
      <c r="I314" s="3461" t="s">
        <v>4551</v>
      </c>
      <c r="J314" s="3462">
        <v>2</v>
      </c>
      <c r="K314" s="3462">
        <v>60.83334</v>
      </c>
      <c r="L314" s="3462">
        <v>66040.67</v>
      </c>
      <c r="M314" s="3462">
        <v>0</v>
      </c>
      <c r="N314" s="3462">
        <v>0</v>
      </c>
      <c r="O314" s="3462">
        <v>2572872.12</v>
      </c>
    </row>
    <row r="315" spans="1:15">
      <c r="A315" s="3461" t="s">
        <v>3463</v>
      </c>
      <c r="B315" s="3461" t="s">
        <v>3464</v>
      </c>
      <c r="C315" s="3461" t="s">
        <v>4560</v>
      </c>
      <c r="D315" s="3461" t="s">
        <v>4445</v>
      </c>
      <c r="E315" s="3461" t="s">
        <v>3797</v>
      </c>
      <c r="F315" s="3461" t="s">
        <v>4561</v>
      </c>
      <c r="G315" s="3461">
        <v>1897.48</v>
      </c>
      <c r="H315" s="3461" t="s">
        <v>4544</v>
      </c>
      <c r="I315" s="3461" t="s">
        <v>4562</v>
      </c>
      <c r="J315" s="3462">
        <v>2</v>
      </c>
      <c r="K315" s="3462">
        <v>121.66668</v>
      </c>
      <c r="L315" s="3462">
        <v>115430.04</v>
      </c>
      <c r="M315" s="3462">
        <v>346290.12</v>
      </c>
      <c r="N315" s="3462">
        <v>28462.2</v>
      </c>
      <c r="O315" s="3462">
        <v>4181097.48</v>
      </c>
    </row>
    <row r="316" spans="1:15">
      <c r="A316" s="3461" t="s">
        <v>3463</v>
      </c>
      <c r="B316" s="3461" t="s">
        <v>3464</v>
      </c>
      <c r="C316" s="3461" t="s">
        <v>3637</v>
      </c>
      <c r="D316" s="3461" t="s">
        <v>3638</v>
      </c>
      <c r="E316" s="3461" t="s">
        <v>3639</v>
      </c>
      <c r="F316" s="3461" t="s">
        <v>3640</v>
      </c>
      <c r="G316" s="3461">
        <v>1897.48</v>
      </c>
      <c r="H316" s="3461" t="s">
        <v>3641</v>
      </c>
      <c r="I316" s="3461" t="s">
        <v>3642</v>
      </c>
      <c r="J316" s="3462">
        <v>2.2000000000000002</v>
      </c>
      <c r="K316" s="3462">
        <v>133.83331999999999</v>
      </c>
      <c r="L316" s="3462">
        <v>126973.03</v>
      </c>
      <c r="M316" s="3462">
        <v>34629</v>
      </c>
      <c r="N316" s="3462">
        <v>0</v>
      </c>
      <c r="O316" s="3462">
        <v>8707061.1600000001</v>
      </c>
    </row>
    <row r="317" spans="1:15">
      <c r="A317" s="3461"/>
      <c r="B317" s="3461"/>
      <c r="C317" s="3461"/>
      <c r="D317" s="3461"/>
      <c r="E317" s="3461"/>
      <c r="F317" s="3461"/>
      <c r="G317" s="3464">
        <f>SUM(G310:G316)</f>
        <v>9372.66</v>
      </c>
      <c r="H317" s="3469">
        <f>面积表!C5</f>
        <v>9393.74</v>
      </c>
      <c r="I317" s="3461"/>
      <c r="J317" s="3465">
        <f>ROUND(SUMPRODUCT(J310:J316,G310:G316)/G317,2)</f>
        <v>2.4500000000000002</v>
      </c>
      <c r="K317" s="3462"/>
      <c r="L317" s="3462"/>
      <c r="M317" s="3462"/>
      <c r="N317" s="3462"/>
      <c r="O317" s="3462"/>
    </row>
    <row r="318" spans="1:15">
      <c r="A318" s="3461" t="s">
        <v>3463</v>
      </c>
      <c r="B318" s="3461" t="s">
        <v>3464</v>
      </c>
      <c r="C318" s="3461" t="s">
        <v>3604</v>
      </c>
      <c r="D318" s="3461" t="s">
        <v>3605</v>
      </c>
      <c r="E318" s="3461" t="s">
        <v>3606</v>
      </c>
      <c r="F318" s="3461" t="s">
        <v>3607</v>
      </c>
      <c r="G318" s="3461">
        <v>981.24</v>
      </c>
      <c r="H318" s="3461" t="s">
        <v>3608</v>
      </c>
      <c r="I318" s="3461" t="s">
        <v>3609</v>
      </c>
      <c r="J318" s="3462">
        <v>4.3</v>
      </c>
      <c r="K318" s="3462">
        <v>130.79167000000001</v>
      </c>
      <c r="L318" s="3462">
        <v>128338.02</v>
      </c>
      <c r="M318" s="3462">
        <v>385014.06</v>
      </c>
      <c r="N318" s="3462">
        <v>14718.6</v>
      </c>
      <c r="O318" s="3462">
        <v>8471388.6600000001</v>
      </c>
    </row>
    <row r="319" spans="1:15">
      <c r="A319" s="3461" t="s">
        <v>3463</v>
      </c>
      <c r="B319" s="3461" t="s">
        <v>3464</v>
      </c>
      <c r="C319" s="3461" t="s">
        <v>3501</v>
      </c>
      <c r="D319" s="3461" t="s">
        <v>3499</v>
      </c>
      <c r="E319" s="3461" t="s">
        <v>3502</v>
      </c>
      <c r="F319" s="3461" t="s">
        <v>3503</v>
      </c>
      <c r="G319" s="3461">
        <v>1067.8800000000001</v>
      </c>
      <c r="H319" s="3461" t="s">
        <v>3504</v>
      </c>
      <c r="I319" s="3461" t="s">
        <v>3505</v>
      </c>
      <c r="J319" s="3462">
        <v>2.2000000000000002</v>
      </c>
      <c r="K319" s="3462">
        <v>66.916669999999996</v>
      </c>
      <c r="L319" s="3462">
        <v>71458.97</v>
      </c>
      <c r="M319" s="3462">
        <v>214376.91</v>
      </c>
      <c r="N319" s="3462">
        <v>0</v>
      </c>
      <c r="O319" s="3462">
        <v>4653447.3899999997</v>
      </c>
    </row>
    <row r="320" spans="1:15">
      <c r="A320" s="3461" t="s">
        <v>3463</v>
      </c>
      <c r="B320" s="3461" t="s">
        <v>3464</v>
      </c>
      <c r="C320" s="3461" t="s">
        <v>4631</v>
      </c>
      <c r="D320" s="3461" t="s">
        <v>4632</v>
      </c>
      <c r="E320" s="3461" t="s">
        <v>4633</v>
      </c>
      <c r="F320" s="3461" t="s">
        <v>4634</v>
      </c>
      <c r="G320" s="3461">
        <v>811.89</v>
      </c>
      <c r="H320" s="3461" t="s">
        <v>4635</v>
      </c>
      <c r="I320" s="3461" t="s">
        <v>4636</v>
      </c>
      <c r="J320" s="3462">
        <v>2.2000000000000002</v>
      </c>
      <c r="K320" s="3462">
        <v>66.916659999999993</v>
      </c>
      <c r="L320" s="3462">
        <v>54328.97</v>
      </c>
      <c r="M320" s="3462">
        <v>7408.5</v>
      </c>
      <c r="N320" s="3462">
        <v>0</v>
      </c>
      <c r="O320" s="3462">
        <v>1408730.58</v>
      </c>
    </row>
    <row r="321" spans="1:15">
      <c r="A321" s="3461" t="s">
        <v>3463</v>
      </c>
      <c r="B321" s="3461" t="s">
        <v>3464</v>
      </c>
      <c r="C321" s="3461" t="s">
        <v>3649</v>
      </c>
      <c r="D321" s="3461" t="s">
        <v>3650</v>
      </c>
      <c r="E321" s="3461" t="s">
        <v>3612</v>
      </c>
      <c r="F321" s="3461" t="s">
        <v>3651</v>
      </c>
      <c r="G321" s="3461">
        <v>1067.8800000000001</v>
      </c>
      <c r="H321" s="3461" t="s">
        <v>3652</v>
      </c>
      <c r="I321" s="3461" t="s">
        <v>3614</v>
      </c>
      <c r="J321" s="3462">
        <v>2.2999999999999998</v>
      </c>
      <c r="K321" s="3462">
        <v>69.959999999999994</v>
      </c>
      <c r="L321" s="3462">
        <v>74707.11</v>
      </c>
      <c r="M321" s="3462">
        <v>224121.33</v>
      </c>
      <c r="N321" s="3462">
        <v>16018.2</v>
      </c>
      <c r="O321" s="3462">
        <v>4987427.09</v>
      </c>
    </row>
    <row r="322" spans="1:15">
      <c r="A322" s="3461" t="s">
        <v>3463</v>
      </c>
      <c r="B322" s="3461" t="s">
        <v>3464</v>
      </c>
      <c r="C322" s="3461" t="s">
        <v>3653</v>
      </c>
      <c r="D322" s="3461" t="s">
        <v>3654</v>
      </c>
      <c r="E322" s="3461" t="s">
        <v>3655</v>
      </c>
      <c r="F322" s="3461" t="s">
        <v>3656</v>
      </c>
      <c r="G322" s="3461">
        <v>811.89</v>
      </c>
      <c r="H322" s="3461" t="s">
        <v>3657</v>
      </c>
      <c r="I322" s="3461" t="s">
        <v>3658</v>
      </c>
      <c r="J322" s="3462">
        <v>2</v>
      </c>
      <c r="K322" s="3462">
        <v>60.83334</v>
      </c>
      <c r="L322" s="3462">
        <v>49389.98</v>
      </c>
      <c r="M322" s="3462">
        <v>148169.94</v>
      </c>
      <c r="N322" s="3462">
        <v>12178.35</v>
      </c>
      <c r="O322" s="3462">
        <v>1997655.45</v>
      </c>
    </row>
    <row r="323" spans="1:15">
      <c r="A323" s="3461" t="s">
        <v>3463</v>
      </c>
      <c r="B323" s="3461" t="s">
        <v>3464</v>
      </c>
      <c r="C323" s="3461" t="s">
        <v>4113</v>
      </c>
      <c r="D323" s="3461" t="s">
        <v>4114</v>
      </c>
      <c r="E323" s="3461" t="s">
        <v>4115</v>
      </c>
      <c r="F323" s="3461" t="s">
        <v>4116</v>
      </c>
      <c r="G323" s="3461">
        <v>811.89</v>
      </c>
      <c r="H323" s="3461" t="s">
        <v>4117</v>
      </c>
      <c r="I323" s="3461" t="s">
        <v>4118</v>
      </c>
      <c r="J323" s="3462">
        <v>2.5299999999999998</v>
      </c>
      <c r="K323" s="3462">
        <v>76.954170000000005</v>
      </c>
      <c r="L323" s="3462">
        <v>62478.32</v>
      </c>
      <c r="M323" s="3462">
        <v>0</v>
      </c>
      <c r="N323" s="3462">
        <v>0</v>
      </c>
      <c r="O323" s="3462">
        <v>798453.24</v>
      </c>
    </row>
    <row r="324" spans="1:15">
      <c r="A324" s="3461" t="s">
        <v>3463</v>
      </c>
      <c r="B324" s="3461" t="s">
        <v>3464</v>
      </c>
      <c r="C324" s="3461" t="s">
        <v>3756</v>
      </c>
      <c r="D324" s="3461" t="s">
        <v>3757</v>
      </c>
      <c r="E324" s="3461" t="s">
        <v>3758</v>
      </c>
      <c r="F324" s="3461" t="s">
        <v>3759</v>
      </c>
      <c r="G324" s="3461">
        <v>1067.8800000000001</v>
      </c>
      <c r="H324" s="3461" t="s">
        <v>3760</v>
      </c>
      <c r="I324" s="3461" t="s">
        <v>3761</v>
      </c>
      <c r="J324" s="3462">
        <v>2.4</v>
      </c>
      <c r="K324" s="3462">
        <v>73</v>
      </c>
      <c r="L324" s="3462">
        <v>77955.240000000005</v>
      </c>
      <c r="M324" s="3462">
        <v>9744.39</v>
      </c>
      <c r="N324" s="3462">
        <v>0</v>
      </c>
      <c r="O324" s="3462">
        <v>3008351.43</v>
      </c>
    </row>
    <row r="325" spans="1:15">
      <c r="A325" s="3461" t="s">
        <v>3463</v>
      </c>
      <c r="B325" s="3461" t="s">
        <v>3464</v>
      </c>
      <c r="C325" s="3461" t="s">
        <v>3610</v>
      </c>
      <c r="D325" s="3461" t="s">
        <v>3611</v>
      </c>
      <c r="E325" s="3461" t="s">
        <v>3612</v>
      </c>
      <c r="F325" s="3461" t="s">
        <v>3613</v>
      </c>
      <c r="G325" s="3461">
        <v>1600.89</v>
      </c>
      <c r="H325" s="3461" t="s">
        <v>3611</v>
      </c>
      <c r="I325" s="3461" t="s">
        <v>3614</v>
      </c>
      <c r="J325" s="3462">
        <v>3.3</v>
      </c>
      <c r="K325" s="3462">
        <v>200.76</v>
      </c>
      <c r="L325" s="3462">
        <v>159993.1</v>
      </c>
      <c r="M325" s="3462">
        <v>479979.3</v>
      </c>
      <c r="N325" s="3462">
        <v>24013.35</v>
      </c>
      <c r="O325" s="3462">
        <v>10839834.57</v>
      </c>
    </row>
    <row r="326" spans="1:15">
      <c r="A326" s="3461" t="s">
        <v>3463</v>
      </c>
      <c r="B326" s="3461" t="s">
        <v>3464</v>
      </c>
      <c r="C326" s="3461" t="s">
        <v>3615</v>
      </c>
      <c r="D326" s="3461" t="s">
        <v>3616</v>
      </c>
      <c r="E326" s="3461" t="s">
        <v>3617</v>
      </c>
      <c r="F326" s="3461" t="s">
        <v>3618</v>
      </c>
      <c r="G326" s="3461">
        <v>1879.77</v>
      </c>
      <c r="H326" s="3461" t="s">
        <v>3619</v>
      </c>
      <c r="I326" s="3461" t="s">
        <v>3620</v>
      </c>
      <c r="J326" s="3462">
        <v>2.25</v>
      </c>
      <c r="K326" s="3462">
        <v>136.875</v>
      </c>
      <c r="L326" s="3462">
        <v>128646.76</v>
      </c>
      <c r="M326" s="3462">
        <v>60035.16</v>
      </c>
      <c r="N326" s="3462">
        <v>28196.55</v>
      </c>
      <c r="O326" s="3462">
        <v>5057873.67</v>
      </c>
    </row>
    <row r="327" spans="1:15">
      <c r="A327" s="3461" t="s">
        <v>3463</v>
      </c>
      <c r="B327" s="3461" t="s">
        <v>3464</v>
      </c>
      <c r="C327" s="3461" t="s">
        <v>4068</v>
      </c>
      <c r="D327" s="3461" t="s">
        <v>4060</v>
      </c>
      <c r="E327" s="3461" t="s">
        <v>4008</v>
      </c>
      <c r="F327" s="3461" t="s">
        <v>4069</v>
      </c>
      <c r="G327" s="3461">
        <v>1067.8800000000001</v>
      </c>
      <c r="H327" s="3461" t="s">
        <v>4043</v>
      </c>
      <c r="I327" s="3461" t="s">
        <v>4070</v>
      </c>
      <c r="J327" s="3462">
        <v>2.2000000000000002</v>
      </c>
      <c r="K327" s="3462">
        <v>66.916669999999996</v>
      </c>
      <c r="L327" s="3462">
        <v>71458.97</v>
      </c>
      <c r="M327" s="3462">
        <v>19488.810000000001</v>
      </c>
      <c r="N327" s="3462">
        <v>0</v>
      </c>
      <c r="O327" s="3462">
        <v>2784230.13</v>
      </c>
    </row>
    <row r="328" spans="1:15">
      <c r="A328" s="3461"/>
      <c r="B328" s="3461"/>
      <c r="C328" s="3461"/>
      <c r="D328" s="3461"/>
      <c r="E328" s="3461"/>
      <c r="F328" s="3461"/>
      <c r="G328" s="3464">
        <f>SUM(G318:G327)</f>
        <v>11169.09</v>
      </c>
      <c r="H328" s="3469">
        <f>面积表!C6</f>
        <v>11211.78</v>
      </c>
      <c r="I328" s="3461"/>
      <c r="J328" s="3465">
        <f>ROUND(SUMPRODUCT(J318:J327,G318:G327)/G328,2)</f>
        <v>2.59</v>
      </c>
      <c r="K328" s="3462"/>
      <c r="L328" s="3462"/>
      <c r="M328" s="3462"/>
      <c r="N328" s="3462"/>
      <c r="O328" s="3462"/>
    </row>
    <row r="329" spans="1:15">
      <c r="A329" s="3461" t="s">
        <v>3463</v>
      </c>
      <c r="B329" s="3461" t="s">
        <v>3464</v>
      </c>
      <c r="C329" s="3461" t="s">
        <v>3823</v>
      </c>
      <c r="D329" s="3461" t="s">
        <v>3824</v>
      </c>
      <c r="E329" s="3461" t="s">
        <v>3825</v>
      </c>
      <c r="F329" s="3461" t="s">
        <v>3826</v>
      </c>
      <c r="G329" s="3461">
        <v>3680.23</v>
      </c>
      <c r="H329" s="3461" t="s">
        <v>3827</v>
      </c>
      <c r="I329" s="3461" t="s">
        <v>3706</v>
      </c>
      <c r="J329" s="3462">
        <v>2.65</v>
      </c>
      <c r="K329" s="3462">
        <v>322.41665999999998</v>
      </c>
      <c r="L329" s="3462">
        <v>293675.62</v>
      </c>
      <c r="M329" s="3462">
        <v>71998.98</v>
      </c>
      <c r="N329" s="3462">
        <v>0.15</v>
      </c>
      <c r="O329" s="3462">
        <v>15719138.73</v>
      </c>
    </row>
    <row r="330" spans="1:15">
      <c r="A330" s="3461" t="s">
        <v>3463</v>
      </c>
      <c r="B330" s="3461" t="s">
        <v>3464</v>
      </c>
      <c r="C330" s="3461" t="s">
        <v>3518</v>
      </c>
      <c r="D330" s="3461" t="s">
        <v>3519</v>
      </c>
      <c r="E330" s="3461" t="s">
        <v>3520</v>
      </c>
      <c r="F330" s="3461" t="s">
        <v>3521</v>
      </c>
      <c r="G330" s="3461">
        <v>1085.5999999999999</v>
      </c>
      <c r="H330" s="3461" t="s">
        <v>3522</v>
      </c>
      <c r="I330" s="3461" t="s">
        <v>3523</v>
      </c>
      <c r="J330" s="3462">
        <v>2.1</v>
      </c>
      <c r="K330" s="3462">
        <v>63.88</v>
      </c>
      <c r="L330" s="3462">
        <v>69342.7</v>
      </c>
      <c r="M330" s="3462">
        <v>49530.5</v>
      </c>
      <c r="N330" s="3462">
        <v>0</v>
      </c>
      <c r="O330" s="3462">
        <v>5295157.29</v>
      </c>
    </row>
    <row r="331" spans="1:15">
      <c r="A331" s="3461" t="s">
        <v>3463</v>
      </c>
      <c r="B331" s="3461" t="s">
        <v>3464</v>
      </c>
      <c r="C331" s="3461" t="s">
        <v>3944</v>
      </c>
      <c r="D331" s="3461" t="s">
        <v>3942</v>
      </c>
      <c r="E331" s="3461" t="s">
        <v>3945</v>
      </c>
      <c r="F331" s="3461" t="s">
        <v>3946</v>
      </c>
      <c r="G331" s="3461">
        <v>811.88</v>
      </c>
      <c r="H331" s="3461" t="s">
        <v>3942</v>
      </c>
      <c r="I331" s="3461" t="s">
        <v>3947</v>
      </c>
      <c r="J331" s="3462">
        <v>2.4</v>
      </c>
      <c r="K331" s="3462">
        <v>73</v>
      </c>
      <c r="L331" s="3462">
        <v>59267.24</v>
      </c>
      <c r="M331" s="3462">
        <v>7408.41</v>
      </c>
      <c r="N331" s="3462">
        <v>0</v>
      </c>
      <c r="O331" s="3462">
        <v>1527247.77</v>
      </c>
    </row>
    <row r="332" spans="1:15">
      <c r="A332" s="3461" t="s">
        <v>3463</v>
      </c>
      <c r="B332" s="3461" t="s">
        <v>3464</v>
      </c>
      <c r="C332" s="3461" t="s">
        <v>4774</v>
      </c>
      <c r="D332" s="3461" t="s">
        <v>4575</v>
      </c>
      <c r="E332" s="3461" t="s">
        <v>4726</v>
      </c>
      <c r="F332" s="3461" t="s">
        <v>4775</v>
      </c>
      <c r="G332" s="3461">
        <v>1897.48</v>
      </c>
      <c r="H332" s="3461" t="s">
        <v>4776</v>
      </c>
      <c r="I332" s="3461" t="s">
        <v>3706</v>
      </c>
      <c r="J332" s="3462">
        <v>2.2999999999999998</v>
      </c>
      <c r="K332" s="3462">
        <v>139.91667000000001</v>
      </c>
      <c r="L332" s="3462">
        <v>132744.54</v>
      </c>
      <c r="M332" s="3462">
        <v>17314.53</v>
      </c>
      <c r="N332" s="3462">
        <v>0</v>
      </c>
      <c r="O332" s="3462">
        <v>5137664.37</v>
      </c>
    </row>
    <row r="333" spans="1:15">
      <c r="A333" s="3461"/>
      <c r="B333" s="3461"/>
      <c r="C333" s="3461"/>
      <c r="D333" s="3461"/>
      <c r="E333" s="3461"/>
      <c r="F333" s="3461"/>
      <c r="G333" s="3464">
        <f>SUM(G329:G332)</f>
        <v>7475.1900000000005</v>
      </c>
      <c r="H333" s="3469">
        <f>面积表!C8</f>
        <v>9393.74</v>
      </c>
      <c r="I333" s="3461"/>
      <c r="J333" s="3465">
        <f>ROUND(SUMPRODUCT(J329:J332,G329:G332)/G333,2)</f>
        <v>2.4500000000000002</v>
      </c>
      <c r="K333" s="3462"/>
      <c r="L333" s="3462"/>
      <c r="M333" s="3462"/>
      <c r="N333" s="3462"/>
      <c r="O333" s="3462"/>
    </row>
    <row r="334" spans="1:15">
      <c r="A334" s="3461" t="s">
        <v>3463</v>
      </c>
      <c r="B334" s="3461" t="s">
        <v>3464</v>
      </c>
      <c r="C334" s="3461" t="s">
        <v>3586</v>
      </c>
      <c r="D334" s="3461" t="s">
        <v>3587</v>
      </c>
      <c r="E334" s="3461" t="s">
        <v>3588</v>
      </c>
      <c r="F334" s="3461" t="s">
        <v>3589</v>
      </c>
      <c r="G334" s="3461">
        <v>1068.2</v>
      </c>
      <c r="H334" s="3461" t="s">
        <v>3590</v>
      </c>
      <c r="I334" s="3461" t="s">
        <v>3591</v>
      </c>
      <c r="J334" s="3462">
        <v>1.95</v>
      </c>
      <c r="K334" s="3462">
        <v>59.3125</v>
      </c>
      <c r="L334" s="3462">
        <v>63357.61</v>
      </c>
      <c r="M334" s="3462">
        <v>34115.629999999997</v>
      </c>
      <c r="N334" s="3462">
        <v>16023</v>
      </c>
      <c r="O334" s="3462">
        <v>4491767.63</v>
      </c>
    </row>
    <row r="335" spans="1:15">
      <c r="A335" s="3461" t="s">
        <v>3463</v>
      </c>
      <c r="B335" s="3461" t="s">
        <v>3464</v>
      </c>
      <c r="C335" s="3461" t="s">
        <v>3643</v>
      </c>
      <c r="D335" s="3461" t="s">
        <v>3644</v>
      </c>
      <c r="E335" s="3461" t="s">
        <v>3645</v>
      </c>
      <c r="F335" s="3461" t="s">
        <v>3646</v>
      </c>
      <c r="G335" s="3461">
        <v>3647.21</v>
      </c>
      <c r="H335" s="3461" t="s">
        <v>3647</v>
      </c>
      <c r="I335" s="3461" t="s">
        <v>3648</v>
      </c>
      <c r="J335" s="3462">
        <v>3.19</v>
      </c>
      <c r="K335" s="3462">
        <v>388.11666000000002</v>
      </c>
      <c r="L335" s="3462">
        <v>350461.65</v>
      </c>
      <c r="M335" s="3462">
        <v>95580.45</v>
      </c>
      <c r="N335" s="3462">
        <v>0</v>
      </c>
      <c r="O335" s="3462">
        <v>23061130.050000001</v>
      </c>
    </row>
    <row r="336" spans="1:15">
      <c r="A336" s="3461" t="s">
        <v>3463</v>
      </c>
      <c r="B336" s="3461" t="s">
        <v>3464</v>
      </c>
      <c r="C336" s="3461" t="s">
        <v>3495</v>
      </c>
      <c r="D336" s="3461" t="s">
        <v>3496</v>
      </c>
      <c r="E336" s="3461" t="s">
        <v>3497</v>
      </c>
      <c r="F336" s="3461" t="s">
        <v>3498</v>
      </c>
      <c r="G336" s="3461">
        <v>1880.46</v>
      </c>
      <c r="H336" s="3461" t="s">
        <v>3499</v>
      </c>
      <c r="I336" s="3461" t="s">
        <v>3500</v>
      </c>
      <c r="J336" s="3462">
        <v>2.2000000000000002</v>
      </c>
      <c r="K336" s="3462">
        <v>133.84</v>
      </c>
      <c r="L336" s="3462">
        <v>125834.11</v>
      </c>
      <c r="M336" s="3462">
        <v>377502.35</v>
      </c>
      <c r="N336" s="3462">
        <v>0</v>
      </c>
      <c r="O336" s="3462">
        <v>7848945.9299999997</v>
      </c>
    </row>
    <row r="337" spans="1:15">
      <c r="A337" s="3461" t="s">
        <v>3463</v>
      </c>
      <c r="B337" s="3461" t="s">
        <v>3464</v>
      </c>
      <c r="C337" s="3461" t="s">
        <v>4369</v>
      </c>
      <c r="D337" s="3461" t="s">
        <v>4318</v>
      </c>
      <c r="E337" s="3461" t="s">
        <v>4370</v>
      </c>
      <c r="F337" s="3461" t="s">
        <v>4371</v>
      </c>
      <c r="G337" s="3461">
        <v>812.26</v>
      </c>
      <c r="H337" s="3461" t="s">
        <v>4372</v>
      </c>
      <c r="I337" s="3461" t="s">
        <v>3779</v>
      </c>
      <c r="J337" s="3462">
        <v>2.2999999999999998</v>
      </c>
      <c r="K337" s="3462">
        <v>69.958340000000007</v>
      </c>
      <c r="L337" s="3462">
        <v>56824.36</v>
      </c>
      <c r="M337" s="3462">
        <v>170473.08</v>
      </c>
      <c r="N337" s="3462">
        <v>12183.9</v>
      </c>
      <c r="O337" s="3462">
        <v>1529952.78</v>
      </c>
    </row>
    <row r="338" spans="1:15">
      <c r="A338" s="3461" t="s">
        <v>3463</v>
      </c>
      <c r="B338" s="3461" t="s">
        <v>3464</v>
      </c>
      <c r="C338" s="3461" t="s">
        <v>3524</v>
      </c>
      <c r="D338" s="3461" t="s">
        <v>3525</v>
      </c>
      <c r="E338" s="3461" t="s">
        <v>3526</v>
      </c>
      <c r="F338" s="3461" t="s">
        <v>3527</v>
      </c>
      <c r="G338" s="3461">
        <v>812.26</v>
      </c>
      <c r="H338" s="3461" t="s">
        <v>3528</v>
      </c>
      <c r="I338" s="3461" t="s">
        <v>3529</v>
      </c>
      <c r="J338" s="3462">
        <v>2</v>
      </c>
      <c r="K338" s="3462">
        <v>60.83</v>
      </c>
      <c r="L338" s="3462">
        <v>49412.480000000003</v>
      </c>
      <c r="M338" s="3462">
        <v>148237.44</v>
      </c>
      <c r="N338" s="3462">
        <v>12183.9</v>
      </c>
      <c r="O338" s="3462">
        <v>3414307.74</v>
      </c>
    </row>
    <row r="339" spans="1:15">
      <c r="A339" s="3461"/>
      <c r="B339" s="3461"/>
      <c r="C339" s="3461"/>
      <c r="D339" s="3461"/>
      <c r="E339" s="3461"/>
      <c r="F339" s="3461"/>
      <c r="G339" s="3464">
        <f>SUM(G334:G338)</f>
        <v>8220.39</v>
      </c>
      <c r="H339" s="3469">
        <f>面积表!C9</f>
        <v>11211.78</v>
      </c>
      <c r="I339" s="3461"/>
      <c r="J339" s="3465">
        <f>ROUND(SUMPRODUCT(J334:J338,G334:G338)/G339,2)</f>
        <v>2.6</v>
      </c>
      <c r="K339" s="3462"/>
      <c r="L339" s="3462"/>
      <c r="M339" s="3462"/>
      <c r="N339" s="3462"/>
      <c r="O339" s="3462"/>
    </row>
    <row r="340" spans="1:15">
      <c r="A340" s="3461" t="s">
        <v>3463</v>
      </c>
      <c r="B340" s="3461" t="s">
        <v>3464</v>
      </c>
      <c r="C340" s="3461" t="s">
        <v>4834</v>
      </c>
      <c r="D340" s="3461" t="s">
        <v>4817</v>
      </c>
      <c r="E340" s="3461" t="s">
        <v>4835</v>
      </c>
      <c r="F340" s="3461" t="s">
        <v>4836</v>
      </c>
      <c r="G340" s="3461">
        <v>798.06</v>
      </c>
      <c r="H340" s="3461" t="s">
        <v>4817</v>
      </c>
      <c r="I340" s="3461" t="s">
        <v>4551</v>
      </c>
      <c r="J340" s="3462">
        <v>4</v>
      </c>
      <c r="K340" s="3462">
        <v>121.66667</v>
      </c>
      <c r="L340" s="3462">
        <v>97097.3</v>
      </c>
      <c r="M340" s="3462">
        <v>291291.90000000002</v>
      </c>
      <c r="N340" s="3462">
        <v>11970.9</v>
      </c>
      <c r="O340" s="3462">
        <v>3651124.5</v>
      </c>
    </row>
    <row r="341" spans="1:15">
      <c r="A341" s="3461" t="s">
        <v>3463</v>
      </c>
      <c r="B341" s="3461" t="s">
        <v>3464</v>
      </c>
      <c r="C341" s="3461" t="s">
        <v>3692</v>
      </c>
      <c r="D341" s="3461" t="s">
        <v>3693</v>
      </c>
      <c r="E341" s="3461" t="s">
        <v>3694</v>
      </c>
      <c r="F341" s="3461" t="s">
        <v>3695</v>
      </c>
      <c r="G341" s="3461">
        <v>1085.5999999999999</v>
      </c>
      <c r="H341" s="3461" t="s">
        <v>3685</v>
      </c>
      <c r="I341" s="3461" t="s">
        <v>3696</v>
      </c>
      <c r="J341" s="3462">
        <v>2.2000000000000002</v>
      </c>
      <c r="K341" s="3462">
        <v>66.916659999999993</v>
      </c>
      <c r="L341" s="3462">
        <v>72644.73</v>
      </c>
      <c r="M341" s="3462">
        <v>217934.19</v>
      </c>
      <c r="N341" s="3462">
        <v>16284</v>
      </c>
      <c r="O341" s="3462">
        <v>4947241.83</v>
      </c>
    </row>
    <row r="342" spans="1:15">
      <c r="A342" s="3461" t="s">
        <v>3463</v>
      </c>
      <c r="B342" s="3461" t="s">
        <v>3464</v>
      </c>
      <c r="C342" s="3461" t="s">
        <v>3769</v>
      </c>
      <c r="D342" s="3461" t="s">
        <v>3742</v>
      </c>
      <c r="E342" s="3461" t="s">
        <v>3770</v>
      </c>
      <c r="F342" s="3461" t="s">
        <v>3771</v>
      </c>
      <c r="G342" s="3461">
        <v>1085.5999999999999</v>
      </c>
      <c r="H342" s="3461" t="s">
        <v>3772</v>
      </c>
      <c r="I342" s="3461" t="s">
        <v>3773</v>
      </c>
      <c r="J342" s="3462">
        <v>2.2999999999999998</v>
      </c>
      <c r="K342" s="3462">
        <v>69.958340000000007</v>
      </c>
      <c r="L342" s="3462">
        <v>75946.77</v>
      </c>
      <c r="M342" s="3462">
        <v>9906.1200000000008</v>
      </c>
      <c r="N342" s="3462">
        <v>0</v>
      </c>
      <c r="O342" s="3462">
        <v>5082589.4400000004</v>
      </c>
    </row>
    <row r="343" spans="1:15">
      <c r="A343" s="3461" t="s">
        <v>3463</v>
      </c>
      <c r="B343" s="3461" t="s">
        <v>3464</v>
      </c>
      <c r="C343" s="3461" t="s">
        <v>3894</v>
      </c>
      <c r="D343" s="3461" t="s">
        <v>3895</v>
      </c>
      <c r="E343" s="3461" t="s">
        <v>3896</v>
      </c>
      <c r="F343" s="3461" t="s">
        <v>3897</v>
      </c>
      <c r="G343" s="3461">
        <v>1085.5999999999999</v>
      </c>
      <c r="H343" s="3461" t="s">
        <v>3883</v>
      </c>
      <c r="I343" s="3461" t="s">
        <v>3898</v>
      </c>
      <c r="J343" s="3462">
        <v>2.42</v>
      </c>
      <c r="K343" s="3462">
        <v>73.608339999999998</v>
      </c>
      <c r="L343" s="3462">
        <v>79909.210000000006</v>
      </c>
      <c r="M343" s="3462">
        <v>239727.63</v>
      </c>
      <c r="N343" s="3462">
        <v>16284</v>
      </c>
      <c r="O343" s="3462">
        <v>2304104.67</v>
      </c>
    </row>
    <row r="344" spans="1:15">
      <c r="A344" s="3461" t="s">
        <v>3463</v>
      </c>
      <c r="B344" s="3461" t="s">
        <v>3464</v>
      </c>
      <c r="C344" s="3461" t="s">
        <v>4403</v>
      </c>
      <c r="D344" s="3461" t="s">
        <v>4382</v>
      </c>
      <c r="E344" s="3461" t="s">
        <v>3911</v>
      </c>
      <c r="F344" s="3461" t="s">
        <v>4404</v>
      </c>
      <c r="G344" s="3461">
        <v>1085.5999999999999</v>
      </c>
      <c r="H344" s="3461" t="s">
        <v>4405</v>
      </c>
      <c r="I344" s="3461" t="s">
        <v>4406</v>
      </c>
      <c r="J344" s="3462">
        <v>2.2999999999999998</v>
      </c>
      <c r="K344" s="3462">
        <v>69.958340000000007</v>
      </c>
      <c r="L344" s="3462">
        <v>75946.77</v>
      </c>
      <c r="M344" s="3462">
        <v>227840.31</v>
      </c>
      <c r="N344" s="3462">
        <v>16284</v>
      </c>
      <c r="O344" s="3462">
        <v>5126610.51</v>
      </c>
    </row>
    <row r="345" spans="1:15">
      <c r="A345" s="3461" t="s">
        <v>3463</v>
      </c>
      <c r="B345" s="3461" t="s">
        <v>3464</v>
      </c>
      <c r="C345" s="3461" t="s">
        <v>4814</v>
      </c>
      <c r="D345" s="3461" t="s">
        <v>4772</v>
      </c>
      <c r="E345" s="3461" t="s">
        <v>4815</v>
      </c>
      <c r="F345" s="3461" t="s">
        <v>4816</v>
      </c>
      <c r="G345" s="3461">
        <v>1796.57</v>
      </c>
      <c r="H345" s="3461" t="s">
        <v>4817</v>
      </c>
      <c r="I345" s="3461" t="s">
        <v>3482</v>
      </c>
      <c r="J345" s="3462">
        <v>3.15</v>
      </c>
      <c r="K345" s="3462">
        <v>191.625</v>
      </c>
      <c r="L345" s="3462">
        <v>176601.72</v>
      </c>
      <c r="M345" s="3462">
        <v>529805.16</v>
      </c>
      <c r="N345" s="3462">
        <v>26948.55</v>
      </c>
      <c r="O345" s="3462">
        <v>4480978.3499999996</v>
      </c>
    </row>
    <row r="346" spans="1:15">
      <c r="A346" s="3461" t="s">
        <v>3463</v>
      </c>
      <c r="B346" s="3461" t="s">
        <v>3464</v>
      </c>
      <c r="C346" s="3461" t="s">
        <v>3471</v>
      </c>
      <c r="D346" s="3461" t="s">
        <v>3472</v>
      </c>
      <c r="E346" s="3461" t="s">
        <v>3473</v>
      </c>
      <c r="F346" s="3461" t="s">
        <v>3474</v>
      </c>
      <c r="G346" s="3461">
        <v>811.88</v>
      </c>
      <c r="H346" s="3461" t="s">
        <v>3475</v>
      </c>
      <c r="I346" s="3461" t="s">
        <v>3476</v>
      </c>
      <c r="J346" s="3462">
        <v>2.09</v>
      </c>
      <c r="K346" s="3462">
        <v>63.58</v>
      </c>
      <c r="L346" s="3462">
        <v>51612</v>
      </c>
      <c r="M346" s="3462">
        <v>0</v>
      </c>
      <c r="N346" s="3462">
        <v>0</v>
      </c>
      <c r="O346" s="3462">
        <v>8668269.5700000003</v>
      </c>
    </row>
    <row r="347" spans="1:15">
      <c r="A347" s="3461" t="s">
        <v>3463</v>
      </c>
      <c r="B347" s="3461" t="s">
        <v>3464</v>
      </c>
      <c r="C347" s="3461" t="s">
        <v>3483</v>
      </c>
      <c r="D347" s="3461" t="s">
        <v>3484</v>
      </c>
      <c r="E347" s="3461" t="s">
        <v>3485</v>
      </c>
      <c r="F347" s="3461" t="s">
        <v>3486</v>
      </c>
      <c r="G347" s="3461">
        <v>811.88</v>
      </c>
      <c r="H347" s="3461" t="s">
        <v>3487</v>
      </c>
      <c r="I347" s="3461" t="s">
        <v>3488</v>
      </c>
      <c r="J347" s="3462">
        <v>2.1</v>
      </c>
      <c r="K347" s="3462">
        <v>63.875</v>
      </c>
      <c r="L347" s="3462">
        <v>51858.84</v>
      </c>
      <c r="M347" s="3462">
        <v>155576.51999999999</v>
      </c>
      <c r="N347" s="3462">
        <v>0</v>
      </c>
      <c r="O347" s="3462">
        <v>3287850.36</v>
      </c>
    </row>
    <row r="348" spans="1:15">
      <c r="A348" s="3461" t="s">
        <v>3463</v>
      </c>
      <c r="B348" s="3461" t="s">
        <v>3464</v>
      </c>
      <c r="C348" s="3461" t="s">
        <v>4412</v>
      </c>
      <c r="D348" s="3461" t="s">
        <v>4382</v>
      </c>
      <c r="E348" s="3461" t="s">
        <v>3911</v>
      </c>
      <c r="F348" s="3461" t="s">
        <v>4413</v>
      </c>
      <c r="G348" s="3461">
        <v>811.88</v>
      </c>
      <c r="H348" s="3461" t="s">
        <v>4405</v>
      </c>
      <c r="I348" s="3461" t="s">
        <v>4406</v>
      </c>
      <c r="J348" s="3462">
        <v>2.2999999999999998</v>
      </c>
      <c r="K348" s="3462">
        <v>69.958330000000004</v>
      </c>
      <c r="L348" s="3462">
        <v>56797.77</v>
      </c>
      <c r="M348" s="3462">
        <v>7408.41</v>
      </c>
      <c r="N348" s="3462">
        <v>0</v>
      </c>
      <c r="O348" s="3462">
        <v>3937394.73</v>
      </c>
    </row>
    <row r="349" spans="1:15">
      <c r="A349" s="3461"/>
      <c r="B349" s="3461"/>
      <c r="C349" s="3461"/>
      <c r="D349" s="3461"/>
      <c r="E349" s="3461"/>
      <c r="F349" s="3461"/>
      <c r="G349" s="3464">
        <f>SUM(G340:G348)</f>
        <v>9372.6699999999983</v>
      </c>
      <c r="H349" s="3469">
        <f>面积表!C10</f>
        <v>9393.74</v>
      </c>
      <c r="I349" s="3461"/>
      <c r="J349" s="3465">
        <f>ROUND(SUMPRODUCT(J340:J348,G340:G348)/G349,2)</f>
        <v>2.57</v>
      </c>
      <c r="K349" s="3462"/>
      <c r="L349" s="3462"/>
      <c r="M349" s="3462"/>
      <c r="N349" s="3462"/>
      <c r="O349" s="3462"/>
    </row>
    <row r="350" spans="1:15">
      <c r="A350" s="3461" t="s">
        <v>3463</v>
      </c>
      <c r="B350" s="3461" t="s">
        <v>3464</v>
      </c>
      <c r="C350" s="3461" t="s">
        <v>3465</v>
      </c>
      <c r="D350" s="3461" t="s">
        <v>3466</v>
      </c>
      <c r="E350" s="3461" t="s">
        <v>3467</v>
      </c>
      <c r="F350" s="3461" t="s">
        <v>3468</v>
      </c>
      <c r="G350" s="3461">
        <v>20541.71</v>
      </c>
      <c r="H350" s="3461" t="s">
        <v>3469</v>
      </c>
      <c r="I350" s="3461" t="s">
        <v>3470</v>
      </c>
      <c r="J350" s="3462">
        <v>2.3000000000000003</v>
      </c>
      <c r="K350" s="3462">
        <v>1539.0833500000001</v>
      </c>
      <c r="L350" s="3462">
        <v>1437063.8</v>
      </c>
      <c r="M350" s="3462">
        <v>17244765.600000001</v>
      </c>
      <c r="N350" s="3462">
        <v>0</v>
      </c>
      <c r="O350" s="3462">
        <v>206355545.74000001</v>
      </c>
    </row>
    <row r="351" spans="1:15">
      <c r="A351" s="3461"/>
      <c r="B351" s="3461"/>
      <c r="C351" s="3461"/>
      <c r="D351" s="3461"/>
      <c r="E351" s="3461"/>
      <c r="F351" s="3461"/>
      <c r="G351" s="3464">
        <f>G350</f>
        <v>20541.71</v>
      </c>
      <c r="H351" s="3469">
        <f>面积表!C11</f>
        <v>11211.78</v>
      </c>
      <c r="I351" s="3461"/>
      <c r="J351" s="3465">
        <f>J350</f>
        <v>2.3000000000000003</v>
      </c>
      <c r="K351" s="3462"/>
      <c r="L351" s="3462"/>
      <c r="M351" s="3462"/>
      <c r="N351" s="3462"/>
      <c r="O351" s="3462"/>
    </row>
    <row r="352" spans="1:15">
      <c r="A352" s="3461" t="s">
        <v>3463</v>
      </c>
      <c r="B352" s="3461" t="s">
        <v>3464</v>
      </c>
      <c r="C352" s="3461" t="s">
        <v>3512</v>
      </c>
      <c r="D352" s="3461" t="s">
        <v>3513</v>
      </c>
      <c r="E352" s="3461" t="s">
        <v>3514</v>
      </c>
      <c r="F352" s="3461" t="s">
        <v>3515</v>
      </c>
      <c r="G352" s="3461">
        <v>803.94</v>
      </c>
      <c r="H352" s="3461" t="s">
        <v>3516</v>
      </c>
      <c r="I352" s="3461" t="s">
        <v>3517</v>
      </c>
      <c r="J352" s="3462">
        <v>2.2000000000000002</v>
      </c>
      <c r="K352" s="3462">
        <v>66.916669999999996</v>
      </c>
      <c r="L352" s="3462">
        <v>53796.99</v>
      </c>
      <c r="M352" s="3462">
        <v>51351.69</v>
      </c>
      <c r="N352" s="3462">
        <v>0</v>
      </c>
      <c r="O352" s="3462">
        <v>3384808.77</v>
      </c>
    </row>
    <row r="353" spans="1:15">
      <c r="A353" s="3461" t="s">
        <v>3463</v>
      </c>
      <c r="B353" s="3461" t="s">
        <v>3464</v>
      </c>
      <c r="C353" s="3461" t="s">
        <v>4868</v>
      </c>
      <c r="D353" s="3461" t="s">
        <v>4861</v>
      </c>
      <c r="E353" s="3461" t="s">
        <v>4869</v>
      </c>
      <c r="F353" s="3461" t="s">
        <v>4870</v>
      </c>
      <c r="G353" s="3461">
        <v>803.94</v>
      </c>
      <c r="H353" s="3461" t="s">
        <v>4871</v>
      </c>
      <c r="I353" s="3461" t="s">
        <v>4872</v>
      </c>
      <c r="J353" s="3462">
        <v>2.4</v>
      </c>
      <c r="K353" s="3462">
        <v>73</v>
      </c>
      <c r="L353" s="3462">
        <v>58687.62</v>
      </c>
      <c r="M353" s="3462">
        <v>176062.86</v>
      </c>
      <c r="N353" s="3462">
        <v>12059.1</v>
      </c>
      <c r="O353" s="3462">
        <v>2358759.96</v>
      </c>
    </row>
    <row r="354" spans="1:15">
      <c r="A354" s="3461" t="s">
        <v>3463</v>
      </c>
      <c r="B354" s="3461" t="s">
        <v>3464</v>
      </c>
      <c r="C354" s="3461" t="s">
        <v>4728</v>
      </c>
      <c r="D354" s="3461" t="s">
        <v>4729</v>
      </c>
      <c r="E354" s="3461" t="s">
        <v>4730</v>
      </c>
      <c r="F354" s="3461" t="s">
        <v>4731</v>
      </c>
      <c r="G354" s="3461">
        <v>803.94</v>
      </c>
      <c r="H354" s="3461" t="s">
        <v>4718</v>
      </c>
      <c r="I354" s="3461" t="s">
        <v>3822</v>
      </c>
      <c r="J354" s="3462">
        <v>2.2999999999999998</v>
      </c>
      <c r="K354" s="3462">
        <v>69.958330000000004</v>
      </c>
      <c r="L354" s="3462">
        <v>56242.3</v>
      </c>
      <c r="M354" s="3462">
        <v>168726.9</v>
      </c>
      <c r="N354" s="3462">
        <v>12059.1</v>
      </c>
      <c r="O354" s="3462">
        <v>903930</v>
      </c>
    </row>
    <row r="355" spans="1:15">
      <c r="A355" s="3461" t="s">
        <v>3463</v>
      </c>
      <c r="B355" s="3461" t="s">
        <v>3464</v>
      </c>
      <c r="C355" s="3461" t="s">
        <v>4236</v>
      </c>
      <c r="D355" s="3461" t="s">
        <v>4237</v>
      </c>
      <c r="E355" s="3461" t="s">
        <v>3814</v>
      </c>
      <c r="F355" s="3461" t="s">
        <v>4238</v>
      </c>
      <c r="G355" s="3461">
        <v>1074.8</v>
      </c>
      <c r="H355" s="3461" t="s">
        <v>4234</v>
      </c>
      <c r="I355" s="3461" t="s">
        <v>3529</v>
      </c>
      <c r="J355" s="3462">
        <v>2.2999999999999998</v>
      </c>
      <c r="K355" s="3462">
        <v>69.959999999999994</v>
      </c>
      <c r="L355" s="3462">
        <v>75191</v>
      </c>
      <c r="M355" s="3462">
        <v>56846.76</v>
      </c>
      <c r="N355" s="3462">
        <v>4062.9</v>
      </c>
      <c r="O355" s="3462">
        <v>2477866.2599999998</v>
      </c>
    </row>
    <row r="356" spans="1:15">
      <c r="A356" s="3461" t="s">
        <v>3463</v>
      </c>
      <c r="B356" s="3461" t="s">
        <v>3464</v>
      </c>
      <c r="C356" s="3461" t="s">
        <v>3780</v>
      </c>
      <c r="D356" s="3461" t="s">
        <v>3781</v>
      </c>
      <c r="E356" s="3461" t="s">
        <v>3782</v>
      </c>
      <c r="F356" s="3461" t="s">
        <v>3783</v>
      </c>
      <c r="G356" s="3461">
        <v>803.94</v>
      </c>
      <c r="H356" s="3461" t="s">
        <v>3784</v>
      </c>
      <c r="I356" s="3461" t="s">
        <v>3785</v>
      </c>
      <c r="J356" s="3462">
        <v>2.2999999999999998</v>
      </c>
      <c r="K356" s="3462">
        <v>69.958330000000004</v>
      </c>
      <c r="L356" s="3462">
        <v>56242.3</v>
      </c>
      <c r="M356" s="3462">
        <v>22007.85</v>
      </c>
      <c r="N356" s="3462">
        <v>0</v>
      </c>
      <c r="O356" s="3462">
        <v>1468295.85</v>
      </c>
    </row>
    <row r="357" spans="1:15">
      <c r="A357" s="3461" t="s">
        <v>3463</v>
      </c>
      <c r="B357" s="3461" t="s">
        <v>3464</v>
      </c>
      <c r="C357" s="3461" t="s">
        <v>3538</v>
      </c>
      <c r="D357" s="3461" t="s">
        <v>3539</v>
      </c>
      <c r="E357" s="3461" t="s">
        <v>3540</v>
      </c>
      <c r="F357" s="3461" t="s">
        <v>3541</v>
      </c>
      <c r="G357" s="3461">
        <v>1766.75</v>
      </c>
      <c r="H357" s="3461" t="s">
        <v>3542</v>
      </c>
      <c r="I357" s="3461" t="s">
        <v>3543</v>
      </c>
      <c r="J357" s="3462">
        <v>7.0000000000000007E-2</v>
      </c>
      <c r="K357" s="3462">
        <v>3.96</v>
      </c>
      <c r="L357" s="3462">
        <v>3133.34</v>
      </c>
      <c r="M357" s="3462">
        <v>0</v>
      </c>
      <c r="N357" s="3462">
        <v>0</v>
      </c>
      <c r="O357" s="3462">
        <v>238000</v>
      </c>
    </row>
    <row r="358" spans="1:15">
      <c r="A358" s="3461" t="s">
        <v>3463</v>
      </c>
      <c r="B358" s="3461" t="s">
        <v>3464</v>
      </c>
      <c r="C358" s="3461" t="s">
        <v>3741</v>
      </c>
      <c r="D358" s="3461" t="s">
        <v>3742</v>
      </c>
      <c r="E358" s="3461" t="s">
        <v>3743</v>
      </c>
      <c r="F358" s="3461" t="s">
        <v>3744</v>
      </c>
      <c r="G358" s="3461">
        <v>1076.52</v>
      </c>
      <c r="H358" s="3461" t="s">
        <v>3745</v>
      </c>
      <c r="I358" s="3461" t="s">
        <v>3476</v>
      </c>
      <c r="J358" s="3462">
        <v>2</v>
      </c>
      <c r="K358" s="3462">
        <v>60.833329999999997</v>
      </c>
      <c r="L358" s="3462">
        <v>65488.3</v>
      </c>
      <c r="M358" s="3462">
        <v>196464.9</v>
      </c>
      <c r="N358" s="3462">
        <v>16147.8</v>
      </c>
      <c r="O358" s="3462">
        <v>1717049.34</v>
      </c>
    </row>
    <row r="359" spans="1:15">
      <c r="A359" s="3461" t="s">
        <v>3463</v>
      </c>
      <c r="B359" s="3461" t="s">
        <v>3464</v>
      </c>
      <c r="C359" s="3461" t="s">
        <v>3838</v>
      </c>
      <c r="D359" s="3461" t="s">
        <v>3839</v>
      </c>
      <c r="E359" s="3461" t="s">
        <v>3545</v>
      </c>
      <c r="F359" s="3461" t="s">
        <v>3840</v>
      </c>
      <c r="G359" s="3461">
        <v>1076.52</v>
      </c>
      <c r="H359" s="3461" t="s">
        <v>3836</v>
      </c>
      <c r="I359" s="3461" t="s">
        <v>3482</v>
      </c>
      <c r="J359" s="3462">
        <v>2.1</v>
      </c>
      <c r="K359" s="3462">
        <v>63.875</v>
      </c>
      <c r="L359" s="3462">
        <v>68762.720000000001</v>
      </c>
      <c r="M359" s="3462">
        <v>137525.44</v>
      </c>
      <c r="N359" s="3462">
        <v>10765.2</v>
      </c>
      <c r="O359" s="3462">
        <v>2542471.36</v>
      </c>
    </row>
    <row r="360" spans="1:15">
      <c r="A360" s="3461" t="s">
        <v>3463</v>
      </c>
      <c r="B360" s="3461" t="s">
        <v>3464</v>
      </c>
      <c r="C360" s="3461" t="s">
        <v>3707</v>
      </c>
      <c r="D360" s="3461" t="s">
        <v>3708</v>
      </c>
      <c r="E360" s="3461" t="s">
        <v>3709</v>
      </c>
      <c r="F360" s="3461" t="s">
        <v>3710</v>
      </c>
      <c r="G360" s="3461">
        <v>1076.52</v>
      </c>
      <c r="H360" s="3461" t="s">
        <v>3711</v>
      </c>
      <c r="I360" s="3461" t="s">
        <v>3712</v>
      </c>
      <c r="J360" s="3462">
        <v>2.2999999999999998</v>
      </c>
      <c r="K360" s="3462">
        <v>69.958340000000007</v>
      </c>
      <c r="L360" s="3462">
        <v>75311.55</v>
      </c>
      <c r="M360" s="3462">
        <v>225934.65</v>
      </c>
      <c r="N360" s="3462">
        <v>16147.8</v>
      </c>
      <c r="O360" s="3462">
        <v>5128918.29</v>
      </c>
    </row>
    <row r="361" spans="1:15">
      <c r="A361" s="3461"/>
      <c r="B361" s="3461"/>
      <c r="C361" s="3461"/>
      <c r="D361" s="3461"/>
      <c r="E361" s="3461"/>
      <c r="F361" s="3461"/>
      <c r="G361" s="3464">
        <f>SUM(G352:G360)</f>
        <v>9286.8700000000008</v>
      </c>
      <c r="H361" s="3469">
        <f>面积表!D12</f>
        <v>10929.3</v>
      </c>
      <c r="I361" s="3461"/>
      <c r="J361" s="3465">
        <f>ROUND(SUMPRODUCT(J352:J360,G352:G360)/G361,2)</f>
        <v>1.82</v>
      </c>
      <c r="K361" s="3462"/>
      <c r="L361" s="3462"/>
      <c r="M361" s="3462"/>
      <c r="N361" s="3462"/>
      <c r="O361" s="3462"/>
    </row>
    <row r="362" spans="1:15">
      <c r="A362" s="3461" t="s">
        <v>3463</v>
      </c>
      <c r="B362" s="3461" t="s">
        <v>3464</v>
      </c>
      <c r="C362" s="3461" t="s">
        <v>3697</v>
      </c>
      <c r="D362" s="3461" t="s">
        <v>3698</v>
      </c>
      <c r="E362" s="3461" t="s">
        <v>3570</v>
      </c>
      <c r="F362" s="3461" t="s">
        <v>3699</v>
      </c>
      <c r="G362" s="3461">
        <v>811.88</v>
      </c>
      <c r="H362" s="3461" t="s">
        <v>3700</v>
      </c>
      <c r="I362" s="3461" t="s">
        <v>3701</v>
      </c>
      <c r="J362" s="3462">
        <v>2.13</v>
      </c>
      <c r="K362" s="3462">
        <v>64.787509999999997</v>
      </c>
      <c r="L362" s="3462">
        <v>52599.68</v>
      </c>
      <c r="M362" s="3462">
        <v>24447.75</v>
      </c>
      <c r="N362" s="3462">
        <v>0</v>
      </c>
      <c r="O362" s="3462">
        <v>2064174.63</v>
      </c>
    </row>
    <row r="363" spans="1:15">
      <c r="A363" s="3461" t="s">
        <v>3463</v>
      </c>
      <c r="B363" s="3461" t="s">
        <v>3464</v>
      </c>
      <c r="C363" s="3461" t="s">
        <v>3568</v>
      </c>
      <c r="D363" s="3461" t="s">
        <v>3569</v>
      </c>
      <c r="E363" s="3461" t="s">
        <v>3570</v>
      </c>
      <c r="F363" s="3461" t="s">
        <v>3571</v>
      </c>
      <c r="G363" s="3461">
        <v>3225.29</v>
      </c>
      <c r="H363" s="3461" t="s">
        <v>3572</v>
      </c>
      <c r="I363" s="3461" t="s">
        <v>3573</v>
      </c>
      <c r="J363" s="3462">
        <v>2.56</v>
      </c>
      <c r="K363" s="3462">
        <v>311.48</v>
      </c>
      <c r="L363" s="3462">
        <v>250270.35</v>
      </c>
      <c r="M363" s="3462">
        <v>120992.55</v>
      </c>
      <c r="N363" s="3462">
        <v>48379.35</v>
      </c>
      <c r="O363" s="3462">
        <v>9759656.6999999993</v>
      </c>
    </row>
    <row r="364" spans="1:15">
      <c r="A364" s="3461" t="s">
        <v>3463</v>
      </c>
      <c r="B364" s="3461" t="s">
        <v>3464</v>
      </c>
      <c r="C364" s="3461" t="s">
        <v>3548</v>
      </c>
      <c r="D364" s="3461" t="s">
        <v>3549</v>
      </c>
      <c r="E364" s="3461" t="s">
        <v>3550</v>
      </c>
      <c r="F364" s="3461" t="s">
        <v>3551</v>
      </c>
      <c r="G364" s="3461">
        <v>5335.49</v>
      </c>
      <c r="H364" s="3461" t="s">
        <v>3542</v>
      </c>
      <c r="I364" s="3461" t="s">
        <v>3543</v>
      </c>
      <c r="J364" s="3462">
        <v>2.4420000000000002</v>
      </c>
      <c r="K364" s="3462">
        <v>371.43</v>
      </c>
      <c r="L364" s="3462">
        <v>392344.98</v>
      </c>
      <c r="M364" s="3462">
        <v>1177034.94</v>
      </c>
      <c r="N364" s="3462">
        <v>80032.350000000006</v>
      </c>
      <c r="O364" s="3462">
        <v>27346835.73</v>
      </c>
    </row>
    <row r="365" spans="1:15">
      <c r="A365" s="3461"/>
      <c r="B365" s="3461"/>
      <c r="C365" s="3461"/>
      <c r="D365" s="3461"/>
      <c r="E365" s="3461"/>
      <c r="F365" s="3461"/>
      <c r="G365" s="3464">
        <f>SUM(G362:G364)</f>
        <v>9372.66</v>
      </c>
      <c r="H365" s="3469">
        <f>面积表!C13</f>
        <v>9393.74</v>
      </c>
      <c r="I365" s="3461"/>
      <c r="J365" s="3465">
        <f>ROUND(SUMPRODUCT(J362:J364,G362:G364)/G365,2)</f>
        <v>2.46</v>
      </c>
      <c r="K365" s="3462"/>
      <c r="L365" s="3462"/>
      <c r="M365" s="3462"/>
      <c r="N365" s="3462"/>
      <c r="O365" s="3462"/>
    </row>
    <row r="366" spans="1:15">
      <c r="A366" s="3461" t="s">
        <v>3463</v>
      </c>
      <c r="B366" s="3461" t="s">
        <v>3464</v>
      </c>
      <c r="C366" s="3461" t="s">
        <v>3659</v>
      </c>
      <c r="D366" s="3461" t="s">
        <v>3660</v>
      </c>
      <c r="E366" s="3461" t="s">
        <v>3479</v>
      </c>
      <c r="F366" s="3461" t="s">
        <v>3661</v>
      </c>
      <c r="G366" s="3461">
        <v>1068.2</v>
      </c>
      <c r="H366" s="3461" t="s">
        <v>3657</v>
      </c>
      <c r="I366" s="3461" t="s">
        <v>3482</v>
      </c>
      <c r="J366" s="3462">
        <v>2.4500000000000002</v>
      </c>
      <c r="K366" s="3462">
        <v>74.520830000000004</v>
      </c>
      <c r="L366" s="3462">
        <v>79603.149999999994</v>
      </c>
      <c r="M366" s="3462">
        <v>238809.45</v>
      </c>
      <c r="N366" s="3462">
        <v>0</v>
      </c>
      <c r="O366" s="3462">
        <v>4431783.8499999996</v>
      </c>
    </row>
    <row r="367" spans="1:15">
      <c r="A367" s="3461" t="s">
        <v>3463</v>
      </c>
      <c r="B367" s="3461" t="s">
        <v>3683</v>
      </c>
      <c r="C367" s="3461" t="s">
        <v>3684</v>
      </c>
      <c r="D367" s="3461" t="s">
        <v>3685</v>
      </c>
      <c r="E367" s="3461" t="s">
        <v>3686</v>
      </c>
      <c r="F367" s="3461" t="s">
        <v>3687</v>
      </c>
      <c r="G367" s="3461">
        <v>1068.2</v>
      </c>
      <c r="H367" s="3461" t="s">
        <v>3681</v>
      </c>
      <c r="I367" s="3461" t="s">
        <v>3688</v>
      </c>
      <c r="J367" s="3462">
        <v>2</v>
      </c>
      <c r="K367" s="3462">
        <v>60.83334</v>
      </c>
      <c r="L367" s="3462">
        <v>64982.17</v>
      </c>
      <c r="M367" s="3462">
        <v>194946.51</v>
      </c>
      <c r="N367" s="3462">
        <v>10682</v>
      </c>
      <c r="O367" s="3462">
        <v>2189987.9700000002</v>
      </c>
    </row>
    <row r="368" spans="1:15">
      <c r="A368" s="3461" t="s">
        <v>3463</v>
      </c>
      <c r="B368" s="3461" t="s">
        <v>3464</v>
      </c>
      <c r="C368" s="3461" t="s">
        <v>3535</v>
      </c>
      <c r="D368" s="3461" t="s">
        <v>3536</v>
      </c>
      <c r="E368" s="3461" t="s">
        <v>3479</v>
      </c>
      <c r="F368" s="3461" t="s">
        <v>3537</v>
      </c>
      <c r="G368" s="3461">
        <v>4459.47</v>
      </c>
      <c r="H368" s="3461" t="s">
        <v>3534</v>
      </c>
      <c r="I368" s="3461" t="s">
        <v>3482</v>
      </c>
      <c r="J368" s="3462">
        <v>3.0539999999999998</v>
      </c>
      <c r="K368" s="3462">
        <v>464.46249999999998</v>
      </c>
      <c r="L368" s="3462">
        <v>413468.78</v>
      </c>
      <c r="M368" s="3462">
        <v>176279.67</v>
      </c>
      <c r="N368" s="3462">
        <v>0</v>
      </c>
      <c r="O368" s="3462">
        <v>26495375.07</v>
      </c>
    </row>
    <row r="369" spans="1:15">
      <c r="A369" s="3461" t="s">
        <v>3463</v>
      </c>
      <c r="B369" s="3461" t="s">
        <v>3464</v>
      </c>
      <c r="C369" s="3461" t="s">
        <v>3702</v>
      </c>
      <c r="D369" s="3461" t="s">
        <v>3693</v>
      </c>
      <c r="E369" s="3461" t="s">
        <v>3703</v>
      </c>
      <c r="F369" s="3461" t="s">
        <v>3704</v>
      </c>
      <c r="G369" s="3461">
        <v>1880.46</v>
      </c>
      <c r="H369" s="3461" t="s">
        <v>3705</v>
      </c>
      <c r="I369" s="3461" t="s">
        <v>3706</v>
      </c>
      <c r="J369" s="3462">
        <v>2.2000000000000002</v>
      </c>
      <c r="K369" s="3462">
        <v>133.83331999999999</v>
      </c>
      <c r="L369" s="3462">
        <v>125834.11</v>
      </c>
      <c r="M369" s="3462">
        <v>377502.33</v>
      </c>
      <c r="N369" s="3462">
        <v>28206.9</v>
      </c>
      <c r="O369" s="3462">
        <v>8757020.0700000003</v>
      </c>
    </row>
    <row r="370" spans="1:15">
      <c r="A370" s="3461" t="s">
        <v>3463</v>
      </c>
      <c r="B370" s="3461" t="s">
        <v>3464</v>
      </c>
      <c r="C370" s="3461" t="s">
        <v>3689</v>
      </c>
      <c r="D370" s="3461" t="s">
        <v>3685</v>
      </c>
      <c r="E370" s="3461" t="s">
        <v>3690</v>
      </c>
      <c r="F370" s="3461" t="s">
        <v>3691</v>
      </c>
      <c r="G370" s="3461">
        <v>1880.46</v>
      </c>
      <c r="H370" s="3461" t="s">
        <v>3681</v>
      </c>
      <c r="I370" s="3461" t="s">
        <v>3682</v>
      </c>
      <c r="J370" s="3462">
        <v>2.1</v>
      </c>
      <c r="K370" s="3462">
        <v>127.76</v>
      </c>
      <c r="L370" s="3462">
        <v>120114</v>
      </c>
      <c r="M370" s="3462">
        <v>34318.410000000003</v>
      </c>
      <c r="N370" s="3462">
        <v>0</v>
      </c>
      <c r="O370" s="3462">
        <v>8491687.1699999999</v>
      </c>
    </row>
    <row r="371" spans="1:15">
      <c r="A371" s="3461" t="s">
        <v>3463</v>
      </c>
      <c r="B371" s="3461" t="s">
        <v>3464</v>
      </c>
      <c r="C371" s="3461" t="s">
        <v>4471</v>
      </c>
      <c r="D371" s="3461" t="s">
        <v>4472</v>
      </c>
      <c r="E371" s="3461" t="s">
        <v>4473</v>
      </c>
      <c r="F371" s="3461" t="s">
        <v>4474</v>
      </c>
      <c r="G371" s="3461">
        <v>812.26</v>
      </c>
      <c r="H371" s="3461" t="s">
        <v>4475</v>
      </c>
      <c r="I371" s="3461" t="s">
        <v>4476</v>
      </c>
      <c r="J371" s="3462">
        <v>2.2000000000000002</v>
      </c>
      <c r="K371" s="3462">
        <v>66.916659999999993</v>
      </c>
      <c r="L371" s="3462">
        <v>54353.73</v>
      </c>
      <c r="M371" s="3462">
        <v>163061.19</v>
      </c>
      <c r="N371" s="3462">
        <v>12183.9</v>
      </c>
      <c r="O371" s="3462">
        <v>3648225.09</v>
      </c>
    </row>
    <row r="372" spans="1:15">
      <c r="A372" s="3461"/>
      <c r="B372" s="3461"/>
      <c r="C372" s="3461"/>
      <c r="D372" s="3461"/>
      <c r="E372" s="3461"/>
      <c r="F372" s="3461"/>
      <c r="G372" s="3464">
        <f>SUM(G366:G371)</f>
        <v>11169.050000000001</v>
      </c>
      <c r="H372" s="3469">
        <f>面积表!C14</f>
        <v>11211.78</v>
      </c>
      <c r="I372" s="3461"/>
      <c r="J372" s="3465">
        <f>ROUND(SUMPRODUCT(J366:J371,G366:G371)/G372,2)</f>
        <v>2.5299999999999998</v>
      </c>
      <c r="K372" s="3462"/>
      <c r="L372" s="3462"/>
      <c r="M372" s="3462"/>
      <c r="N372" s="3462"/>
      <c r="O372" s="3462"/>
    </row>
    <row r="373" spans="1:15">
      <c r="A373" s="3461" t="s">
        <v>3463</v>
      </c>
      <c r="B373" s="3461" t="s">
        <v>3464</v>
      </c>
      <c r="C373" s="3461" t="s">
        <v>3746</v>
      </c>
      <c r="D373" s="3461" t="s">
        <v>3747</v>
      </c>
      <c r="E373" s="3461" t="s">
        <v>3748</v>
      </c>
      <c r="F373" s="3461" t="s">
        <v>3749</v>
      </c>
      <c r="G373" s="3461">
        <v>811.88</v>
      </c>
      <c r="H373" s="3461" t="s">
        <v>3750</v>
      </c>
      <c r="I373" s="3461" t="s">
        <v>3751</v>
      </c>
      <c r="J373" s="3462">
        <v>2.2999999999999998</v>
      </c>
      <c r="K373" s="3462">
        <v>69.958330000000004</v>
      </c>
      <c r="L373" s="3462">
        <v>56797.77</v>
      </c>
      <c r="M373" s="3462">
        <v>170393.31</v>
      </c>
      <c r="N373" s="3462">
        <v>12178.2</v>
      </c>
      <c r="O373" s="3462">
        <v>3881496.87</v>
      </c>
    </row>
    <row r="374" spans="1:15">
      <c r="A374" s="3461" t="s">
        <v>3463</v>
      </c>
      <c r="B374" s="3461" t="s">
        <v>3464</v>
      </c>
      <c r="C374" s="3461" t="s">
        <v>4291</v>
      </c>
      <c r="D374" s="3461" t="s">
        <v>4292</v>
      </c>
      <c r="E374" s="3461" t="s">
        <v>4293</v>
      </c>
      <c r="F374" s="3461" t="s">
        <v>4294</v>
      </c>
      <c r="G374" s="3461">
        <v>559.23</v>
      </c>
      <c r="H374" s="3461" t="s">
        <v>4295</v>
      </c>
      <c r="I374" s="3461" t="s">
        <v>4296</v>
      </c>
      <c r="J374" s="3462">
        <v>2.2999999999999998</v>
      </c>
      <c r="K374" s="3462">
        <v>139.91667000000001</v>
      </c>
      <c r="L374" s="3462">
        <v>39122.800000000003</v>
      </c>
      <c r="M374" s="3462">
        <v>117368.4</v>
      </c>
      <c r="N374" s="3462">
        <v>8388.4500000000007</v>
      </c>
      <c r="O374" s="3462">
        <v>1053351.6499999999</v>
      </c>
    </row>
    <row r="375" spans="1:15">
      <c r="A375" s="3461" t="s">
        <v>3463</v>
      </c>
      <c r="B375" s="3461" t="s">
        <v>3464</v>
      </c>
      <c r="C375" s="3461" t="s">
        <v>3727</v>
      </c>
      <c r="D375" s="3461" t="s">
        <v>3728</v>
      </c>
      <c r="E375" s="3461" t="s">
        <v>3673</v>
      </c>
      <c r="F375" s="3461" t="s">
        <v>3729</v>
      </c>
      <c r="G375" s="3461">
        <v>366.5</v>
      </c>
      <c r="H375" s="3461" t="s">
        <v>3721</v>
      </c>
      <c r="I375" s="3461" t="s">
        <v>3722</v>
      </c>
      <c r="J375" s="3462">
        <v>2.2999999999999998</v>
      </c>
      <c r="K375" s="3462">
        <v>69.959999999999994</v>
      </c>
      <c r="L375" s="3462">
        <v>25639.73</v>
      </c>
      <c r="M375" s="3462">
        <v>76919.19</v>
      </c>
      <c r="N375" s="3462">
        <v>5497.5</v>
      </c>
      <c r="O375" s="3462">
        <v>1823053.41</v>
      </c>
    </row>
    <row r="376" spans="1:15">
      <c r="A376" s="3461" t="s">
        <v>3463</v>
      </c>
      <c r="B376" s="3461" t="s">
        <v>3464</v>
      </c>
      <c r="C376" s="3461" t="s">
        <v>3626</v>
      </c>
      <c r="D376" s="3461" t="s">
        <v>3627</v>
      </c>
      <c r="E376" s="3461" t="s">
        <v>3628</v>
      </c>
      <c r="F376" s="3461" t="s">
        <v>3629</v>
      </c>
      <c r="G376" s="3461">
        <v>280.49</v>
      </c>
      <c r="H376" s="3461" t="s">
        <v>3630</v>
      </c>
      <c r="I376" s="3461" t="s">
        <v>3631</v>
      </c>
      <c r="J376" s="3462">
        <v>2.2999999999999998</v>
      </c>
      <c r="K376" s="3462">
        <v>69.958320000000001</v>
      </c>
      <c r="L376" s="3462">
        <v>19622.61</v>
      </c>
      <c r="M376" s="3462">
        <v>58867.83</v>
      </c>
      <c r="N376" s="3462">
        <v>4207.3500000000004</v>
      </c>
      <c r="O376" s="3462">
        <v>1408164.78</v>
      </c>
    </row>
    <row r="377" spans="1:15">
      <c r="A377" s="3461" t="s">
        <v>3463</v>
      </c>
      <c r="B377" s="3461" t="s">
        <v>3464</v>
      </c>
      <c r="C377" s="3461" t="s">
        <v>4063</v>
      </c>
      <c r="D377" s="3461" t="s">
        <v>4064</v>
      </c>
      <c r="E377" s="3461" t="s">
        <v>4065</v>
      </c>
      <c r="F377" s="3461" t="s">
        <v>4066</v>
      </c>
      <c r="G377" s="3461">
        <v>307.85000000000002</v>
      </c>
      <c r="H377" s="3461" t="s">
        <v>4043</v>
      </c>
      <c r="I377" s="3461" t="s">
        <v>4067</v>
      </c>
      <c r="J377" s="3462">
        <v>2.2999999999999998</v>
      </c>
      <c r="K377" s="3462">
        <v>69.958320000000001</v>
      </c>
      <c r="L377" s="3462">
        <v>21536.67</v>
      </c>
      <c r="M377" s="3462">
        <v>0</v>
      </c>
      <c r="N377" s="3462">
        <v>0</v>
      </c>
      <c r="O377" s="3462">
        <v>346138.8</v>
      </c>
    </row>
    <row r="378" spans="1:15">
      <c r="A378" s="3461" t="s">
        <v>3463</v>
      </c>
      <c r="B378" s="3461" t="s">
        <v>3464</v>
      </c>
      <c r="C378" s="3461" t="s">
        <v>3818</v>
      </c>
      <c r="D378" s="3461" t="s">
        <v>3819</v>
      </c>
      <c r="E378" s="3461" t="s">
        <v>3820</v>
      </c>
      <c r="F378" s="3461" t="s">
        <v>3821</v>
      </c>
      <c r="G378" s="3461">
        <v>383.44</v>
      </c>
      <c r="H378" s="3461" t="s">
        <v>3810</v>
      </c>
      <c r="I378" s="3461" t="s">
        <v>3822</v>
      </c>
      <c r="J378" s="3462">
        <v>2.2999999999999998</v>
      </c>
      <c r="K378" s="3462">
        <v>69.958320000000001</v>
      </c>
      <c r="L378" s="3462">
        <v>26824.82</v>
      </c>
      <c r="M378" s="3462">
        <v>80474.460000000006</v>
      </c>
      <c r="N378" s="3462">
        <v>5751.6</v>
      </c>
      <c r="O378" s="3462">
        <v>776034.54</v>
      </c>
    </row>
    <row r="379" spans="1:15">
      <c r="A379" s="3461" t="s">
        <v>3463</v>
      </c>
      <c r="B379" s="3461" t="s">
        <v>3464</v>
      </c>
      <c r="C379" s="3461" t="s">
        <v>3477</v>
      </c>
      <c r="D379" s="3461" t="s">
        <v>3478</v>
      </c>
      <c r="E379" s="3461" t="s">
        <v>3479</v>
      </c>
      <c r="F379" s="3461" t="s">
        <v>3480</v>
      </c>
      <c r="G379" s="3461">
        <v>1782.74</v>
      </c>
      <c r="H379" s="3461" t="s">
        <v>3481</v>
      </c>
      <c r="I379" s="3461" t="s">
        <v>3482</v>
      </c>
      <c r="J379" s="3462">
        <v>3.67</v>
      </c>
      <c r="K379" s="3462">
        <v>223.25834</v>
      </c>
      <c r="L379" s="3462">
        <v>199005.78</v>
      </c>
      <c r="M379" s="3462">
        <v>597017.34</v>
      </c>
      <c r="N379" s="3462">
        <v>0</v>
      </c>
      <c r="O379" s="3462">
        <v>16853156.399999999</v>
      </c>
    </row>
    <row r="380" spans="1:15">
      <c r="A380" s="3461" t="s">
        <v>3463</v>
      </c>
      <c r="B380" s="3461" t="s">
        <v>3464</v>
      </c>
      <c r="C380" s="3461" t="s">
        <v>4222</v>
      </c>
      <c r="D380" s="3461" t="s">
        <v>4223</v>
      </c>
      <c r="E380" s="3461" t="s">
        <v>4224</v>
      </c>
      <c r="F380" s="3461" t="s">
        <v>4225</v>
      </c>
      <c r="G380" s="3461">
        <v>811.88</v>
      </c>
      <c r="H380" s="3461" t="s">
        <v>4226</v>
      </c>
      <c r="I380" s="3461" t="s">
        <v>4227</v>
      </c>
      <c r="J380" s="3462">
        <v>2.2000000000000002</v>
      </c>
      <c r="K380" s="3462">
        <v>66.916659999999993</v>
      </c>
      <c r="L380" s="3462">
        <v>54328.3</v>
      </c>
      <c r="M380" s="3462">
        <v>162984.9</v>
      </c>
      <c r="N380" s="3462">
        <v>12178.2</v>
      </c>
      <c r="O380" s="3462">
        <v>3645828.06</v>
      </c>
    </row>
    <row r="381" spans="1:15">
      <c r="A381" s="3461" t="s">
        <v>3463</v>
      </c>
      <c r="B381" s="3461" t="s">
        <v>3464</v>
      </c>
      <c r="C381" s="3461" t="s">
        <v>3677</v>
      </c>
      <c r="D381" s="3461" t="s">
        <v>3678</v>
      </c>
      <c r="E381" s="3461" t="s">
        <v>3679</v>
      </c>
      <c r="F381" s="3461" t="s">
        <v>3680</v>
      </c>
      <c r="G381" s="3461">
        <v>1897.48</v>
      </c>
      <c r="H381" s="3461" t="s">
        <v>3681</v>
      </c>
      <c r="I381" s="3461" t="s">
        <v>3682</v>
      </c>
      <c r="J381" s="3462">
        <v>2.2999999999999998</v>
      </c>
      <c r="K381" s="3462">
        <v>139.91667000000001</v>
      </c>
      <c r="L381" s="3462">
        <v>132744.54</v>
      </c>
      <c r="M381" s="3462">
        <v>51943.519999999997</v>
      </c>
      <c r="N381" s="3462">
        <v>28462.2</v>
      </c>
      <c r="O381" s="3462">
        <v>8932908.9199999999</v>
      </c>
    </row>
    <row r="382" spans="1:15">
      <c r="A382" s="3461" t="s">
        <v>3463</v>
      </c>
      <c r="B382" s="3461" t="s">
        <v>3464</v>
      </c>
      <c r="C382" s="3461" t="s">
        <v>3864</v>
      </c>
      <c r="D382" s="3461" t="s">
        <v>3844</v>
      </c>
      <c r="E382" s="3461" t="s">
        <v>3865</v>
      </c>
      <c r="F382" s="3461" t="s">
        <v>3866</v>
      </c>
      <c r="G382" s="3461">
        <v>1085.5999999999999</v>
      </c>
      <c r="H382" s="3461" t="s">
        <v>3853</v>
      </c>
      <c r="I382" s="3461" t="s">
        <v>3543</v>
      </c>
      <c r="J382" s="3462">
        <v>2.4</v>
      </c>
      <c r="K382" s="3462">
        <v>73</v>
      </c>
      <c r="L382" s="3462">
        <v>79248.800000000003</v>
      </c>
      <c r="M382" s="3462">
        <v>9906.09</v>
      </c>
      <c r="N382" s="3462">
        <v>0</v>
      </c>
      <c r="O382" s="3462">
        <v>3058270.89</v>
      </c>
    </row>
    <row r="383" spans="1:15">
      <c r="A383" s="3461"/>
      <c r="B383" s="3461"/>
      <c r="C383" s="3461"/>
      <c r="D383" s="3461"/>
      <c r="E383" s="3461"/>
      <c r="F383" s="3461"/>
      <c r="G383" s="3464">
        <f>SUM(G373:G382)</f>
        <v>8287.09</v>
      </c>
      <c r="H383" s="3469">
        <f>面积表!C15</f>
        <v>9393.74</v>
      </c>
      <c r="I383" s="3461"/>
      <c r="J383" s="3465">
        <f>ROUND(SUMPRODUCT(J373:J382,G373:G382)/G383,2)</f>
        <v>2.6</v>
      </c>
      <c r="K383" s="3462"/>
      <c r="L383" s="3462"/>
      <c r="M383" s="3462"/>
      <c r="N383" s="3462"/>
      <c r="O383" s="3462"/>
    </row>
    <row r="384" spans="1:15">
      <c r="A384" s="3461" t="s">
        <v>3463</v>
      </c>
      <c r="B384" s="3461" t="s">
        <v>3464</v>
      </c>
      <c r="C384" s="3461" t="s">
        <v>3806</v>
      </c>
      <c r="D384" s="3461" t="s">
        <v>3807</v>
      </c>
      <c r="E384" s="3461" t="s">
        <v>3808</v>
      </c>
      <c r="F384" s="3461" t="s">
        <v>3809</v>
      </c>
      <c r="G384" s="3461">
        <v>810.11</v>
      </c>
      <c r="H384" s="3461" t="s">
        <v>3810</v>
      </c>
      <c r="I384" s="3461" t="s">
        <v>3811</v>
      </c>
      <c r="J384" s="3462">
        <v>2.2000000000000002</v>
      </c>
      <c r="K384" s="3462">
        <v>66.916669999999996</v>
      </c>
      <c r="L384" s="3462">
        <v>54209.86</v>
      </c>
      <c r="M384" s="3462">
        <v>22176.75</v>
      </c>
      <c r="N384" s="3462">
        <v>0</v>
      </c>
      <c r="O384" s="3462">
        <v>3783922.59</v>
      </c>
    </row>
    <row r="385" spans="1:15">
      <c r="A385" s="3461" t="s">
        <v>3463</v>
      </c>
      <c r="B385" s="3461" t="s">
        <v>3464</v>
      </c>
      <c r="C385" s="3461" t="s">
        <v>3752</v>
      </c>
      <c r="D385" s="3461" t="s">
        <v>3753</v>
      </c>
      <c r="E385" s="3461" t="s">
        <v>3570</v>
      </c>
      <c r="F385" s="3461" t="s">
        <v>3754</v>
      </c>
      <c r="G385" s="3461">
        <v>3642.52</v>
      </c>
      <c r="H385" s="3461" t="s">
        <v>3755</v>
      </c>
      <c r="I385" s="3461" t="s">
        <v>3511</v>
      </c>
      <c r="J385" s="3462">
        <v>3.1999999999999997</v>
      </c>
      <c r="K385" s="3462">
        <v>583.99998000000005</v>
      </c>
      <c r="L385" s="3462">
        <v>318059.42</v>
      </c>
      <c r="M385" s="3462">
        <v>954178.26</v>
      </c>
      <c r="N385" s="3462">
        <v>54637.8</v>
      </c>
      <c r="O385" s="3462">
        <v>12163044.779999999</v>
      </c>
    </row>
    <row r="386" spans="1:15">
      <c r="A386" s="3461" t="s">
        <v>3463</v>
      </c>
      <c r="B386" s="3461" t="s">
        <v>3464</v>
      </c>
      <c r="C386" s="3461" t="s">
        <v>4464</v>
      </c>
      <c r="D386" s="3461" t="s">
        <v>4436</v>
      </c>
      <c r="E386" s="3461" t="s">
        <v>3570</v>
      </c>
      <c r="F386" s="3461" t="s">
        <v>4465</v>
      </c>
      <c r="G386" s="3461">
        <v>1880.46</v>
      </c>
      <c r="H386" s="3461" t="s">
        <v>4462</v>
      </c>
      <c r="I386" s="3461" t="s">
        <v>3642</v>
      </c>
      <c r="J386" s="3462">
        <v>2</v>
      </c>
      <c r="K386" s="3462">
        <v>121.66665999999999</v>
      </c>
      <c r="L386" s="3462">
        <v>114394.65</v>
      </c>
      <c r="M386" s="3462">
        <v>343183.95</v>
      </c>
      <c r="N386" s="3462">
        <v>28206.9</v>
      </c>
      <c r="O386" s="3462">
        <v>4482076.41</v>
      </c>
    </row>
    <row r="387" spans="1:15">
      <c r="A387" s="3461" t="s">
        <v>3463</v>
      </c>
      <c r="B387" s="3461" t="s">
        <v>3464</v>
      </c>
      <c r="C387" s="3461" t="s">
        <v>3816</v>
      </c>
      <c r="D387" s="3461" t="s">
        <v>3807</v>
      </c>
      <c r="E387" s="3461" t="s">
        <v>3554</v>
      </c>
      <c r="F387" s="3461" t="s">
        <v>3817</v>
      </c>
      <c r="G387" s="3461">
        <v>1210.28</v>
      </c>
      <c r="H387" s="3461" t="s">
        <v>3810</v>
      </c>
      <c r="I387" s="3461" t="s">
        <v>3811</v>
      </c>
      <c r="J387" s="3462">
        <v>2.2000000000000002</v>
      </c>
      <c r="K387" s="3462">
        <v>133.83332999999999</v>
      </c>
      <c r="L387" s="3462">
        <v>80987.899999999994</v>
      </c>
      <c r="M387" s="3462">
        <v>33131.4</v>
      </c>
      <c r="N387" s="3462">
        <v>0</v>
      </c>
      <c r="O387" s="3462">
        <v>5653066.4800000004</v>
      </c>
    </row>
    <row r="388" spans="1:15">
      <c r="A388" s="3461" t="s">
        <v>3463</v>
      </c>
      <c r="B388" s="3461" t="s">
        <v>3464</v>
      </c>
      <c r="C388" s="3461" t="s">
        <v>3812</v>
      </c>
      <c r="D388" s="3461" t="s">
        <v>3813</v>
      </c>
      <c r="E388" s="3461" t="s">
        <v>3814</v>
      </c>
      <c r="F388" s="3461" t="s">
        <v>3815</v>
      </c>
      <c r="G388" s="3461">
        <v>2020.39</v>
      </c>
      <c r="H388" s="3461" t="s">
        <v>3810</v>
      </c>
      <c r="I388" s="3461" t="s">
        <v>3529</v>
      </c>
      <c r="J388" s="3462">
        <v>2.3000000000000003</v>
      </c>
      <c r="K388" s="3462">
        <v>209.87501</v>
      </c>
      <c r="L388" s="3462">
        <v>141343.12</v>
      </c>
      <c r="M388" s="3462">
        <v>36872.129999999997</v>
      </c>
      <c r="N388" s="3462">
        <v>0</v>
      </c>
      <c r="O388" s="3462">
        <v>5488894.6500000004</v>
      </c>
    </row>
    <row r="389" spans="1:15">
      <c r="A389" s="3461" t="s">
        <v>3463</v>
      </c>
      <c r="B389" s="3461" t="s">
        <v>3464</v>
      </c>
      <c r="C389" s="3461" t="s">
        <v>3544</v>
      </c>
      <c r="D389" s="3461" t="s">
        <v>3539</v>
      </c>
      <c r="E389" s="3461" t="s">
        <v>3545</v>
      </c>
      <c r="F389" s="3461" t="s">
        <v>3546</v>
      </c>
      <c r="G389" s="3461">
        <v>2020.39</v>
      </c>
      <c r="H389" s="3461" t="s">
        <v>3542</v>
      </c>
      <c r="I389" s="3461" t="s">
        <v>3547</v>
      </c>
      <c r="J389" s="3462">
        <v>2.2999999999999998</v>
      </c>
      <c r="K389" s="3462">
        <v>139.91999999999999</v>
      </c>
      <c r="L389" s="3462">
        <v>141343.12</v>
      </c>
      <c r="M389" s="3462">
        <v>282686.24</v>
      </c>
      <c r="N389" s="3462">
        <v>29774.560000000001</v>
      </c>
      <c r="O389" s="3462">
        <v>8035061.0899999999</v>
      </c>
    </row>
    <row r="390" spans="1:15">
      <c r="A390" s="3461" t="s">
        <v>3463</v>
      </c>
      <c r="B390" s="3461" t="s">
        <v>3464</v>
      </c>
      <c r="C390" s="3461" t="s">
        <v>3602</v>
      </c>
      <c r="D390" s="3461" t="s">
        <v>3593</v>
      </c>
      <c r="E390" s="3461" t="s">
        <v>3594</v>
      </c>
      <c r="F390" s="3461" t="s">
        <v>3603</v>
      </c>
      <c r="G390" s="3461">
        <v>950.04</v>
      </c>
      <c r="H390" s="3461" t="s">
        <v>3596</v>
      </c>
      <c r="I390" s="3461" t="s">
        <v>3597</v>
      </c>
      <c r="J390" s="3462">
        <v>2.0499999999999998</v>
      </c>
      <c r="K390" s="3462">
        <v>124.72</v>
      </c>
      <c r="L390" s="3462">
        <v>59239</v>
      </c>
      <c r="M390" s="3462">
        <v>29871.78</v>
      </c>
      <c r="N390" s="3462">
        <v>14250.6</v>
      </c>
      <c r="O390" s="3462">
        <v>4017109.23</v>
      </c>
    </row>
    <row r="391" spans="1:15">
      <c r="A391" s="3461" t="s">
        <v>3463</v>
      </c>
      <c r="B391" s="3461" t="s">
        <v>3464</v>
      </c>
      <c r="C391" s="3461" t="s">
        <v>3801</v>
      </c>
      <c r="D391" s="3461" t="s">
        <v>3802</v>
      </c>
      <c r="E391" s="3461" t="s">
        <v>3803</v>
      </c>
      <c r="F391" s="3461" t="s">
        <v>3804</v>
      </c>
      <c r="G391" s="3461">
        <v>810.11</v>
      </c>
      <c r="H391" s="3461" t="s">
        <v>3799</v>
      </c>
      <c r="I391" s="3461" t="s">
        <v>3805</v>
      </c>
      <c r="J391" s="3462">
        <v>2.2999999999999998</v>
      </c>
      <c r="K391" s="3462">
        <v>69.958340000000007</v>
      </c>
      <c r="L391" s="3462">
        <v>56673.95</v>
      </c>
      <c r="M391" s="3462">
        <v>22176.78</v>
      </c>
      <c r="N391" s="3462">
        <v>0</v>
      </c>
      <c r="O391" s="3462">
        <v>1479564.78</v>
      </c>
    </row>
    <row r="392" spans="1:15">
      <c r="A392" s="3461" t="s">
        <v>3463</v>
      </c>
      <c r="B392" s="3461" t="s">
        <v>3464</v>
      </c>
      <c r="C392" s="3461" t="s">
        <v>3592</v>
      </c>
      <c r="D392" s="3461" t="s">
        <v>3593</v>
      </c>
      <c r="E392" s="3461" t="s">
        <v>3594</v>
      </c>
      <c r="F392" s="3461" t="s">
        <v>3595</v>
      </c>
      <c r="G392" s="3461">
        <v>1070.3499999999999</v>
      </c>
      <c r="H392" s="3461" t="s">
        <v>3596</v>
      </c>
      <c r="I392" s="3461" t="s">
        <v>3597</v>
      </c>
      <c r="J392" s="3462">
        <v>2.0499999999999998</v>
      </c>
      <c r="K392" s="3462">
        <v>62.36</v>
      </c>
      <c r="L392" s="3462">
        <v>66741</v>
      </c>
      <c r="M392" s="3462">
        <v>4883.46</v>
      </c>
      <c r="N392" s="3462">
        <v>16055.25</v>
      </c>
      <c r="O392" s="3462">
        <v>4592617.47</v>
      </c>
    </row>
    <row r="393" spans="1:15">
      <c r="A393" s="3461" t="s">
        <v>3463</v>
      </c>
      <c r="B393" s="3461" t="s">
        <v>3464</v>
      </c>
      <c r="C393" s="3461" t="s">
        <v>3598</v>
      </c>
      <c r="D393" s="3461" t="s">
        <v>3599</v>
      </c>
      <c r="E393" s="3461" t="s">
        <v>3600</v>
      </c>
      <c r="F393" s="3461" t="s">
        <v>3601</v>
      </c>
      <c r="G393" s="3461">
        <v>8103.09</v>
      </c>
      <c r="H393" s="3461" t="s">
        <v>3596</v>
      </c>
      <c r="I393" s="3461" t="s">
        <v>3597</v>
      </c>
      <c r="J393" s="3462">
        <v>2.0499999999999998</v>
      </c>
      <c r="K393" s="3462">
        <v>810.68</v>
      </c>
      <c r="L393" s="3462">
        <v>505261.41</v>
      </c>
      <c r="M393" s="3462">
        <v>164656.44</v>
      </c>
      <c r="N393" s="3462">
        <v>123645.3</v>
      </c>
      <c r="O393" s="3462">
        <v>35009218.109999999</v>
      </c>
    </row>
    <row r="394" spans="1:15">
      <c r="A394" s="3461"/>
      <c r="B394" s="3461"/>
      <c r="C394" s="3461"/>
      <c r="D394" s="3461"/>
      <c r="E394" s="3461"/>
      <c r="F394" s="3461"/>
      <c r="G394" s="3464">
        <f>SUM(G384:G393)</f>
        <v>22517.739999999998</v>
      </c>
      <c r="H394" s="3469">
        <f>面积表!C16</f>
        <v>23781.94</v>
      </c>
      <c r="I394" s="3461"/>
      <c r="J394" s="3465">
        <f>ROUND(SUMPRODUCT(J384:J393,G384:G393)/G394,2)</f>
        <v>2.2999999999999998</v>
      </c>
      <c r="K394" s="3462"/>
      <c r="L394" s="3462"/>
      <c r="M394" s="3462"/>
      <c r="N394" s="3462"/>
      <c r="O394" s="3462"/>
    </row>
    <row r="395" spans="1:15">
      <c r="A395" s="3461" t="s">
        <v>3463</v>
      </c>
      <c r="B395" s="3461" t="s">
        <v>3464</v>
      </c>
      <c r="C395" s="3461" t="s">
        <v>3774</v>
      </c>
      <c r="D395" s="3461" t="s">
        <v>3775</v>
      </c>
      <c r="E395" s="3461" t="s">
        <v>3776</v>
      </c>
      <c r="F395" s="3461" t="s">
        <v>3777</v>
      </c>
      <c r="G395" s="3461">
        <v>788.14</v>
      </c>
      <c r="H395" s="3461" t="s">
        <v>3778</v>
      </c>
      <c r="I395" s="3461" t="s">
        <v>3779</v>
      </c>
      <c r="J395" s="3462">
        <v>4.0999999999999996</v>
      </c>
      <c r="K395" s="3462">
        <v>124.70834000000001</v>
      </c>
      <c r="L395" s="3462">
        <v>98287.63</v>
      </c>
      <c r="M395" s="3462">
        <v>294862.89</v>
      </c>
      <c r="N395" s="3462">
        <v>11822.1</v>
      </c>
      <c r="O395" s="3462">
        <v>3790329.75</v>
      </c>
    </row>
    <row r="396" spans="1:15">
      <c r="A396" s="3461" t="s">
        <v>3463</v>
      </c>
      <c r="B396" s="3461" t="s">
        <v>3464</v>
      </c>
      <c r="C396" s="3461" t="s">
        <v>3671</v>
      </c>
      <c r="D396" s="3461" t="s">
        <v>3672</v>
      </c>
      <c r="E396" s="3461" t="s">
        <v>3673</v>
      </c>
      <c r="F396" s="3461" t="s">
        <v>3674</v>
      </c>
      <c r="G396" s="3461">
        <v>810.11</v>
      </c>
      <c r="H396" s="3461" t="s">
        <v>3675</v>
      </c>
      <c r="I396" s="3461" t="s">
        <v>3676</v>
      </c>
      <c r="J396" s="3462">
        <v>2.2000000000000002</v>
      </c>
      <c r="K396" s="3462">
        <v>66.916669999999996</v>
      </c>
      <c r="L396" s="3462">
        <v>54209.86</v>
      </c>
      <c r="M396" s="3462">
        <v>36961.26</v>
      </c>
      <c r="N396" s="3462">
        <v>12151.65</v>
      </c>
      <c r="O396" s="3462">
        <v>3692582.55</v>
      </c>
    </row>
    <row r="397" spans="1:15">
      <c r="A397" s="3461" t="s">
        <v>3463</v>
      </c>
      <c r="B397" s="3461" t="s">
        <v>3464</v>
      </c>
      <c r="C397" s="3461" t="s">
        <v>3489</v>
      </c>
      <c r="D397" s="3461" t="s">
        <v>3490</v>
      </c>
      <c r="E397" s="3461" t="s">
        <v>3491</v>
      </c>
      <c r="F397" s="3461" t="s">
        <v>3492</v>
      </c>
      <c r="G397" s="3461">
        <v>2020.39</v>
      </c>
      <c r="H397" s="3461" t="s">
        <v>3493</v>
      </c>
      <c r="I397" s="3461" t="s">
        <v>3494</v>
      </c>
      <c r="J397" s="3462">
        <v>2.16</v>
      </c>
      <c r="K397" s="3462">
        <v>197.1</v>
      </c>
      <c r="L397" s="3462">
        <v>132739.62</v>
      </c>
      <c r="M397" s="3462">
        <v>398218.89</v>
      </c>
      <c r="N397" s="3462">
        <v>0</v>
      </c>
      <c r="O397" s="3462">
        <v>8346392.7300000004</v>
      </c>
    </row>
    <row r="398" spans="1:15">
      <c r="A398" s="3461" t="s">
        <v>3463</v>
      </c>
      <c r="B398" s="3461" t="s">
        <v>3464</v>
      </c>
      <c r="C398" s="3461" t="s">
        <v>3713</v>
      </c>
      <c r="D398" s="3461" t="s">
        <v>3714</v>
      </c>
      <c r="E398" s="3461" t="s">
        <v>3491</v>
      </c>
      <c r="F398" s="3461" t="s">
        <v>3715</v>
      </c>
      <c r="G398" s="3461">
        <v>2020.39</v>
      </c>
      <c r="H398" s="3461" t="s">
        <v>3716</v>
      </c>
      <c r="I398" s="3461" t="s">
        <v>3717</v>
      </c>
      <c r="J398" s="3462">
        <v>2.2000000000000002</v>
      </c>
      <c r="K398" s="3462">
        <v>133.83332999999999</v>
      </c>
      <c r="L398" s="3462">
        <v>135197.76000000001</v>
      </c>
      <c r="M398" s="3462">
        <v>96727.71</v>
      </c>
      <c r="N398" s="3462">
        <v>2098.9499999999998</v>
      </c>
      <c r="O398" s="3462">
        <v>9303521.3399999999</v>
      </c>
    </row>
    <row r="399" spans="1:15">
      <c r="A399" s="3461" t="s">
        <v>3463</v>
      </c>
      <c r="B399" s="3461" t="s">
        <v>3464</v>
      </c>
      <c r="C399" s="3461" t="s">
        <v>3860</v>
      </c>
      <c r="D399" s="3461" t="s">
        <v>3861</v>
      </c>
      <c r="E399" s="3461" t="s">
        <v>3491</v>
      </c>
      <c r="F399" s="3461" t="s">
        <v>3862</v>
      </c>
      <c r="G399" s="3461">
        <v>1210.28</v>
      </c>
      <c r="H399" s="3461" t="s">
        <v>3853</v>
      </c>
      <c r="I399" s="3461" t="s">
        <v>3863</v>
      </c>
      <c r="J399" s="3462">
        <v>2.2000000000000002</v>
      </c>
      <c r="K399" s="3462">
        <v>133.83332999999999</v>
      </c>
      <c r="L399" s="3462">
        <v>80987.899999999994</v>
      </c>
      <c r="M399" s="3462">
        <v>33131.4</v>
      </c>
      <c r="N399" s="3462">
        <v>0</v>
      </c>
      <c r="O399" s="3462">
        <v>2122074.6</v>
      </c>
    </row>
    <row r="400" spans="1:15">
      <c r="A400" s="3461" t="s">
        <v>3463</v>
      </c>
      <c r="B400" s="3461" t="s">
        <v>3464</v>
      </c>
      <c r="C400" s="3461" t="s">
        <v>3632</v>
      </c>
      <c r="D400" s="3461" t="s">
        <v>3633</v>
      </c>
      <c r="E400" s="3461" t="s">
        <v>3634</v>
      </c>
      <c r="F400" s="3461" t="s">
        <v>3635</v>
      </c>
      <c r="G400" s="3461">
        <v>11864.01</v>
      </c>
      <c r="H400" s="3461" t="s">
        <v>3630</v>
      </c>
      <c r="I400" s="3461" t="s">
        <v>3636</v>
      </c>
      <c r="J400" s="3462">
        <v>2.1800000000000002</v>
      </c>
      <c r="K400" s="3462">
        <v>1127.2418600000001</v>
      </c>
      <c r="L400" s="3462">
        <v>786682.76</v>
      </c>
      <c r="M400" s="3462">
        <v>411384.63</v>
      </c>
      <c r="N400" s="3462">
        <v>0</v>
      </c>
      <c r="O400" s="3462">
        <v>31005702.390000001</v>
      </c>
    </row>
    <row r="401" spans="6:10">
      <c r="G401" s="3464">
        <f>SUM(G395:G400)</f>
        <v>18713.32</v>
      </c>
      <c r="H401" s="3469">
        <f>面积表!C17</f>
        <v>23770.1</v>
      </c>
      <c r="I401" s="3461"/>
      <c r="J401" s="3465">
        <f>ROUND(SUMPRODUCT(J395:J400,G395:G400)/G401,2)</f>
        <v>2.2599999999999998</v>
      </c>
    </row>
    <row r="402" spans="6:10">
      <c r="F402" s="3466" t="s">
        <v>4945</v>
      </c>
      <c r="G402">
        <f>G401+G394+G383+G372+G365+G361+G351+G349+G339+G333+G328+G317+G309+G301</f>
        <v>172865.97</v>
      </c>
      <c r="J402" s="3463">
        <f>ROUND(J401*G401+J394*G394+J383*G383+J372*G372+J365*G365+J361*G361+J351*G351+J349*G349+J339*G339+J333*G333+J328*G328+J317*G317+J309*G309+J301*G301,0)</f>
        <v>417581</v>
      </c>
    </row>
    <row r="403" spans="6:10">
      <c r="J403" s="3463">
        <f>J402/G402</f>
        <v>2.4156344941690953</v>
      </c>
    </row>
  </sheetData>
  <sortState ref="A1:XDV470">
    <sortCondition ref="F1:F470"/>
  </sortState>
  <phoneticPr fontId="132" type="noConversion"/>
  <conditionalFormatting sqref="F287:F1048576 F1:F285">
    <cfRule type="duplicateValues" dxfId="0" priority="58"/>
  </conditionalFormatting>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219142.06</v>
      </c>
      <c r="C4" s="854">
        <f>项目基本情况!C18</f>
        <v>108355.49</v>
      </c>
      <c r="D4" s="854">
        <f>结果表!D118</f>
        <v>0</v>
      </c>
      <c r="E4" s="854">
        <f>结果表!E118</f>
        <v>0</v>
      </c>
      <c r="F4" s="854">
        <f>结果表!F118</f>
        <v>0</v>
      </c>
      <c r="G4" s="854">
        <f>结果表!G118</f>
        <v>0</v>
      </c>
      <c r="H4" s="854">
        <f ca="1">结果表!H118</f>
        <v>256947</v>
      </c>
      <c r="I4" s="854">
        <f ca="1">结果表!I118</f>
        <v>11725</v>
      </c>
    </row>
    <row r="5" spans="1:9" ht="30" customHeight="1">
      <c r="A5" s="3483" t="s">
        <v>927</v>
      </c>
      <c r="B5" s="3483"/>
      <c r="C5" s="3483"/>
      <c r="D5" s="3483" t="str">
        <f>结果表!D119</f>
        <v>零元整</v>
      </c>
      <c r="E5" s="3483"/>
      <c r="F5" s="3483" t="str">
        <f>结果表!F119</f>
        <v>零元整</v>
      </c>
      <c r="G5" s="3483"/>
      <c r="H5" s="3483" t="str">
        <f ca="1">结果表!H119</f>
        <v>贰拾伍亿陆仟玖佰肆拾柒万元整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256947</v>
      </c>
      <c r="E8" s="3484"/>
      <c r="F8" s="3484"/>
      <c r="G8" s="3484"/>
      <c r="H8" s="3484"/>
      <c r="I8" s="3484"/>
    </row>
    <row r="9" spans="1:9" ht="15">
      <c r="A9" s="3483" t="s">
        <v>927</v>
      </c>
      <c r="B9" s="3483"/>
      <c r="C9" s="3483"/>
      <c r="D9" s="3483" t="str">
        <f ca="1">结果表!D123</f>
        <v>贰拾伍亿陆仟玖佰肆拾柒万元整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抵押净值</v>
      </c>
      <c r="B12" s="3484"/>
      <c r="C12" s="3484"/>
      <c r="D12" s="3484">
        <f ca="1">结果表!D126</f>
        <v>97683</v>
      </c>
      <c r="E12" s="3484"/>
      <c r="F12" s="3484"/>
      <c r="G12" s="3484"/>
      <c r="H12" s="3484"/>
      <c r="I12" s="3484"/>
    </row>
    <row r="13" spans="1:9" ht="15.75" thickBot="1">
      <c r="A13" s="3488" t="s">
        <v>927</v>
      </c>
      <c r="B13" s="3488"/>
      <c r="C13" s="3488"/>
      <c r="D13" s="3488" t="str">
        <f ca="1">结果表!D127</f>
        <v>玖亿柒仟陆佰捌拾叁万元整</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H32" sqref="H32"/>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45422</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t="str">
        <f ca="1">IF(C6&lt;B2,"已过期",1120050019)</f>
        <v>已过期</v>
      </c>
      <c r="C6" s="2345">
        <v>45410</v>
      </c>
      <c r="D6" s="2346" t="str">
        <f t="shared" ca="1" si="0"/>
        <v>王鹏（注册号：已过期）</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2423</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2142</v>
      </c>
      <c r="B17" s="3507"/>
      <c r="C17" s="3507"/>
      <c r="D17" s="3507"/>
      <c r="E17" s="3507"/>
      <c r="F17" s="3507"/>
      <c r="G17" s="3507"/>
      <c r="H17" s="3507"/>
    </row>
    <row r="18" spans="1:8" ht="24" customHeight="1">
      <c r="A18" s="3508" t="s">
        <v>2143</v>
      </c>
      <c r="B18" s="3508"/>
      <c r="C18" s="3508"/>
      <c r="D18" s="2343"/>
      <c r="E18" s="3509" t="s">
        <v>2144</v>
      </c>
      <c r="F18" s="3508"/>
      <c r="G18" s="3508"/>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2424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收益法宿舍</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收益法宿舍!Print_Area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2024-05-10T11:35:54Z</dcterms:modified>
</cp:coreProperties>
</file>