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首都医科大学收储\"/>
    </mc:Choice>
  </mc:AlternateContent>
  <xr:revisionPtr revIDLastSave="0" documentId="13_ncr:1_{0B1BE7A6-40A4-477F-B0EE-FE5E22CDDFF3}" xr6:coauthVersionLast="45" xr6:coauthVersionMax="45" xr10:uidLastSave="{00000000-0000-0000-0000-000000000000}"/>
  <bookViews>
    <workbookView xWindow="4500" yWindow="2625" windowWidth="17025" windowHeight="7365"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2" r:id="rId19"/>
    <sheet name="剩余法-现房" sheetId="43" r:id="rId20"/>
    <sheet name="比较法-住宅、综合" sheetId="39"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划拨）" sheetId="73" r:id="rId35"/>
    <sheet name="成本逼近法（出让）" sheetId="11"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'成本逼近法（出让）'!$A$1:$G$23</definedName>
    <definedName name="_xlnm.Print_Area" localSheetId="34">'成本逼近法（划拨）'!$A$1:$G$23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 i="72" l="1"/>
  <c r="D8" i="11"/>
  <c r="E8" i="11"/>
  <c r="E10" i="72"/>
  <c r="C5" i="72"/>
  <c r="D8" i="73"/>
  <c r="G17" i="73"/>
  <c r="C16" i="73"/>
  <c r="C15" i="73"/>
  <c r="C14" i="73"/>
  <c r="E13" i="73"/>
  <c r="D13" i="73"/>
  <c r="C13" i="73" s="1"/>
  <c r="E12" i="73"/>
  <c r="D12" i="73"/>
  <c r="C12" i="73"/>
  <c r="C11" i="73"/>
  <c r="C10" i="73"/>
  <c r="C9" i="73"/>
  <c r="C8" i="73"/>
  <c r="C7" i="73" s="1"/>
  <c r="E5" i="72"/>
  <c r="B4" i="72"/>
  <c r="C18" i="73" l="1"/>
  <c r="D33" i="46" l="1"/>
  <c r="AH6" i="1"/>
  <c r="Y6" i="1"/>
  <c r="F19" i="6"/>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7" i="70" l="1"/>
  <c r="S8" i="70"/>
  <c r="S6" i="70"/>
  <c r="U8" i="70"/>
  <c r="U6" i="70"/>
  <c r="U7" i="70"/>
  <c r="S28" i="70"/>
  <c r="S27" i="70"/>
  <c r="S26" i="70"/>
  <c r="U28" i="70"/>
  <c r="U26" i="70"/>
  <c r="U27" i="70"/>
  <c r="K3" i="70"/>
  <c r="R5" i="70"/>
  <c r="P5" i="70"/>
  <c r="T5" i="70"/>
  <c r="W5" i="70" s="1"/>
  <c r="O3" i="70"/>
  <c r="V5" i="70"/>
  <c r="R8" i="70"/>
  <c r="R7" i="70"/>
  <c r="R6" i="70"/>
  <c r="P9" i="70"/>
  <c r="T8" i="70"/>
  <c r="W8" i="70" s="1"/>
  <c r="T7" i="70"/>
  <c r="W7" i="70" s="1"/>
  <c r="T6" i="70"/>
  <c r="W6"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Y39" i="59" s="1"/>
  <c r="N39" i="59"/>
  <c r="X39" i="59" s="1"/>
  <c r="Q38" i="59"/>
  <c r="AB38" i="59" s="1"/>
  <c r="F39" i="59"/>
  <c r="P38" i="59"/>
  <c r="E39" i="59"/>
  <c r="E40" i="59" s="1"/>
  <c r="E41" i="59" s="1"/>
  <c r="U41" i="59" s="1"/>
  <c r="O38" i="59"/>
  <c r="N38" i="59"/>
  <c r="D38" i="59"/>
  <c r="Q37" i="59"/>
  <c r="AB37" i="59" s="1"/>
  <c r="P37" i="59"/>
  <c r="O37" i="59"/>
  <c r="N37" i="59"/>
  <c r="X37" i="59" s="1"/>
  <c r="Q36" i="59"/>
  <c r="AB36" i="59" s="1"/>
  <c r="P36" i="59"/>
  <c r="AA36" i="59" s="1"/>
  <c r="O36" i="59"/>
  <c r="N36" i="59"/>
  <c r="Q35" i="59"/>
  <c r="AB35" i="59" s="1"/>
  <c r="P35" i="59"/>
  <c r="O35" i="59"/>
  <c r="N35" i="59"/>
  <c r="X35" i="59" s="1"/>
  <c r="Q34" i="59"/>
  <c r="P34" i="59"/>
  <c r="O34" i="59"/>
  <c r="C35" i="59"/>
  <c r="N34" i="59"/>
  <c r="B35" i="59"/>
  <c r="B36" i="59" s="1"/>
  <c r="B37" i="59" s="1"/>
  <c r="S37" i="59" s="1"/>
  <c r="D34" i="59"/>
  <c r="Q33" i="59"/>
  <c r="AB33" i="59" s="1"/>
  <c r="P33" i="59"/>
  <c r="AA33" i="59" s="1"/>
  <c r="O33" i="59"/>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O30" i="59"/>
  <c r="Y30" i="59" s="1"/>
  <c r="Z30" i="59" s="1"/>
  <c r="N30" i="59"/>
  <c r="X30" i="59" s="1"/>
  <c r="D30" i="59"/>
  <c r="X26" i="59"/>
  <c r="X28" i="59"/>
  <c r="AA3" i="59"/>
  <c r="AA26" i="59"/>
  <c r="AA27" i="59"/>
  <c r="AA28" i="59"/>
  <c r="AA29" i="59"/>
  <c r="Y26" i="59"/>
  <c r="Z26" i="59"/>
  <c r="Y27" i="59"/>
  <c r="Z27" i="59"/>
  <c r="Y28" i="59"/>
  <c r="Z28" i="59"/>
  <c r="Y29" i="59"/>
  <c r="Z29" i="59"/>
  <c r="AB29" i="59"/>
  <c r="AB3" i="59"/>
  <c r="AB26" i="59"/>
  <c r="AB27" i="59"/>
  <c r="AB28" i="59"/>
  <c r="E31" i="59"/>
  <c r="E32" i="59"/>
  <c r="E33" i="59" s="1"/>
  <c r="U33" i="59" s="1"/>
  <c r="B52" i="59"/>
  <c r="B53" i="59"/>
  <c r="S53" i="59" s="1"/>
  <c r="E52" i="59"/>
  <c r="E53" i="59" s="1"/>
  <c r="U53" i="59" s="1"/>
  <c r="S69" i="59"/>
  <c r="Z3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3" i="59"/>
  <c r="C48" i="59"/>
  <c r="D48" i="59" s="1"/>
  <c r="D47" i="59"/>
  <c r="C52" i="59"/>
  <c r="D51" i="59"/>
  <c r="C56" i="59"/>
  <c r="D55" i="59"/>
  <c r="C60" i="59"/>
  <c r="D59" i="59"/>
  <c r="C64" i="59"/>
  <c r="D63" i="59"/>
  <c r="C36" i="59"/>
  <c r="D35" i="59"/>
  <c r="E67" i="59"/>
  <c r="T69" i="59"/>
  <c r="O69" i="59"/>
  <c r="D69" i="59"/>
  <c r="C68" i="59"/>
  <c r="P69" i="59"/>
  <c r="U69" i="59"/>
  <c r="Q69" i="59"/>
  <c r="C72" i="59"/>
  <c r="E72" i="59"/>
  <c r="E71" i="59"/>
  <c r="D73" i="59"/>
  <c r="C76" i="59"/>
  <c r="E76" i="59"/>
  <c r="E75" i="59"/>
  <c r="D77" i="59"/>
  <c r="C80" i="59"/>
  <c r="D80" i="59" s="1"/>
  <c r="E80" i="59"/>
  <c r="E79" i="59"/>
  <c r="D81" i="59"/>
  <c r="C84" i="59"/>
  <c r="C88" i="59"/>
  <c r="U16" i="4"/>
  <c r="S16" i="4"/>
  <c r="Q16" i="4"/>
  <c r="P16" i="4" s="1"/>
  <c r="O16" i="4"/>
  <c r="M16" i="4"/>
  <c r="K16" i="4"/>
  <c r="P66" i="59"/>
  <c r="P67" i="59"/>
  <c r="D88" i="59"/>
  <c r="C87" i="59"/>
  <c r="D87" i="59"/>
  <c r="C79" i="59"/>
  <c r="D79" i="59" s="1"/>
  <c r="D72" i="59"/>
  <c r="C71" i="59"/>
  <c r="D71" i="59"/>
  <c r="C67" i="59"/>
  <c r="O68" i="59"/>
  <c r="D68" i="59"/>
  <c r="D84" i="59"/>
  <c r="C83" i="59"/>
  <c r="D83" i="59"/>
  <c r="D76" i="59"/>
  <c r="C75" i="59"/>
  <c r="D75" i="59" s="1"/>
  <c r="C37" i="59"/>
  <c r="D37" i="59" s="1"/>
  <c r="D36" i="59"/>
  <c r="C65" i="59"/>
  <c r="D65" i="59" s="1"/>
  <c r="D64" i="59"/>
  <c r="D60" i="59"/>
  <c r="C61" i="59"/>
  <c r="C57" i="59"/>
  <c r="D57" i="59" s="1"/>
  <c r="D56" i="59"/>
  <c r="C53" i="59"/>
  <c r="D53" i="59" s="1"/>
  <c r="D52" i="59"/>
  <c r="C45" i="59"/>
  <c r="D45" i="59" s="1"/>
  <c r="D44" i="59"/>
  <c r="T61" i="59"/>
  <c r="D61" i="59"/>
  <c r="T45" i="59"/>
  <c r="T53" i="59"/>
  <c r="T57" i="59"/>
  <c r="T65" i="59"/>
  <c r="T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L545" i="3" s="1"/>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L557" i="3" s="1"/>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F39" i="39" s="1"/>
  <c r="AA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AC26" i="37" s="1"/>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AC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D120" i="34"/>
  <c r="E120" i="34" s="1"/>
  <c r="F120" i="34"/>
  <c r="G120" i="34" s="1"/>
  <c r="H120" i="34" s="1"/>
  <c r="I120" i="34" s="1"/>
  <c r="J120" i="34" s="1"/>
  <c r="K120" i="34" s="1"/>
  <c r="L120" i="34" s="1"/>
  <c r="M120" i="34" s="1"/>
  <c r="D90" i="34"/>
  <c r="E90" i="34" s="1"/>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F39" i="21"/>
  <c r="AA39" i="21" s="1"/>
  <c r="J40" i="21"/>
  <c r="W40" i="21" s="1"/>
  <c r="H35" i="21"/>
  <c r="AB35" i="21" s="1"/>
  <c r="J8" i="21"/>
  <c r="AC8" i="21" s="1"/>
  <c r="J9" i="21"/>
  <c r="AC9" i="21" s="1"/>
  <c r="H8" i="21"/>
  <c r="U8" i="21" s="1"/>
  <c r="H10" i="21"/>
  <c r="U10" i="21" s="1"/>
  <c r="H39" i="21"/>
  <c r="J34" i="21"/>
  <c r="W34" i="21" s="1"/>
  <c r="H36" i="21"/>
  <c r="U36" i="21" s="1"/>
  <c r="F35" i="21"/>
  <c r="J33" i="21"/>
  <c r="W33" i="21" s="1"/>
  <c r="H33" i="21"/>
  <c r="U33" i="21" s="1"/>
  <c r="F33" i="21"/>
  <c r="AA33" i="21" s="1"/>
  <c r="J10" i="21"/>
  <c r="AC10" i="21"/>
  <c r="H26" i="21"/>
  <c r="F19" i="21"/>
  <c r="H19" i="21"/>
  <c r="J19" i="21"/>
  <c r="W19" i="21" s="1"/>
  <c r="J12" i="21"/>
  <c r="W12" i="21" s="1"/>
  <c r="H12" i="21"/>
  <c r="U12" i="21"/>
  <c r="J26" i="21"/>
  <c r="W26" i="21"/>
  <c r="F26" i="21"/>
  <c r="AA26" i="21"/>
  <c r="AB41" i="21"/>
  <c r="S41" i="21"/>
  <c r="W41" i="21"/>
  <c r="S10" i="39"/>
  <c r="U30" i="37"/>
  <c r="E103" i="37"/>
  <c r="F103" i="37"/>
  <c r="F29" i="36"/>
  <c r="AA29" i="36" s="1"/>
  <c r="F16" i="36"/>
  <c r="AA16" i="36" s="1"/>
  <c r="U22" i="36"/>
  <c r="W23" i="36"/>
  <c r="W22" i="36"/>
  <c r="AC31" i="36"/>
  <c r="W33" i="36"/>
  <c r="AC27" i="35"/>
  <c r="U31" i="35"/>
  <c r="W36" i="35"/>
  <c r="W24" i="35"/>
  <c r="S31" i="35"/>
  <c r="W31" i="35"/>
  <c r="F36" i="34"/>
  <c r="S36"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F35" i="37"/>
  <c r="AA35" i="37" s="1"/>
  <c r="E101" i="37"/>
  <c r="F101" i="37"/>
  <c r="G101" i="37" s="1"/>
  <c r="H101" i="37"/>
  <c r="I101" i="37" s="1"/>
  <c r="J101" i="37" s="1"/>
  <c r="K101" i="37" s="1"/>
  <c r="L101" i="37" s="1"/>
  <c r="M101" i="37" s="1"/>
  <c r="J34" i="37"/>
  <c r="H43" i="34"/>
  <c r="U42" i="34"/>
  <c r="E114" i="34"/>
  <c r="H36" i="34"/>
  <c r="U36" i="34" s="1"/>
  <c r="F37" i="34"/>
  <c r="F33" i="34"/>
  <c r="S33" i="34" s="1"/>
  <c r="AA28" i="34"/>
  <c r="F19" i="34"/>
  <c r="AA19" i="34"/>
  <c r="J10" i="34"/>
  <c r="AC10" i="34" s="1"/>
  <c r="U9" i="34"/>
  <c r="J28" i="34"/>
  <c r="S38" i="33"/>
  <c r="F36" i="33"/>
  <c r="S36" i="33" s="1"/>
  <c r="F19" i="33"/>
  <c r="S19" i="33" s="1"/>
  <c r="J19" i="33"/>
  <c r="AC19" i="33" s="1"/>
  <c r="S10" i="21"/>
  <c r="W40" i="33"/>
  <c r="G125" i="21"/>
  <c r="AC34" i="36"/>
  <c r="H29" i="35"/>
  <c r="AB29" i="35" s="1"/>
  <c r="U34" i="37"/>
  <c r="S34" i="37"/>
  <c r="AA34" i="37"/>
  <c r="AC43" i="34"/>
  <c r="AB42" i="34"/>
  <c r="AB40"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J29" i="33"/>
  <c r="J31" i="33"/>
  <c r="AC31" i="33" s="1"/>
  <c r="H31" i="33"/>
  <c r="U31" i="33" s="1"/>
  <c r="S31" i="33"/>
  <c r="J45" i="33"/>
  <c r="W45" i="33"/>
  <c r="F45" i="33"/>
  <c r="S45" i="33"/>
  <c r="S11" i="35"/>
  <c r="H28" i="36"/>
  <c r="U28" i="36"/>
  <c r="H32" i="36"/>
  <c r="AB32" i="36"/>
  <c r="J32" i="36"/>
  <c r="J11" i="36"/>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AB13" i="35"/>
  <c r="U30" i="33"/>
  <c r="J36" i="37"/>
  <c r="AC36" i="37" s="1"/>
  <c r="G105" i="37"/>
  <c r="AB28" i="36"/>
  <c r="AB31" i="21"/>
  <c r="S46" i="21"/>
  <c r="U46" i="21"/>
  <c r="AB30" i="21"/>
  <c r="S28" i="21"/>
  <c r="AA28" i="21"/>
  <c r="AB14" i="21"/>
  <c r="W14" i="21"/>
  <c r="W42" i="21"/>
  <c r="S46" i="33"/>
  <c r="U36" i="37"/>
  <c r="AC13" i="36"/>
  <c r="AB45" i="33"/>
  <c r="AB31" i="33"/>
  <c r="AB27" i="33"/>
  <c r="AC28" i="33"/>
  <c r="U28" i="21"/>
  <c r="AB44" i="21"/>
  <c r="G529" i="3"/>
  <c r="G517" i="3"/>
  <c r="G513" i="3"/>
  <c r="G508" i="3"/>
  <c r="G499" i="3"/>
  <c r="G493" i="3"/>
  <c r="G485" i="3"/>
  <c r="G17" i="3"/>
  <c r="G565" i="3"/>
  <c r="G561" i="3"/>
  <c r="G549" i="3"/>
  <c r="G53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AZ557" i="3" s="1"/>
  <c r="BA551" i="3"/>
  <c r="AZ551" i="3" s="1"/>
  <c r="BA543" i="3"/>
  <c r="BA531" i="3"/>
  <c r="BA509" i="3"/>
  <c r="BA505" i="3"/>
  <c r="BA501" i="3"/>
  <c r="AZ501" i="3" s="1"/>
  <c r="BA493" i="3"/>
  <c r="AZ493" i="3"/>
  <c r="BA19" i="3"/>
  <c r="BA566" i="3"/>
  <c r="BA562" i="3"/>
  <c r="BA560" i="3"/>
  <c r="BA558" i="3"/>
  <c r="BA554" i="3"/>
  <c r="BA546" i="3"/>
  <c r="BA540" i="3"/>
  <c r="AZ540" i="3" s="1"/>
  <c r="BA536" i="3"/>
  <c r="BA532" i="3"/>
  <c r="BA524" i="3"/>
  <c r="BA516" i="3"/>
  <c r="BA512" i="3"/>
  <c r="BA508" i="3"/>
  <c r="BA502" i="3"/>
  <c r="BA498" i="3"/>
  <c r="BA492" i="3"/>
  <c r="BA488" i="3"/>
  <c r="BA484" i="3"/>
  <c r="BA20" i="3"/>
  <c r="G566" i="3"/>
  <c r="G562" i="3"/>
  <c r="G560" i="3"/>
  <c r="G558" i="3"/>
  <c r="G554" i="3"/>
  <c r="G546" i="3"/>
  <c r="BA542" i="3"/>
  <c r="AC542" i="3"/>
  <c r="G542" i="3"/>
  <c r="BQ542" i="3"/>
  <c r="BL542" i="3"/>
  <c r="BQ568" i="3"/>
  <c r="BQ566" i="3"/>
  <c r="BL566" i="3" s="1"/>
  <c r="AZ566" i="3" s="1"/>
  <c r="BQ564" i="3"/>
  <c r="BL564" i="3" s="1"/>
  <c r="BQ562" i="3"/>
  <c r="BL562" i="3" s="1"/>
  <c r="AZ562" i="3" s="1"/>
  <c r="BQ560" i="3"/>
  <c r="BL560" i="3"/>
  <c r="BQ558" i="3"/>
  <c r="BL558" i="3"/>
  <c r="BQ556" i="3"/>
  <c r="BL556" i="3"/>
  <c r="BQ554" i="3"/>
  <c r="BQ552" i="3"/>
  <c r="BL552" i="3" s="1"/>
  <c r="BQ550" i="3"/>
  <c r="BQ548" i="3"/>
  <c r="BQ546" i="3"/>
  <c r="BQ544" i="3"/>
  <c r="BL544" i="3" s="1"/>
  <c r="AZ544" i="3" s="1"/>
  <c r="G538" i="3"/>
  <c r="G530" i="3"/>
  <c r="G526" i="3"/>
  <c r="G522" i="3"/>
  <c r="BQ540" i="3"/>
  <c r="BL540" i="3"/>
  <c r="BQ538" i="3"/>
  <c r="BL538" i="3"/>
  <c r="BQ536" i="3"/>
  <c r="BQ534" i="3"/>
  <c r="BL534" i="3" s="1"/>
  <c r="AZ534" i="3" s="1"/>
  <c r="BQ532" i="3"/>
  <c r="BL532" i="3" s="1"/>
  <c r="BQ530" i="3"/>
  <c r="BQ528" i="3"/>
  <c r="BQ526" i="3"/>
  <c r="BL526" i="3" s="1"/>
  <c r="BQ524" i="3"/>
  <c r="BL524" i="3" s="1"/>
  <c r="BQ522" i="3"/>
  <c r="BL522" i="3" s="1"/>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4" i="3"/>
  <c r="BQ492" i="3"/>
  <c r="BL492" i="3" s="1"/>
  <c r="AZ492" i="3" s="1"/>
  <c r="BQ490" i="3"/>
  <c r="BQ488" i="3"/>
  <c r="BQ486" i="3"/>
  <c r="BL486" i="3" s="1"/>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G123" i="33"/>
  <c r="H123" i="33" s="1"/>
  <c r="I123" i="33"/>
  <c r="J123" i="33" s="1"/>
  <c r="K123" i="33" s="1"/>
  <c r="L123" i="33" s="1"/>
  <c r="M123" i="33" s="1"/>
  <c r="H42" i="33"/>
  <c r="U42" i="33"/>
  <c r="J43" i="33"/>
  <c r="AC43" i="33"/>
  <c r="J23" i="37"/>
  <c r="F17" i="37"/>
  <c r="AA17" i="37" s="1"/>
  <c r="AB43" i="33"/>
  <c r="D3" i="21"/>
  <c r="AC33" i="36"/>
  <c r="W23" i="35"/>
  <c r="S27" i="37"/>
  <c r="AC8" i="37"/>
  <c r="S25" i="37"/>
  <c r="AC36" i="34"/>
  <c r="AC37" i="33"/>
  <c r="AC45"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AZ66" i="3"/>
  <c r="AZ78" i="3"/>
  <c r="AZ82" i="3"/>
  <c r="AZ86" i="3"/>
  <c r="AZ98" i="3"/>
  <c r="AZ102" i="3"/>
  <c r="G491" i="3"/>
  <c r="BA298" i="3"/>
  <c r="AZ298" i="3" s="1"/>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53" i="3"/>
  <c r="AZ363" i="3"/>
  <c r="G368" i="3"/>
  <c r="BA370" i="3"/>
  <c r="BL371" i="3"/>
  <c r="G372" i="3"/>
  <c r="BA374" i="3"/>
  <c r="AZ374" i="3"/>
  <c r="BL375" i="3"/>
  <c r="G376" i="3"/>
  <c r="BA378" i="3"/>
  <c r="AZ378" i="3"/>
  <c r="BL379" i="3"/>
  <c r="G380" i="3"/>
  <c r="BA382" i="3"/>
  <c r="AZ382" i="3" s="1"/>
  <c r="BL383" i="3"/>
  <c r="G384" i="3"/>
  <c r="AZ383" i="3"/>
  <c r="AZ295" i="3"/>
  <c r="AZ303" i="3"/>
  <c r="AZ311" i="3"/>
  <c r="AZ315" i="3"/>
  <c r="AZ339" i="3"/>
  <c r="AZ361" i="3"/>
  <c r="F37" i="46"/>
  <c r="AB16" i="35"/>
  <c r="AA43" i="21"/>
  <c r="U43" i="21"/>
  <c r="AA13" i="40"/>
  <c r="F77" i="40"/>
  <c r="G77" i="40" s="1"/>
  <c r="H77" i="40"/>
  <c r="I77" i="40" s="1"/>
  <c r="J77" i="40" s="1"/>
  <c r="K77" i="40" s="1"/>
  <c r="L77" i="40" s="1"/>
  <c r="M77" i="40" s="1"/>
  <c r="R16" i="4"/>
  <c r="D3" i="35"/>
  <c r="G4" i="4"/>
  <c r="J16" i="35"/>
  <c r="W16" i="35" s="1"/>
  <c r="U42" i="21"/>
  <c r="AC26" i="36"/>
  <c r="AZ354" i="3"/>
  <c r="H13" i="39"/>
  <c r="AB13" i="39" s="1"/>
  <c r="F13" i="39"/>
  <c r="J13" i="39"/>
  <c r="AC13" i="39" s="1"/>
  <c r="AA36" i="35"/>
  <c r="H11" i="37"/>
  <c r="AB11" i="37"/>
  <c r="AA30" i="33"/>
  <c r="AA36" i="37"/>
  <c r="S42" i="33"/>
  <c r="U32" i="33"/>
  <c r="AB17" i="37"/>
  <c r="AZ508" i="3"/>
  <c r="AA45" i="33"/>
  <c r="AB45" i="34"/>
  <c r="AB35" i="35"/>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F11" i="34"/>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W43" i="39" s="1"/>
  <c r="F99" i="37"/>
  <c r="AC27" i="37"/>
  <c r="S45" i="34"/>
  <c r="AC40" i="37"/>
  <c r="W27" i="33"/>
  <c r="S28" i="33"/>
  <c r="S14" i="21"/>
  <c r="AA44" i="34"/>
  <c r="U29" i="35"/>
  <c r="W19" i="33"/>
  <c r="U43" i="34"/>
  <c r="AB43" i="34"/>
  <c r="S35" i="37"/>
  <c r="AA32" i="21"/>
  <c r="S32" i="21"/>
  <c r="U38" i="21"/>
  <c r="AB34" i="21"/>
  <c r="BL571" i="3"/>
  <c r="BL570" i="3"/>
  <c r="F42" i="21"/>
  <c r="AA42" i="21"/>
  <c r="AB40" i="33"/>
  <c r="U40" i="33"/>
  <c r="AA35" i="34"/>
  <c r="S35"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W16" i="36"/>
  <c r="AC16" i="36"/>
  <c r="E78" i="36"/>
  <c r="F78" i="36" s="1"/>
  <c r="G78" i="36"/>
  <c r="H78" i="36" s="1"/>
  <c r="I78" i="36" s="1"/>
  <c r="J78" i="36" s="1"/>
  <c r="K78" i="36" s="1"/>
  <c r="L78" i="36" s="1"/>
  <c r="M78" i="36" s="1"/>
  <c r="F26" i="36"/>
  <c r="S26" i="36"/>
  <c r="U34" i="36"/>
  <c r="AB34" i="36"/>
  <c r="H27" i="36"/>
  <c r="AB27" i="36"/>
  <c r="AA31" i="36"/>
  <c r="AC25" i="37"/>
  <c r="W26" i="37"/>
  <c r="AA30" i="37"/>
  <c r="S30" i="37"/>
  <c r="AC30" i="37"/>
  <c r="AC31" i="37"/>
  <c r="W31" i="37"/>
  <c r="F17" i="39"/>
  <c r="H17" i="39"/>
  <c r="J17" i="39"/>
  <c r="W17" i="39" s="1"/>
  <c r="F21" i="39"/>
  <c r="S21" i="39" s="1"/>
  <c r="H21" i="39"/>
  <c r="AB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J46" i="39"/>
  <c r="W46" i="39" s="1"/>
  <c r="F29" i="39"/>
  <c r="AA29" i="39" s="1"/>
  <c r="E102" i="39"/>
  <c r="F102" i="39" s="1"/>
  <c r="G102" i="39" s="1"/>
  <c r="H29" i="39"/>
  <c r="U29" i="39"/>
  <c r="F34" i="39"/>
  <c r="AA34" i="39"/>
  <c r="H34" i="39"/>
  <c r="AB34" i="39"/>
  <c r="J34" i="39"/>
  <c r="AC34" i="39"/>
  <c r="H39" i="39"/>
  <c r="J29" i="35"/>
  <c r="AC29" i="35" s="1"/>
  <c r="F29" i="35"/>
  <c r="S29" i="35" s="1"/>
  <c r="W30" i="36"/>
  <c r="AC30" i="36"/>
  <c r="F37" i="39"/>
  <c r="H37" i="39"/>
  <c r="J37" i="39"/>
  <c r="W37" i="39" s="1"/>
  <c r="BL568" i="3"/>
  <c r="BA568" i="3"/>
  <c r="AZ568" i="3"/>
  <c r="BL567" i="3"/>
  <c r="BA567" i="3"/>
  <c r="AZ567" i="3" s="1"/>
  <c r="BL565" i="3"/>
  <c r="AZ565" i="3" s="1"/>
  <c r="BA564" i="3"/>
  <c r="AZ564" i="3" s="1"/>
  <c r="BA563" i="3"/>
  <c r="AZ563" i="3" s="1"/>
  <c r="BL554" i="3"/>
  <c r="BA553" i="3"/>
  <c r="AZ553" i="3" s="1"/>
  <c r="BA552" i="3"/>
  <c r="BL549" i="3"/>
  <c r="BA549" i="3"/>
  <c r="BL548" i="3"/>
  <c r="AZ548" i="3" s="1"/>
  <c r="BA548" i="3"/>
  <c r="BL547" i="3"/>
  <c r="AZ547" i="3" s="1"/>
  <c r="BA547" i="3"/>
  <c r="BL539" i="3"/>
  <c r="BA539" i="3"/>
  <c r="AZ539" i="3"/>
  <c r="BA538" i="3"/>
  <c r="AZ538" i="3"/>
  <c r="BL537" i="3"/>
  <c r="BA537" i="3"/>
  <c r="AZ537" i="3" s="1"/>
  <c r="BL536" i="3"/>
  <c r="AZ536" i="3"/>
  <c r="BA535" i="3"/>
  <c r="AZ535" i="3"/>
  <c r="BA534" i="3"/>
  <c r="BA533" i="3"/>
  <c r="AZ533" i="3" s="1"/>
  <c r="BL531" i="3"/>
  <c r="BL530" i="3"/>
  <c r="BA530" i="3"/>
  <c r="BL529" i="3"/>
  <c r="BA529" i="3"/>
  <c r="BL528" i="3"/>
  <c r="BA527" i="3"/>
  <c r="AZ527" i="3" s="1"/>
  <c r="BA526" i="3"/>
  <c r="BA525" i="3"/>
  <c r="AZ525" i="3"/>
  <c r="BL523" i="3"/>
  <c r="BA523" i="3"/>
  <c r="AZ523" i="3" s="1"/>
  <c r="BA522" i="3"/>
  <c r="AZ522" i="3" s="1"/>
  <c r="BL521" i="3"/>
  <c r="BA519" i="3"/>
  <c r="AZ519" i="3" s="1"/>
  <c r="BL518" i="3"/>
  <c r="BA518" i="3"/>
  <c r="BL517" i="3"/>
  <c r="BA517" i="3"/>
  <c r="AZ517" i="3"/>
  <c r="BL515" i="3"/>
  <c r="BA515" i="3"/>
  <c r="AZ515" i="3" s="1"/>
  <c r="BA514" i="3"/>
  <c r="BL513" i="3"/>
  <c r="BA513" i="3"/>
  <c r="BL512" i="3"/>
  <c r="AZ512" i="3" s="1"/>
  <c r="BA511" i="3"/>
  <c r="BA510" i="3"/>
  <c r="AZ510" i="3" s="1"/>
  <c r="BL509" i="3"/>
  <c r="BL507" i="3"/>
  <c r="BA507" i="3"/>
  <c r="AZ507" i="3"/>
  <c r="BL506" i="3"/>
  <c r="BA506" i="3"/>
  <c r="AZ506" i="3" s="1"/>
  <c r="BL505" i="3"/>
  <c r="AZ505" i="3" s="1"/>
  <c r="BL504" i="3"/>
  <c r="AZ504" i="3" s="1"/>
  <c r="BA504" i="3"/>
  <c r="BA503" i="3"/>
  <c r="AZ503" i="3" s="1"/>
  <c r="BA500" i="3"/>
  <c r="BL499" i="3"/>
  <c r="BA499" i="3"/>
  <c r="AZ499" i="3"/>
  <c r="BL498" i="3"/>
  <c r="AZ498" i="3"/>
  <c r="BL497" i="3"/>
  <c r="BA497" i="3"/>
  <c r="BA496" i="3"/>
  <c r="AZ496" i="3" s="1"/>
  <c r="BA495" i="3"/>
  <c r="BL494" i="3"/>
  <c r="BA494" i="3"/>
  <c r="AZ494" i="3"/>
  <c r="G494" i="3"/>
  <c r="BA491" i="3"/>
  <c r="AZ491" i="3" s="1"/>
  <c r="BL490" i="3"/>
  <c r="BA490" i="3"/>
  <c r="AZ490" i="3" s="1"/>
  <c r="BL489" i="3"/>
  <c r="BA489" i="3"/>
  <c r="BL487" i="3"/>
  <c r="AZ487" i="3" s="1"/>
  <c r="BA486" i="3"/>
  <c r="BA485" i="3"/>
  <c r="AZ485" i="3" s="1"/>
  <c r="BA483" i="3"/>
  <c r="AZ483" i="3" s="1"/>
  <c r="BA482" i="3"/>
  <c r="BL481" i="3"/>
  <c r="BA481" i="3"/>
  <c r="BL19" i="3"/>
  <c r="BA18" i="3"/>
  <c r="F114" i="34"/>
  <c r="G114" i="34"/>
  <c r="H114" i="34" s="1"/>
  <c r="I114" i="34"/>
  <c r="J114" i="34" s="1"/>
  <c r="K114" i="34" s="1"/>
  <c r="L114" i="34" s="1"/>
  <c r="M114" i="34" s="1"/>
  <c r="H38" i="34"/>
  <c r="U38" i="34"/>
  <c r="H30" i="40"/>
  <c r="AB30" i="40" s="1"/>
  <c r="G99" i="40"/>
  <c r="H99" i="40" s="1"/>
  <c r="I99" i="40" s="1"/>
  <c r="J99" i="40" s="1"/>
  <c r="K99" i="40" s="1"/>
  <c r="L99" i="40" s="1"/>
  <c r="M99" i="40" s="1"/>
  <c r="J30" i="40"/>
  <c r="AC30" i="40"/>
  <c r="F38" i="40"/>
  <c r="AA38" i="40"/>
  <c r="AA36" i="34"/>
  <c r="AC12" i="21"/>
  <c r="AB33" i="21"/>
  <c r="AB10" i="21"/>
  <c r="AB8" i="21"/>
  <c r="S34" i="21"/>
  <c r="AC36" i="21"/>
  <c r="AB8" i="33"/>
  <c r="U8" i="33"/>
  <c r="E106" i="33"/>
  <c r="H34" i="33"/>
  <c r="U34" i="33" s="1"/>
  <c r="F34" i="33"/>
  <c r="E121" i="33"/>
  <c r="F121" i="33" s="1"/>
  <c r="F41" i="33"/>
  <c r="S41" i="33"/>
  <c r="AC34" i="34"/>
  <c r="W34" i="34"/>
  <c r="S39" i="34"/>
  <c r="E78" i="34"/>
  <c r="F15" i="34"/>
  <c r="AC28" i="35"/>
  <c r="J20" i="35"/>
  <c r="AC20" i="35" s="1"/>
  <c r="E72" i="35"/>
  <c r="F72" i="35" s="1"/>
  <c r="G72" i="35"/>
  <c r="H22" i="35"/>
  <c r="AB22" i="35"/>
  <c r="H23" i="35"/>
  <c r="F23" i="35"/>
  <c r="AA23" i="35" s="1"/>
  <c r="AB36" i="35"/>
  <c r="U36" i="35"/>
  <c r="W12" i="36"/>
  <c r="U31" i="36"/>
  <c r="S8" i="37"/>
  <c r="AA8" i="37"/>
  <c r="F14" i="39"/>
  <c r="AA14" i="39"/>
  <c r="H14" i="39"/>
  <c r="AB14" i="39"/>
  <c r="J14" i="39"/>
  <c r="AC14" i="39"/>
  <c r="F16" i="39"/>
  <c r="AA16" i="39"/>
  <c r="H16" i="39"/>
  <c r="U16" i="39"/>
  <c r="J16" i="39"/>
  <c r="AC16" i="39"/>
  <c r="F23" i="39"/>
  <c r="AA23" i="39" s="1"/>
  <c r="E96" i="39"/>
  <c r="F96" i="39" s="1"/>
  <c r="G96" i="39" s="1"/>
  <c r="F27" i="39"/>
  <c r="AA27" i="39" s="1"/>
  <c r="H27" i="39"/>
  <c r="AB27" i="39" s="1"/>
  <c r="J27" i="39"/>
  <c r="AC27" i="39" s="1"/>
  <c r="F15" i="40"/>
  <c r="AA15" i="40" s="1"/>
  <c r="J15" i="40"/>
  <c r="H15" i="40"/>
  <c r="AB15" i="40" s="1"/>
  <c r="E91" i="40"/>
  <c r="F91" i="40" s="1"/>
  <c r="G91" i="40" s="1"/>
  <c r="H23" i="40"/>
  <c r="H41" i="40"/>
  <c r="AB41" i="40" s="1"/>
  <c r="F41" i="40"/>
  <c r="AA41" i="40" s="1"/>
  <c r="J41" i="40"/>
  <c r="W41" i="40" s="1"/>
  <c r="H36" i="33"/>
  <c r="AB36" i="33"/>
  <c r="H37" i="34"/>
  <c r="F15" i="39"/>
  <c r="AA15" i="39" s="1"/>
  <c r="H15" i="39"/>
  <c r="U15" i="39" s="1"/>
  <c r="J15" i="39"/>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7" i="3"/>
  <c r="AZ32" i="3"/>
  <c r="AZ48" i="3"/>
  <c r="AZ91" i="3"/>
  <c r="AZ107" i="3"/>
  <c r="AZ112" i="3"/>
  <c r="J13" i="40"/>
  <c r="W13" i="40"/>
  <c r="AB14" i="40"/>
  <c r="W40" i="40"/>
  <c r="AC14" i="40"/>
  <c r="U37" i="34"/>
  <c r="AB37" i="34"/>
  <c r="AC41" i="40"/>
  <c r="U41" i="40"/>
  <c r="J23" i="40"/>
  <c r="AC23" i="40"/>
  <c r="F23" i="40"/>
  <c r="S23" i="40" s="1"/>
  <c r="AC15" i="40"/>
  <c r="W15" i="40"/>
  <c r="W27" i="39"/>
  <c r="S23" i="39"/>
  <c r="AB16" i="39"/>
  <c r="W14" i="39"/>
  <c r="U23" i="35"/>
  <c r="AB23" i="35"/>
  <c r="H20" i="35"/>
  <c r="F20" i="35"/>
  <c r="S20" i="35" s="1"/>
  <c r="H15" i="34"/>
  <c r="AB15" i="34" s="1"/>
  <c r="F78" i="34"/>
  <c r="G78" i="34" s="1"/>
  <c r="J15" i="34"/>
  <c r="H41" i="33"/>
  <c r="U41" i="33"/>
  <c r="G121" i="33"/>
  <c r="H121" i="33" s="1"/>
  <c r="I121" i="33" s="1"/>
  <c r="J121" i="33" s="1"/>
  <c r="K121" i="33" s="1"/>
  <c r="L121" i="33" s="1"/>
  <c r="M121" i="33" s="1"/>
  <c r="F30" i="40"/>
  <c r="AA30" i="40" s="1"/>
  <c r="AB38" i="34"/>
  <c r="AZ497" i="3"/>
  <c r="AZ530" i="3"/>
  <c r="AZ549" i="3"/>
  <c r="AA29" i="35"/>
  <c r="J29" i="39"/>
  <c r="AC29" i="39" s="1"/>
  <c r="U21" i="39"/>
  <c r="AA14" i="35"/>
  <c r="S14" i="35"/>
  <c r="G99" i="37"/>
  <c r="H99" i="37" s="1"/>
  <c r="I99" i="37" s="1"/>
  <c r="J99" i="37" s="1"/>
  <c r="K99" i="37" s="1"/>
  <c r="L99" i="37" s="1"/>
  <c r="M99" i="37" s="1"/>
  <c r="F33" i="37"/>
  <c r="AB19" i="39"/>
  <c r="U19" i="39"/>
  <c r="U46" i="34"/>
  <c r="AC30" i="34"/>
  <c r="AA14" i="34"/>
  <c r="W12" i="34"/>
  <c r="U29" i="33"/>
  <c r="AC13" i="33"/>
  <c r="U17" i="34"/>
  <c r="W32" i="33"/>
  <c r="H15" i="33"/>
  <c r="U15" i="33"/>
  <c r="AA11" i="33"/>
  <c r="AA40" i="21"/>
  <c r="S13" i="39"/>
  <c r="AA13" i="39"/>
  <c r="U16" i="40"/>
  <c r="W34" i="40"/>
  <c r="AB34" i="40"/>
  <c r="U42" i="40"/>
  <c r="AC16" i="40"/>
  <c r="W32" i="40"/>
  <c r="H25" i="40"/>
  <c r="AB25" i="40" s="1"/>
  <c r="F93" i="40"/>
  <c r="G93" i="40" s="1"/>
  <c r="U47" i="39"/>
  <c r="J37" i="34"/>
  <c r="AC37" i="34" s="1"/>
  <c r="J36" i="33"/>
  <c r="W36" i="33" s="1"/>
  <c r="U27" i="39"/>
  <c r="H23" i="39"/>
  <c r="AB23" i="39"/>
  <c r="J23" i="39"/>
  <c r="AC23" i="39"/>
  <c r="S16" i="39"/>
  <c r="S15" i="34"/>
  <c r="AA15" i="34"/>
  <c r="AA41" i="33"/>
  <c r="F106" i="33"/>
  <c r="G106" i="33" s="1"/>
  <c r="H106" i="33" s="1"/>
  <c r="I106" i="33" s="1"/>
  <c r="J106" i="33" s="1"/>
  <c r="K106" i="33" s="1"/>
  <c r="L106" i="33" s="1"/>
  <c r="M106" i="33" s="1"/>
  <c r="J34" i="33"/>
  <c r="AC34" i="33" s="1"/>
  <c r="U30" i="40"/>
  <c r="W29" i="35"/>
  <c r="S39" i="39"/>
  <c r="U34" i="39"/>
  <c r="AB29" i="39"/>
  <c r="AB44" i="39"/>
  <c r="AC33" i="39"/>
  <c r="W33" i="39"/>
  <c r="AA33" i="39"/>
  <c r="S33" i="39"/>
  <c r="U11" i="36"/>
  <c r="W14" i="35"/>
  <c r="F90" i="34"/>
  <c r="G90" i="34" s="1"/>
  <c r="H90" i="34" s="1"/>
  <c r="I90" i="34" s="1"/>
  <c r="J90" i="34" s="1"/>
  <c r="K90" i="34" s="1"/>
  <c r="L90" i="34" s="1"/>
  <c r="M90" i="34" s="1"/>
  <c r="F27" i="34"/>
  <c r="S27" i="34" s="1"/>
  <c r="AC43" i="39"/>
  <c r="AA43" i="39"/>
  <c r="S43" i="39"/>
  <c r="AA19" i="39"/>
  <c r="G96" i="37"/>
  <c r="H96" i="37"/>
  <c r="I96" i="37" s="1"/>
  <c r="J96" i="37" s="1"/>
  <c r="K96" i="37" s="1"/>
  <c r="L96" i="37" s="1"/>
  <c r="M96" i="37" s="1"/>
  <c r="F32" i="37"/>
  <c r="S32" i="37" s="1"/>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AA27" i="36"/>
  <c r="S16" i="36"/>
  <c r="S29" i="36"/>
  <c r="AC33" i="35"/>
  <c r="U22" i="35"/>
  <c r="AA13" i="35"/>
  <c r="AC9" i="35"/>
  <c r="S8" i="35"/>
  <c r="U33" i="35"/>
  <c r="W20"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W17" i="34"/>
  <c r="AC11" i="34"/>
  <c r="U11" i="34"/>
  <c r="W37" i="34"/>
  <c r="AC40" i="34"/>
  <c r="W44" i="34"/>
  <c r="W19" i="34"/>
  <c r="W29" i="34"/>
  <c r="AC21" i="34"/>
  <c r="W21" i="34"/>
  <c r="U15" i="34"/>
  <c r="AB21" i="34"/>
  <c r="U21" i="34"/>
  <c r="U27" i="34"/>
  <c r="U19" i="34"/>
  <c r="AB41" i="34"/>
  <c r="S13" i="34"/>
  <c r="AA41" i="34"/>
  <c r="S9"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5" i="40"/>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AB25" i="34"/>
  <c r="AA25" i="34"/>
  <c r="S25" i="34"/>
  <c r="W25" i="34"/>
  <c r="AC25" i="34"/>
  <c r="AB23" i="34"/>
  <c r="AA23" i="34"/>
  <c r="S23" i="34"/>
  <c r="W23" i="34"/>
  <c r="S25" i="33"/>
  <c r="U23" i="33"/>
  <c r="AB23" i="33"/>
  <c r="W23" i="33"/>
  <c r="AC23" i="33"/>
  <c r="AA23" i="33"/>
  <c r="W17" i="33"/>
  <c r="AC17" i="33"/>
  <c r="AA17" i="33"/>
  <c r="S17" i="33"/>
  <c r="AB17" i="33"/>
  <c r="U23" i="21"/>
  <c r="AB23" i="21"/>
  <c r="S23" i="21"/>
  <c r="U15" i="21"/>
  <c r="AB15" i="21"/>
  <c r="AC15" i="21"/>
  <c r="U39" i="40"/>
  <c r="AC39" i="40"/>
  <c r="W39" i="40"/>
  <c r="S39" i="40"/>
  <c r="U37" i="40"/>
  <c r="AB37" i="40"/>
  <c r="AA37" i="40"/>
  <c r="S37" i="40"/>
  <c r="AB29" i="40"/>
  <c r="AC29" i="40"/>
  <c r="W29" i="40"/>
  <c r="AA29" i="40"/>
  <c r="S29" i="40"/>
  <c r="AC19" i="40"/>
  <c r="S19" i="40"/>
  <c r="AB19" i="40"/>
  <c r="U19" i="40"/>
  <c r="W27" i="40"/>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J7" i="65"/>
  <c r="N7" i="65"/>
  <c r="M28" i="15"/>
  <c r="F9" i="67"/>
  <c r="F37" i="15"/>
  <c r="M26" i="15"/>
  <c r="F14" i="67"/>
  <c r="M26" i="44"/>
  <c r="M8" i="44"/>
  <c r="J6" i="65"/>
  <c r="D20" i="9"/>
  <c r="F40" i="44"/>
  <c r="F16" i="15"/>
  <c r="B10" i="67"/>
  <c r="J15" i="15"/>
  <c r="F12" i="67"/>
  <c r="J3" i="65"/>
  <c r="N5" i="65"/>
  <c r="I4" i="65"/>
  <c r="I7" i="65"/>
  <c r="E11" i="67"/>
  <c r="F11" i="67"/>
  <c r="N3" i="65"/>
  <c r="B13" i="67"/>
  <c r="E10" i="67"/>
  <c r="E9" i="67"/>
  <c r="C19" i="9"/>
  <c r="C20" i="9"/>
  <c r="I6" i="65"/>
  <c r="F13" i="67"/>
  <c r="E12" i="67"/>
  <c r="N6" i="65"/>
  <c r="E8" i="67"/>
  <c r="D21" i="9"/>
  <c r="F10" i="67"/>
  <c r="L48" i="15"/>
  <c r="D19" i="9"/>
  <c r="C21" i="9"/>
  <c r="B12" i="67"/>
  <c r="F42" i="15"/>
  <c r="I3" i="65"/>
  <c r="F43" i="15"/>
  <c r="B8" i="67"/>
  <c r="M10" i="44"/>
  <c r="B9" i="67"/>
  <c r="F7" i="15"/>
  <c r="I5" i="65"/>
  <c r="J5" i="65"/>
  <c r="M11" i="44"/>
  <c r="E14" i="67"/>
  <c r="F10" i="44"/>
  <c r="M24" i="15"/>
  <c r="J17" i="44"/>
  <c r="B11" i="67"/>
  <c r="F18" i="44"/>
  <c r="N4" i="65"/>
  <c r="F8" i="15"/>
  <c r="E13" i="67"/>
  <c r="L48" i="44"/>
  <c r="F39" i="44"/>
  <c r="M31" i="44"/>
  <c r="M6" i="15"/>
  <c r="B14" i="67"/>
  <c r="J4" i="65"/>
  <c r="F8" i="67"/>
  <c r="F8" i="44"/>
  <c r="M29" i="15"/>
  <c r="D96" i="9" l="1"/>
  <c r="B41" i="1"/>
  <c r="F72" i="9" s="1"/>
  <c r="M18" i="15"/>
  <c r="H72" i="46"/>
  <c r="G29" i="6"/>
  <c r="S21" i="59"/>
  <c r="W37" i="40"/>
  <c r="W34" i="33"/>
  <c r="S23" i="35"/>
  <c r="AA20" i="35"/>
  <c r="M20" i="44"/>
  <c r="AC36" i="33"/>
  <c r="S41" i="40"/>
  <c r="S47" i="39"/>
  <c r="AC15" i="39"/>
  <c r="W15" i="39"/>
  <c r="AZ481" i="3"/>
  <c r="S37" i="39"/>
  <c r="AA37" i="39"/>
  <c r="U17" i="39"/>
  <c r="AB17" i="39"/>
  <c r="AB17" i="21"/>
  <c r="U17" i="21"/>
  <c r="W25" i="35"/>
  <c r="AZ370" i="3"/>
  <c r="AZ299" i="3"/>
  <c r="AZ377" i="3"/>
  <c r="U15" i="37"/>
  <c r="AB15" i="37"/>
  <c r="AB12" i="37"/>
  <c r="U12" i="37"/>
  <c r="W23" i="37"/>
  <c r="AC23" i="37"/>
  <c r="AZ516" i="3"/>
  <c r="AZ526" i="3"/>
  <c r="AZ542" i="3"/>
  <c r="AZ19" i="3"/>
  <c r="AZ531" i="3"/>
  <c r="AC30" i="21"/>
  <c r="AC35" i="35"/>
  <c r="W35" i="35"/>
  <c r="AA25" i="35"/>
  <c r="S25" i="35"/>
  <c r="AB31" i="34"/>
  <c r="U31" i="34"/>
  <c r="AC46" i="33"/>
  <c r="W46" i="33"/>
  <c r="U40" i="37"/>
  <c r="AB40" i="37"/>
  <c r="AC37" i="37"/>
  <c r="W37" i="37"/>
  <c r="W11" i="36"/>
  <c r="AC11" i="36"/>
  <c r="W29" i="33"/>
  <c r="AC29" i="33"/>
  <c r="S27" i="33"/>
  <c r="AA27" i="33"/>
  <c r="W45" i="21"/>
  <c r="AC45" i="21"/>
  <c r="U13" i="21"/>
  <c r="AB13" i="21"/>
  <c r="AA37" i="34"/>
  <c r="S37" i="34"/>
  <c r="W34" i="37"/>
  <c r="AC34" i="37"/>
  <c r="AA22" i="35"/>
  <c r="S22" i="35"/>
  <c r="AB19" i="21"/>
  <c r="U19" i="21"/>
  <c r="AA35" i="21"/>
  <c r="S35" i="21"/>
  <c r="S36" i="21"/>
  <c r="AA36" i="21"/>
  <c r="B73" i="46"/>
  <c r="C23" i="39"/>
  <c r="B84" i="46"/>
  <c r="B94" i="46"/>
  <c r="J9" i="33"/>
  <c r="H9" i="33"/>
  <c r="F9" i="33"/>
  <c r="AA33" i="40"/>
  <c r="S33" i="40"/>
  <c r="U25" i="39"/>
  <c r="AB25" i="39"/>
  <c r="U23" i="40"/>
  <c r="AB23" i="40"/>
  <c r="S34" i="33"/>
  <c r="AA34" i="33"/>
  <c r="U37" i="39"/>
  <c r="AB37" i="39"/>
  <c r="AB39" i="39"/>
  <c r="U39" i="39"/>
  <c r="AA17" i="39"/>
  <c r="S17" i="39"/>
  <c r="S11" i="36"/>
  <c r="AA11" i="36"/>
  <c r="S11" i="34"/>
  <c r="AA11" i="34"/>
  <c r="AZ486" i="3"/>
  <c r="W14" i="37"/>
  <c r="AC14" i="37"/>
  <c r="AB25" i="35"/>
  <c r="U25" i="35"/>
  <c r="AC31" i="34"/>
  <c r="W31" i="34"/>
  <c r="S13" i="33"/>
  <c r="AA13" i="33"/>
  <c r="AA45" i="21"/>
  <c r="S45" i="21"/>
  <c r="W28" i="34"/>
  <c r="AC28" i="34"/>
  <c r="AA19" i="21"/>
  <c r="S19" i="21"/>
  <c r="AB39" i="21"/>
  <c r="U39" i="21"/>
  <c r="S38" i="21"/>
  <c r="AA38" i="21"/>
  <c r="E5" i="6"/>
  <c r="D12" i="11" s="1"/>
  <c r="C12" i="11" s="1"/>
  <c r="BL572" i="3"/>
  <c r="BA571" i="3"/>
  <c r="AZ571" i="3" s="1"/>
  <c r="BB5" i="3"/>
  <c r="BJ5" i="3"/>
  <c r="BH5" i="3"/>
  <c r="BF5" i="3"/>
  <c r="F9" i="21"/>
  <c r="H9" i="21"/>
  <c r="U46" i="39"/>
  <c r="AB46" i="39"/>
  <c r="AZ569" i="3"/>
  <c r="AZ556" i="3"/>
  <c r="AZ555" i="3"/>
  <c r="BL550" i="3"/>
  <c r="AZ550" i="3" s="1"/>
  <c r="AZ545" i="3"/>
  <c r="AZ543" i="3"/>
  <c r="AZ541" i="3"/>
  <c r="AZ528" i="3"/>
  <c r="AZ521" i="3"/>
  <c r="BL488" i="3"/>
  <c r="AZ488" i="3" s="1"/>
  <c r="S43" i="34"/>
  <c r="AZ482" i="3"/>
  <c r="AZ489" i="3"/>
  <c r="AZ495" i="3"/>
  <c r="AZ500" i="3"/>
  <c r="AZ509" i="3"/>
  <c r="AZ511" i="3"/>
  <c r="AZ513" i="3"/>
  <c r="AZ518" i="3"/>
  <c r="AZ529" i="3"/>
  <c r="AZ552" i="3"/>
  <c r="AZ554" i="3"/>
  <c r="J39" i="39"/>
  <c r="AB14" i="37"/>
  <c r="AB29" i="37"/>
  <c r="F33" i="36"/>
  <c r="H33" i="36"/>
  <c r="H11" i="35"/>
  <c r="AB39" i="34"/>
  <c r="AZ356" i="3"/>
  <c r="AZ345" i="3"/>
  <c r="AZ340" i="3"/>
  <c r="AZ329" i="3"/>
  <c r="AZ324" i="3"/>
  <c r="AZ305" i="3"/>
  <c r="AZ381" i="3"/>
  <c r="AZ372" i="3"/>
  <c r="AZ355" i="3"/>
  <c r="AZ307" i="3"/>
  <c r="AB8" i="34"/>
  <c r="BL20" i="3"/>
  <c r="AZ514" i="3"/>
  <c r="AZ524" i="3"/>
  <c r="AZ532" i="3"/>
  <c r="BL546" i="3"/>
  <c r="AZ546" i="3" s="1"/>
  <c r="AZ502" i="3"/>
  <c r="AB30" i="36"/>
  <c r="W8" i="34"/>
  <c r="H39" i="37"/>
  <c r="W39" i="34"/>
  <c r="W9" i="34"/>
  <c r="U26" i="36"/>
  <c r="W39" i="37"/>
  <c r="F39" i="37"/>
  <c r="H5" i="3"/>
  <c r="BA572" i="3"/>
  <c r="AZ572" i="3" s="1"/>
  <c r="BA570" i="3"/>
  <c r="AZ570" i="3" s="1"/>
  <c r="BE5" i="3"/>
  <c r="B101" i="46"/>
  <c r="B79" i="46"/>
  <c r="J12" i="35"/>
  <c r="J34" i="35"/>
  <c r="H34" i="35"/>
  <c r="F34" i="35"/>
  <c r="G553" i="3"/>
  <c r="G548" i="3"/>
  <c r="G527" i="3"/>
  <c r="G519" i="3"/>
  <c r="G503" i="3"/>
  <c r="G495" i="3"/>
  <c r="G486" i="3"/>
  <c r="H26" i="37"/>
  <c r="F26" i="37"/>
  <c r="AZ390" i="3"/>
  <c r="BL397" i="3"/>
  <c r="AZ397" i="3" s="1"/>
  <c r="AZ399" i="3"/>
  <c r="AZ403" i="3"/>
  <c r="BL413" i="3"/>
  <c r="AZ415" i="3"/>
  <c r="AZ422" i="3"/>
  <c r="BL427" i="3"/>
  <c r="AZ430" i="3"/>
  <c r="AZ432" i="3"/>
  <c r="BL433" i="3"/>
  <c r="AZ433" i="3" s="1"/>
  <c r="AZ439" i="3"/>
  <c r="BL457" i="3"/>
  <c r="AZ459" i="3"/>
  <c r="AZ463" i="3"/>
  <c r="BL467" i="3"/>
  <c r="AZ467" i="3" s="1"/>
  <c r="AZ468" i="3"/>
  <c r="AZ471" i="3"/>
  <c r="BL473" i="3"/>
  <c r="AZ475" i="3"/>
  <c r="AZ479" i="3"/>
  <c r="BL310" i="3"/>
  <c r="AZ310" i="3" s="1"/>
  <c r="AZ334" i="3"/>
  <c r="AZ360" i="3"/>
  <c r="AZ371" i="3"/>
  <c r="AZ376" i="3"/>
  <c r="AZ388" i="3"/>
  <c r="AZ283" i="3"/>
  <c r="AZ132" i="3"/>
  <c r="A30" i="64"/>
  <c r="A30" i="51"/>
  <c r="B22" i="63" s="1"/>
  <c r="BL392" i="3"/>
  <c r="AZ392" i="3" s="1"/>
  <c r="BL398" i="3"/>
  <c r="AZ398" i="3" s="1"/>
  <c r="BL402" i="3"/>
  <c r="AZ402" i="3" s="1"/>
  <c r="BL414" i="3"/>
  <c r="AZ414" i="3" s="1"/>
  <c r="AZ418" i="3"/>
  <c r="BL424" i="3"/>
  <c r="AZ424" i="3" s="1"/>
  <c r="AZ428" i="3"/>
  <c r="BL432" i="3"/>
  <c r="BL434" i="3"/>
  <c r="AZ434" i="3" s="1"/>
  <c r="AZ435" i="3"/>
  <c r="BL438" i="3"/>
  <c r="AZ438" i="3" s="1"/>
  <c r="AZ441" i="3"/>
  <c r="BL444" i="3"/>
  <c r="AZ444" i="3" s="1"/>
  <c r="AZ449" i="3"/>
  <c r="AZ452" i="3"/>
  <c r="AZ458" i="3"/>
  <c r="BL462" i="3"/>
  <c r="AZ462" i="3" s="1"/>
  <c r="BL466" i="3"/>
  <c r="AZ466" i="3" s="1"/>
  <c r="BL470" i="3"/>
  <c r="AZ470" i="3" s="1"/>
  <c r="BL474" i="3"/>
  <c r="AZ474" i="3" s="1"/>
  <c r="BL478" i="3"/>
  <c r="AZ478" i="3" s="1"/>
  <c r="AZ309" i="3"/>
  <c r="AZ313" i="3"/>
  <c r="AZ317" i="3"/>
  <c r="BA333" i="3"/>
  <c r="AZ333" i="3" s="1"/>
  <c r="BL334" i="3"/>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BA286" i="3"/>
  <c r="AZ286" i="3" s="1"/>
  <c r="BL287" i="3"/>
  <c r="BA288" i="3"/>
  <c r="AZ288" i="3" s="1"/>
  <c r="BA290" i="3"/>
  <c r="AZ290" i="3" s="1"/>
  <c r="BL291" i="3"/>
  <c r="AZ291" i="3" s="1"/>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AZ26" i="3" s="1"/>
  <c r="BA31" i="3"/>
  <c r="AZ31" i="3" s="1"/>
  <c r="BA35" i="3"/>
  <c r="AZ35" i="3" s="1"/>
  <c r="BL36" i="3"/>
  <c r="BA37" i="3"/>
  <c r="AZ37" i="3" s="1"/>
  <c r="BL38" i="3"/>
  <c r="BL40" i="3"/>
  <c r="AZ40" i="3" s="1"/>
  <c r="BA41" i="3"/>
  <c r="AZ41" i="3" s="1"/>
  <c r="BL42" i="3"/>
  <c r="BA47" i="3"/>
  <c r="AZ47" i="3" s="1"/>
  <c r="BA51" i="3"/>
  <c r="AZ51" i="3" s="1"/>
  <c r="BL52" i="3"/>
  <c r="BA53" i="3"/>
  <c r="AZ53" i="3" s="1"/>
  <c r="BL54" i="3"/>
  <c r="BL56" i="3"/>
  <c r="AZ56" i="3" s="1"/>
  <c r="BL59" i="3"/>
  <c r="AZ59" i="3" s="1"/>
  <c r="BA63" i="3"/>
  <c r="AZ63" i="3" s="1"/>
  <c r="BL64" i="3"/>
  <c r="BA65" i="3"/>
  <c r="AZ65" i="3" s="1"/>
  <c r="BL70" i="3"/>
  <c r="AZ70" i="3" s="1"/>
  <c r="AZ171" i="3"/>
  <c r="AZ204" i="3"/>
  <c r="AZ22" i="3"/>
  <c r="AZ36" i="3"/>
  <c r="AZ38" i="3"/>
  <c r="AZ42" i="3"/>
  <c r="AZ52" i="3"/>
  <c r="AZ64" i="3"/>
  <c r="AA34" i="59"/>
  <c r="E35" i="59"/>
  <c r="E36" i="59" s="1"/>
  <c r="E37" i="59" s="1"/>
  <c r="U37" i="59" s="1"/>
  <c r="Y38" i="59"/>
  <c r="Z38" i="59" s="1"/>
  <c r="C39" i="59"/>
  <c r="N69" i="59"/>
  <c r="B68" i="59"/>
  <c r="BL71" i="3"/>
  <c r="AZ71" i="3" s="1"/>
  <c r="BL74" i="3"/>
  <c r="AZ74" i="3" s="1"/>
  <c r="BA75" i="3"/>
  <c r="AZ75" i="3" s="1"/>
  <c r="BL76" i="3"/>
  <c r="AZ76" i="3" s="1"/>
  <c r="BA77" i="3"/>
  <c r="AZ77" i="3" s="1"/>
  <c r="BA79" i="3"/>
  <c r="AZ79" i="3" s="1"/>
  <c r="BL80" i="3"/>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K13" i="1"/>
  <c r="M13" i="1" s="1"/>
  <c r="O13" i="1" s="1"/>
  <c r="P13" i="1" s="1"/>
  <c r="X29" i="59"/>
  <c r="X27" i="59"/>
  <c r="X3" i="59"/>
  <c r="B31" i="59"/>
  <c r="B32" i="59" s="1"/>
  <c r="B33" i="59" s="1"/>
  <c r="S33" i="59" s="1"/>
  <c r="C31" i="59"/>
  <c r="AA30" i="59"/>
  <c r="Y33" i="59"/>
  <c r="Z33" i="59" s="1"/>
  <c r="X34" i="59"/>
  <c r="Y34" i="59"/>
  <c r="Z34" i="59" s="1"/>
  <c r="AB34" i="59"/>
  <c r="F35" i="59"/>
  <c r="F36" i="59" s="1"/>
  <c r="F37" i="59" s="1"/>
  <c r="V37" i="59" s="1"/>
  <c r="Y35" i="59"/>
  <c r="Z35" i="59" s="1"/>
  <c r="Y36" i="59"/>
  <c r="Z36" i="59" s="1"/>
  <c r="Y37" i="59"/>
  <c r="Z37" i="59" s="1"/>
  <c r="X38" i="59"/>
  <c r="B39" i="59"/>
  <c r="B40" i="59" s="1"/>
  <c r="B41" i="59" s="1"/>
  <c r="S41" i="59" s="1"/>
  <c r="AA38" i="59"/>
  <c r="Y7" i="59"/>
  <c r="Z7" i="59" s="1"/>
  <c r="Y6" i="59"/>
  <c r="Z6" i="59" s="1"/>
  <c r="Y5" i="59"/>
  <c r="Z5" i="59" s="1"/>
  <c r="Y8" i="59"/>
  <c r="Z8" i="59" s="1"/>
  <c r="Y10" i="59"/>
  <c r="Z10" i="59" s="1"/>
  <c r="Y11" i="59"/>
  <c r="Z11" i="59" s="1"/>
  <c r="Y40" i="59"/>
  <c r="Z40" i="59" s="1"/>
  <c r="F68" i="59"/>
  <c r="AA35" i="59"/>
  <c r="X36" i="59"/>
  <c r="AA37" i="59"/>
  <c r="X5" i="59"/>
  <c r="X7" i="59"/>
  <c r="X6" i="59"/>
  <c r="X8" i="59"/>
  <c r="X10" i="59"/>
  <c r="X11" i="59"/>
  <c r="AA5" i="59"/>
  <c r="AA7" i="59"/>
  <c r="AA6" i="59"/>
  <c r="AA8" i="59"/>
  <c r="AA11" i="59"/>
  <c r="AA10" i="59"/>
  <c r="AB6" i="59"/>
  <c r="AB5" i="59"/>
  <c r="AB7" i="59"/>
  <c r="AB8" i="59"/>
  <c r="AB10" i="59"/>
  <c r="AB11" i="59"/>
  <c r="X24" i="59"/>
  <c r="X25" i="59"/>
  <c r="B29" i="59"/>
  <c r="U29" i="59"/>
  <c r="E28" i="59"/>
  <c r="E27" i="59" s="1"/>
  <c r="T29" i="59"/>
  <c r="Y25" i="59"/>
  <c r="Z25" i="59" s="1"/>
  <c r="AB25" i="59"/>
  <c r="X19" i="59"/>
  <c r="Y19" i="59"/>
  <c r="Z19" i="59" s="1"/>
  <c r="AB19" i="59"/>
  <c r="X15" i="59"/>
  <c r="AA13" i="59"/>
  <c r="C24" i="59"/>
  <c r="D25" i="59"/>
  <c r="C28" i="59"/>
  <c r="V29" i="59"/>
  <c r="X22" i="59"/>
  <c r="AA24" i="59"/>
  <c r="Y24" i="59"/>
  <c r="Z24" i="59" s="1"/>
  <c r="AB24" i="59"/>
  <c r="AA22" i="59"/>
  <c r="X18" i="59"/>
  <c r="Y18" i="59"/>
  <c r="Z18" i="59" s="1"/>
  <c r="AA18" i="59"/>
  <c r="AB18" i="59"/>
  <c r="Y15" i="59"/>
  <c r="Z15" i="59" s="1"/>
  <c r="AA19" i="59"/>
  <c r="AB16" i="59"/>
  <c r="AB12" i="59"/>
  <c r="AB14" i="59"/>
  <c r="Y12" i="59"/>
  <c r="Z12" i="59" s="1"/>
  <c r="Y14" i="59"/>
  <c r="Z14" i="59" s="1"/>
  <c r="AA12" i="59"/>
  <c r="X12" i="59"/>
  <c r="X14" i="59"/>
  <c r="F25" i="59"/>
  <c r="E25" i="59"/>
  <c r="K76" i="9"/>
  <c r="AA16" i="59"/>
  <c r="X17" i="59"/>
  <c r="AB13" i="59"/>
  <c r="AB15" i="59"/>
  <c r="Y13" i="59"/>
  <c r="Z13" i="59" s="1"/>
  <c r="AA14" i="59"/>
  <c r="AA15" i="59"/>
  <c r="X13"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80"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C2" i="65"/>
  <c r="I1" i="65" s="1"/>
  <c r="G20" i="43"/>
  <c r="G26" i="12"/>
  <c r="F70" i="9"/>
  <c r="F66" i="9"/>
  <c r="P72" i="9" s="1"/>
  <c r="C28" i="15"/>
  <c r="F30" i="44"/>
  <c r="C30" i="44" s="1"/>
  <c r="D86" i="9"/>
  <c r="F29" i="12"/>
  <c r="F59" i="15"/>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J1" i="65"/>
  <c r="F50" i="15"/>
  <c r="F64" i="15"/>
  <c r="F70" i="15"/>
  <c r="L60" i="44"/>
  <c r="J53" i="15"/>
  <c r="J57" i="15"/>
  <c r="J55" i="15" s="1"/>
  <c r="J58" i="15" s="1"/>
  <c r="Q51" i="15" s="1"/>
  <c r="I54" i="15"/>
  <c r="L56" i="15"/>
  <c r="F49" i="15"/>
  <c r="M7" i="15"/>
  <c r="C4" i="65"/>
  <c r="B39" i="1" s="1"/>
  <c r="C15" i="43"/>
  <c r="F15" i="44"/>
  <c r="F28" i="44"/>
  <c r="M28" i="44"/>
  <c r="M22" i="15"/>
  <c r="F45" i="44"/>
  <c r="F36" i="15"/>
  <c r="F40" i="15"/>
  <c r="F9" i="44"/>
  <c r="F43" i="44"/>
  <c r="M8" i="15"/>
  <c r="M24" i="44"/>
  <c r="F9" i="15"/>
  <c r="M30" i="44"/>
  <c r="C18" i="44"/>
  <c r="L47" i="15"/>
  <c r="L49" i="44"/>
  <c r="F26" i="15"/>
  <c r="F6" i="15"/>
  <c r="F38" i="15"/>
  <c r="F38" i="44"/>
  <c r="F11" i="44"/>
  <c r="J36" i="15"/>
  <c r="M23" i="15"/>
  <c r="F13" i="15"/>
  <c r="M9" i="15"/>
  <c r="M25" i="44"/>
  <c r="C16" i="15"/>
  <c r="E2" i="65"/>
  <c r="E3" i="65"/>
  <c r="C17" i="73" l="1"/>
  <c r="C19" i="73" s="1"/>
  <c r="E15" i="6"/>
  <c r="Q72" i="15"/>
  <c r="F65" i="15"/>
  <c r="F31" i="15"/>
  <c r="C6" i="15"/>
  <c r="C32" i="15" s="1"/>
  <c r="C27" i="15"/>
  <c r="I55" i="44"/>
  <c r="L57" i="44"/>
  <c r="L59" i="44"/>
  <c r="Q75" i="44" s="1"/>
  <c r="J54" i="44"/>
  <c r="F1" i="44" s="1"/>
  <c r="J58" i="44"/>
  <c r="J56" i="44" s="1"/>
  <c r="J59" i="44" s="1"/>
  <c r="Q52" i="44" s="1"/>
  <c r="L59" i="15"/>
  <c r="Q75" i="15" s="1"/>
  <c r="L58" i="15"/>
  <c r="Q74" i="15" s="1"/>
  <c r="Q73" i="44"/>
  <c r="C8" i="44"/>
  <c r="C34" i="44" s="1"/>
  <c r="F33" i="44"/>
  <c r="M9" i="44"/>
  <c r="J8" i="44" s="1"/>
  <c r="J20" i="44" s="1"/>
  <c r="F67" i="15"/>
  <c r="F63" i="15"/>
  <c r="C29" i="44"/>
  <c r="M17" i="15"/>
  <c r="B16" i="59"/>
  <c r="B15" i="59" s="1"/>
  <c r="B14" i="59" s="1"/>
  <c r="B13" i="59" s="1"/>
  <c r="S17" i="59"/>
  <c r="U25" i="59"/>
  <c r="E24" i="59"/>
  <c r="E23" i="59" s="1"/>
  <c r="E22" i="59" s="1"/>
  <c r="E21" i="59" s="1"/>
  <c r="D28" i="59"/>
  <c r="C27" i="59"/>
  <c r="D27" i="59" s="1"/>
  <c r="C23" i="59"/>
  <c r="D24" i="59"/>
  <c r="B67" i="59"/>
  <c r="N68" i="59"/>
  <c r="D39" i="59"/>
  <c r="C40" i="59"/>
  <c r="AB26" i="37"/>
  <c r="U26" i="37"/>
  <c r="AA34" i="35"/>
  <c r="S34" i="35"/>
  <c r="AC34" i="35"/>
  <c r="W34" i="35"/>
  <c r="AA39" i="37"/>
  <c r="S39" i="37"/>
  <c r="U33" i="36"/>
  <c r="AB33" i="36"/>
  <c r="AC39" i="39"/>
  <c r="W39" i="39"/>
  <c r="U9" i="21"/>
  <c r="AB9" i="21"/>
  <c r="AA9" i="33"/>
  <c r="S9" i="33"/>
  <c r="W9" i="33"/>
  <c r="AC9" i="33"/>
  <c r="J7" i="33"/>
  <c r="Q16" i="1"/>
  <c r="H16" i="1"/>
  <c r="AP16" i="1"/>
  <c r="F22" i="11" s="1"/>
  <c r="V25" i="59"/>
  <c r="F24" i="59"/>
  <c r="F23" i="59" s="1"/>
  <c r="F22" i="59" s="1"/>
  <c r="F21" i="59" s="1"/>
  <c r="S29" i="59"/>
  <c r="B28" i="59"/>
  <c r="B27" i="59" s="1"/>
  <c r="F67" i="59"/>
  <c r="Q68" i="59"/>
  <c r="D31" i="59"/>
  <c r="C32" i="59"/>
  <c r="AA26" i="37"/>
  <c r="S26" i="37"/>
  <c r="AB34" i="35"/>
  <c r="U34" i="35"/>
  <c r="W12" i="35"/>
  <c r="AC12" i="35"/>
  <c r="U39" i="37"/>
  <c r="AB39" i="37"/>
  <c r="U11" i="35"/>
  <c r="AB11" i="35"/>
  <c r="AA33" i="36"/>
  <c r="S33" i="36"/>
  <c r="S9" i="21"/>
  <c r="AA9" i="21"/>
  <c r="AB9" i="33"/>
  <c r="U9" i="33"/>
  <c r="E83" i="46"/>
  <c r="B81" i="46" s="1"/>
  <c r="D26" i="46"/>
  <c r="C25" i="46" s="1"/>
  <c r="C29" i="12"/>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C17" i="11"/>
  <c r="C19" i="11" s="1"/>
  <c r="Q62" i="15"/>
  <c r="C32" i="9"/>
  <c r="N43" i="9"/>
  <c r="M13" i="44"/>
  <c r="J12" i="44" s="1"/>
  <c r="F11" i="15"/>
  <c r="M11" i="15"/>
  <c r="F13" i="44"/>
  <c r="C12" i="44" s="1"/>
  <c r="C48" i="15"/>
  <c r="M32" i="46"/>
  <c r="P32" i="46"/>
  <c r="O32" i="46"/>
  <c r="N32" i="46"/>
  <c r="Q54" i="44"/>
  <c r="Q63" i="44"/>
  <c r="Q76" i="44"/>
  <c r="F1" i="15"/>
  <c r="Q53" i="15"/>
  <c r="J6" i="15"/>
  <c r="J18" i="15" s="1"/>
  <c r="AE12" i="1"/>
  <c r="AE7" i="1"/>
  <c r="AE8" i="1"/>
  <c r="AE9" i="1"/>
  <c r="AE10" i="1"/>
  <c r="AE11" i="1"/>
  <c r="F21" i="43"/>
  <c r="D16" i="43"/>
  <c r="AE6" i="1"/>
  <c r="F41" i="15"/>
  <c r="F46" i="44"/>
  <c r="C20" i="73" l="1"/>
  <c r="C21" i="73" s="1"/>
  <c r="C22" i="73" s="1"/>
  <c r="C23" i="73" s="1"/>
  <c r="B2" i="73" s="1"/>
  <c r="C16" i="43"/>
  <c r="F33" i="12"/>
  <c r="C34" i="12" s="1"/>
  <c r="D33" i="12" s="1"/>
  <c r="Q62" i="44"/>
  <c r="Q61" i="15"/>
  <c r="C7" i="44"/>
  <c r="C40" i="44" s="1"/>
  <c r="M19" i="44"/>
  <c r="J7" i="44"/>
  <c r="J26" i="44" s="1"/>
  <c r="D32" i="59"/>
  <c r="C33" i="59"/>
  <c r="F20" i="59"/>
  <c r="F19" i="59" s="1"/>
  <c r="F18" i="59" s="1"/>
  <c r="F17" i="59" s="1"/>
  <c r="V21" i="59"/>
  <c r="D40" i="59"/>
  <c r="C41" i="59"/>
  <c r="E20" i="59"/>
  <c r="E19" i="59" s="1"/>
  <c r="E18" i="59" s="1"/>
  <c r="E17" i="59" s="1"/>
  <c r="U21" i="59"/>
  <c r="J60" i="44"/>
  <c r="J61" i="44" s="1"/>
  <c r="Q50" i="44" s="1"/>
  <c r="Q66" i="59"/>
  <c r="Q67" i="59"/>
  <c r="N67" i="59"/>
  <c r="N66" i="59"/>
  <c r="D23" i="59"/>
  <c r="C22"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O43" i="9"/>
  <c r="C42" i="9"/>
  <c r="O38" i="9"/>
  <c r="C33" i="9"/>
  <c r="C52" i="15"/>
  <c r="C47" i="15" s="1"/>
  <c r="C10" i="15"/>
  <c r="C5" i="15" s="1"/>
  <c r="C38" i="15" s="1"/>
  <c r="C20" i="11"/>
  <c r="C21" i="11" s="1"/>
  <c r="C22" i="11" s="1"/>
  <c r="C23" i="11" s="1"/>
  <c r="B2" i="11" s="1"/>
  <c r="M29" i="44"/>
  <c r="M27" i="15"/>
  <c r="B4" i="73" l="1"/>
  <c r="B5" i="73"/>
  <c r="B3" i="73"/>
  <c r="D41" i="59"/>
  <c r="T41" i="59"/>
  <c r="D33" i="59"/>
  <c r="T33" i="59"/>
  <c r="C21" i="59"/>
  <c r="D22" i="59"/>
  <c r="E16" i="59"/>
  <c r="E15" i="59" s="1"/>
  <c r="E14" i="59" s="1"/>
  <c r="E13" i="59" s="1"/>
  <c r="U17" i="59"/>
  <c r="F16" i="59"/>
  <c r="F15" i="59" s="1"/>
  <c r="F14" i="59" s="1"/>
  <c r="F13" i="59" s="1"/>
  <c r="V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C10" i="72" s="1"/>
  <c r="K26" i="9"/>
  <c r="K25" i="9"/>
  <c r="F22" i="43"/>
  <c r="F7" i="67"/>
  <c r="C17" i="15"/>
  <c r="V13" i="59" l="1"/>
  <c r="F12" i="59"/>
  <c r="F11" i="59" s="1"/>
  <c r="F10" i="59" s="1"/>
  <c r="F9" i="59" s="1"/>
  <c r="V9" i="59" s="1"/>
  <c r="E12" i="59"/>
  <c r="E11" i="59" s="1"/>
  <c r="E10" i="59" s="1"/>
  <c r="U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C13" i="43"/>
  <c r="C19" i="44"/>
  <c r="B7" i="67"/>
  <c r="E7" i="67"/>
  <c r="C19" i="59" l="1"/>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1" i="15"/>
  <c r="C14" i="15"/>
  <c r="F35" i="15"/>
  <c r="C16" i="44"/>
  <c r="M23" i="44"/>
  <c r="F37" i="44"/>
  <c r="C18" i="59" l="1"/>
  <c r="D19" i="59"/>
  <c r="B3" i="46"/>
  <c r="A3" i="72" s="1"/>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D18" i="59" l="1"/>
  <c r="C17"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6" i="59" l="1"/>
  <c r="T17" i="59"/>
  <c r="D17" i="59"/>
  <c r="E5" i="59"/>
  <c r="U5" i="59" s="1"/>
  <c r="B5" i="59"/>
  <c r="C21" i="43"/>
  <c r="R37" i="36"/>
  <c r="E36" i="36"/>
  <c r="I41" i="36" s="1"/>
  <c r="J41" i="36" s="1"/>
  <c r="K66" i="40"/>
  <c r="L64" i="40"/>
  <c r="G41" i="36"/>
  <c r="H41" i="36" s="1"/>
  <c r="G40" i="36"/>
  <c r="H40" i="36" s="1"/>
  <c r="I40" i="36"/>
  <c r="J40" i="36" s="1"/>
  <c r="L69" i="39"/>
  <c r="K71" i="39"/>
  <c r="O80" i="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T13" i="59" l="1"/>
  <c r="C12"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D8" i="59" l="1"/>
  <c r="C7" i="59"/>
  <c r="F20" i="43"/>
  <c r="D20" i="43" s="1"/>
  <c r="F26" i="12"/>
  <c r="F26" i="44"/>
  <c r="F24" i="15"/>
  <c r="C6" i="59" l="1"/>
  <c r="D7" i="59"/>
  <c r="C20" i="43"/>
  <c r="C24" i="15"/>
  <c r="C23" i="15"/>
  <c r="C27" i="12"/>
  <c r="D26" i="12" s="1"/>
  <c r="C32" i="12" s="1"/>
  <c r="D30" i="12" s="1"/>
  <c r="C28" i="12"/>
  <c r="C26" i="12" s="1"/>
  <c r="C31" i="12" s="1"/>
  <c r="C30" i="12" s="1"/>
  <c r="C26" i="44"/>
  <c r="C25" i="44"/>
  <c r="C5" i="59" l="1"/>
  <c r="D6" i="59"/>
  <c r="C23" i="43"/>
  <c r="C31" i="44"/>
  <c r="C38" i="44" s="1"/>
  <c r="C36" i="12"/>
  <c r="B2" i="12" s="1"/>
  <c r="B3" i="12" s="1"/>
  <c r="C29" i="15"/>
  <c r="D5" i="59" l="1"/>
  <c r="T5" i="59"/>
  <c r="M24" i="46"/>
  <c r="Q51" i="44"/>
  <c r="C35" i="44"/>
  <c r="C33" i="44" s="1"/>
  <c r="C36" i="15"/>
  <c r="J19" i="15"/>
  <c r="J17" i="15" s="1"/>
  <c r="C13" i="15"/>
  <c r="C37" i="15" s="1"/>
  <c r="C33" i="15"/>
  <c r="C31" i="15"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43"/>
  <c r="C6" i="43" s="1"/>
  <c r="C25" i="43" l="1"/>
  <c r="C24" i="43"/>
  <c r="C27" i="43" l="1"/>
  <c r="B2" i="43" s="1"/>
  <c r="B5" i="43"/>
  <c r="B3" i="43"/>
  <c r="B4" i="43"/>
  <c r="B3" i="72" l="1"/>
  <c r="A5" i="72" s="1"/>
  <c r="C3" i="72" l="1"/>
  <c r="F4" i="72" s="1"/>
  <c r="F9" i="72"/>
  <c r="G4" i="72" l="1"/>
  <c r="H4" i="72" s="1"/>
  <c r="G9" i="72"/>
  <c r="H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<sst xmlns="http://schemas.openxmlformats.org/spreadsheetml/2006/main" count="7407" uniqueCount="3311">
  <si>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</si>
  <si>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</si>
  <si>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</si>
  <si>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</si>
  <si>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</si>
  <si>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</si>
  <si>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</si>
  <si>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</si>
  <si>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</si>
  <si>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</si>
  <si>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</si>
  <si>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</si>
  <si>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</si>
  <si>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</si>
  <si>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</si>
  <si>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</si>
  <si>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</si>
  <si>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</si>
  <si>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</si>
  <si>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</si>
  <si>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</si>
  <si>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</si>
  <si>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</si>
  <si>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</si>
  <si>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</si>
  <si>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</si>
  <si>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</si>
  <si>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</si>
  <si>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</si>
  <si>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</si>
  <si>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</si>
  <si>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</si>
  <si>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</si>
  <si>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</si>
  <si>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</si>
  <si>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</si>
  <si>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</si>
  <si>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</si>
  <si>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</si>
  <si>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</si>
  <si>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</si>
  <si>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</si>
  <si>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</si>
  <si>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</si>
  <si>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</si>
  <si>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</si>
  <si>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</si>
  <si>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</si>
  <si>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</si>
  <si>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</si>
  <si>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</si>
  <si>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</si>
  <si>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</si>
  <si>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</si>
  <si>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</si>
  <si>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</si>
  <si>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</si>
  <si>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</si>
  <si>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</si>
  <si>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</si>
  <si>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</si>
  <si>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</si>
  <si>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</si>
  <si>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</si>
  <si>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</si>
  <si>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</si>
  <si>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</si>
  <si>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</si>
  <si>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</si>
  <si>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</si>
  <si>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</si>
  <si>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</si>
  <si>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</si>
  <si>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</si>
  <si>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</si>
  <si>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</si>
  <si>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</si>
  <si>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</si>
  <si>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</si>
  <si>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</si>
  <si>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</si>
  <si>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</si>
  <si>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</si>
  <si>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</si>
  <si>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</si>
  <si>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</si>
  <si>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</si>
  <si>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</si>
  <si>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</si>
  <si>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</si>
  <si>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</si>
  <si>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</si>
  <si>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</si>
  <si>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</si>
  <si>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</si>
  <si>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</si>
  <si>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</si>
  <si>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</si>
  <si>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</si>
  <si>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</si>
  <si>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</si>
  <si>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</si>
  <si>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</si>
  <si>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</si>
  <si>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</si>
  <si>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</si>
  <si>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</si>
  <si>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</si>
  <si>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</si>
  <si>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</si>
  <si>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</si>
  <si>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</si>
  <si>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</si>
  <si>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</si>
  <si>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</si>
  <si>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</si>
  <si>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</si>
  <si>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</si>
  <si>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</si>
  <si>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</si>
  <si>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</si>
  <si>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</si>
  <si>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</si>
  <si>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</si>
  <si>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</si>
  <si>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</si>
  <si>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</si>
  <si>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</si>
  <si>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</si>
  <si>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</si>
  <si>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</si>
  <si>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</si>
  <si>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</si>
  <si>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</si>
  <si>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</si>
  <si>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</si>
  <si>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</si>
  <si>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</si>
  <si>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</si>
  <si>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</si>
  <si>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</si>
  <si>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</si>
  <si>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</si>
  <si>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</si>
  <si>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</si>
  <si>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</si>
  <si>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</si>
  <si>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</si>
  <si>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</si>
  <si>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</si>
  <si>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</si>
  <si>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</si>
  <si>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</si>
  <si>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</si>
  <si>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</si>
  <si>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</si>
  <si>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</si>
  <si>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</si>
  <si>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</si>
  <si>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</si>
  <si>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</si>
  <si>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</si>
  <si>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</si>
  <si>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</si>
  <si>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</si>
  <si>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</si>
  <si>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</si>
  <si>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</si>
  <si>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</si>
  <si>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</si>
  <si>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</si>
  <si>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</si>
  <si>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</si>
  <si>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</si>
  <si>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</si>
  <si>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</si>
  <si>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</si>
  <si>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</si>
  <si>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</si>
  <si>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</si>
  <si>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</si>
  <si>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</si>
  <si>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</si>
  <si>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</si>
  <si>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</si>
  <si>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</si>
  <si>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</si>
  <si>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</si>
  <si>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</si>
  <si>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</si>
  <si>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</si>
  <si>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</si>
  <si>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</si>
  <si>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</si>
  <si>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</si>
  <si>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</si>
  <si>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</si>
  <si>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</si>
  <si>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</si>
  <si>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</si>
  <si>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</si>
  <si>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</si>
  <si>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</si>
  <si>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</si>
  <si>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</si>
  <si>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</si>
  <si>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</si>
  <si>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</si>
  <si>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</si>
  <si>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</si>
  <si>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</si>
  <si>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</si>
  <si>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</si>
  <si>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</si>
  <si>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</si>
  <si>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</si>
  <si>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</si>
  <si>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</si>
  <si>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</si>
  <si>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</si>
  <si>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</si>
  <si>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</si>
  <si>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</si>
  <si>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</si>
  <si>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</si>
  <si>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</si>
  <si>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</si>
  <si>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</si>
  <si>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</si>
  <si>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</si>
  <si>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</si>
  <si>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</si>
  <si>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</si>
  <si>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</si>
  <si>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</si>
  <si>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</si>
  <si>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</si>
  <si>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</si>
  <si>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</si>
  <si>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</si>
  <si>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</si>
  <si>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</si>
  <si>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</si>
  <si>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</si>
  <si>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</si>
  <si>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</si>
  <si>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</si>
  <si>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</si>
  <si>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</si>
  <si>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</si>
  <si>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</si>
  <si>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</si>
  <si>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</si>
  <si>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</si>
  <si>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</si>
  <si>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</si>
  <si>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</si>
  <si>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</si>
  <si>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</si>
  <si>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</si>
  <si>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</si>
  <si>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</si>
  <si>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</si>
  <si>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</si>
  <si>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</si>
  <si>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</si>
  <si>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</si>
  <si>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</si>
  <si>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</si>
  <si>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</si>
  <si>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</si>
  <si>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</si>
  <si>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</si>
  <si>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</si>
  <si>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</si>
  <si>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</si>
  <si>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</si>
  <si>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</si>
  <si>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</si>
  <si>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</si>
  <si>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</si>
  <si>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</si>
  <si>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</si>
  <si>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</si>
  <si>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</si>
  <si>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</si>
  <si>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</si>
  <si>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</si>
  <si>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</si>
  <si>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</si>
  <si>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</si>
  <si>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</si>
  <si>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</si>
  <si>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</si>
  <si>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</si>
  <si>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</si>
  <si>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</si>
  <si>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</si>
  <si>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</si>
  <si>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</si>
  <si>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</si>
  <si>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</si>
  <si>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</si>
  <si>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</si>
  <si>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</si>
  <si>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</si>
  <si>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</si>
  <si>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</si>
  <si>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</si>
  <si>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</si>
  <si>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</si>
  <si>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</si>
  <si>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</si>
  <si>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</si>
  <si>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</si>
  <si>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</si>
  <si>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</si>
  <si>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</si>
  <si>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</si>
  <si>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</si>
  <si>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</si>
  <si>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</si>
  <si>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</si>
  <si>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</si>
  <si>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</si>
  <si>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</si>
  <si>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</si>
  <si>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</si>
  <si>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</si>
  <si>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</si>
  <si>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</si>
  <si>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</si>
  <si>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</si>
  <si>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</si>
  <si>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</si>
  <si>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</si>
  <si>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</si>
  <si>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</si>
  <si>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</si>
  <si>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</si>
  <si>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</si>
  <si>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</si>
  <si>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</si>
  <si>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</si>
  <si>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</si>
  <si>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</si>
  <si>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</si>
  <si>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</si>
  <si>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</si>
  <si>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</si>
  <si>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</si>
  <si>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</si>
  <si>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</si>
  <si>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</si>
  <si>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</si>
  <si>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</si>
  <si>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</si>
  <si>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</si>
  <si>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</si>
  <si>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</si>
  <si>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</si>
  <si>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</si>
  <si>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</si>
  <si>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</si>
  <si>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</si>
  <si>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</si>
  <si>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</si>
  <si>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</si>
  <si>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</si>
  <si>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</si>
  <si>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</si>
  <si>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</si>
  <si>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</si>
  <si>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</si>
  <si>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</si>
  <si>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</si>
  <si>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</si>
  <si>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</si>
  <si>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</si>
  <si>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</si>
  <si>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</si>
  <si>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</si>
  <si>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</si>
  <si>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</si>
  <si>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</si>
  <si>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</si>
  <si>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</si>
  <si>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</si>
  <si>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</si>
  <si>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</si>
  <si>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</si>
  <si>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</si>
  <si>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</si>
  <si>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</si>
  <si>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</si>
  <si>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</si>
  <si>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</si>
  <si>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</si>
  <si>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</si>
  <si>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</si>
  <si>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</si>
  <si>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</si>
  <si>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</si>
  <si>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</si>
  <si>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</si>
  <si>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</si>
  <si>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</si>
  <si>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</si>
  <si>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</si>
  <si>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</si>
  <si>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</si>
  <si>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</si>
  <si>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</si>
  <si>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</si>
  <si>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</si>
  <si>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</si>
  <si>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</si>
  <si>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</si>
  <si>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</si>
  <si>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</si>
  <si>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</si>
  <si>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</si>
  <si>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</si>
  <si>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</si>
  <si>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</si>
  <si>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</si>
  <si>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</si>
  <si>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</si>
  <si>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</si>
  <si>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</si>
  <si>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</si>
  <si>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</si>
  <si>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</si>
  <si>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</si>
  <si>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</si>
  <si>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</si>
  <si>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</si>
  <si>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</si>
  <si>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</si>
  <si>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</si>
  <si>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</si>
  <si>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</si>
  <si>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</si>
  <si>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</si>
  <si>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</si>
  <si>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</si>
  <si>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</si>
  <si>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</si>
  <si>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</si>
  <si>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</si>
  <si>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</si>
  <si>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</si>
  <si>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</si>
  <si>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</si>
  <si>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</si>
  <si>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</si>
  <si>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</si>
  <si>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</si>
  <si>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</si>
  <si>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</si>
  <si>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</si>
  <si>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</si>
  <si>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</si>
  <si>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</si>
  <si>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</si>
  <si>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</si>
  <si>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</si>
  <si>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</si>
  <si>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</si>
  <si>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</si>
  <si>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</si>
  <si>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</si>
  <si>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</si>
  <si>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</si>
  <si>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</si>
  <si>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</si>
  <si>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</si>
  <si>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</si>
  <si>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</si>
  <si>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</si>
  <si>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</si>
  <si>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</si>
  <si>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</si>
  <si>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</si>
  <si>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</si>
  <si>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</si>
  <si>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</si>
  <si>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</si>
  <si>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</si>
  <si>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</si>
  <si>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</si>
  <si>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</si>
  <si>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</si>
  <si>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</si>
  <si>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</si>
  <si>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</si>
  <si>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</si>
  <si>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</si>
  <si>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</si>
  <si>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</si>
  <si>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</si>
  <si>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</si>
  <si>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</si>
  <si>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</si>
  <si>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</si>
  <si>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</si>
  <si>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</si>
  <si>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</si>
  <si>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</si>
  <si>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</si>
  <si>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</si>
  <si>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</si>
  <si>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</si>
  <si>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</si>
  <si>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</si>
  <si>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</si>
  <si>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</si>
  <si>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</si>
  <si>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</si>
  <si>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</si>
  <si>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</si>
  <si>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</si>
  <si>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</si>
  <si>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</si>
  <si>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</si>
  <si>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</si>
  <si>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</si>
  <si>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</si>
  <si>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</si>
  <si>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</si>
  <si>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</si>
  <si>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</si>
  <si>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</si>
  <si>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</si>
  <si>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</si>
  <si>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</si>
  <si>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</si>
  <si>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</si>
  <si>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</si>
  <si>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</si>
  <si>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</si>
  <si>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</si>
  <si>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</si>
  <si>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</si>
  <si>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</si>
  <si>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</si>
  <si>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</si>
  <si>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</si>
  <si>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</si>
  <si>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</si>
  <si>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</si>
  <si>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</si>
  <si>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</si>
  <si>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</si>
  <si>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</si>
  <si>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</si>
  <si>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</si>
  <si>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</si>
  <si>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</si>
  <si>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</si>
  <si>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</si>
  <si>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</si>
  <si>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</si>
  <si>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</si>
  <si>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</si>
  <si>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</si>
  <si>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</si>
  <si>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</si>
  <si>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</si>
  <si>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</si>
  <si>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</si>
  <si>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</si>
  <si>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</si>
  <si>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</si>
  <si>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</si>
  <si>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</si>
  <si>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</si>
  <si>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</si>
  <si>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</si>
  <si>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</si>
  <si>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</si>
  <si>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</si>
  <si>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</si>
  <si>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</si>
  <si>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</si>
  <si>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</si>
  <si>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</si>
  <si>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</si>
  <si>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</si>
  <si>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</si>
  <si>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</si>
  <si>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</si>
  <si>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</si>
  <si>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</si>
  <si>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</si>
  <si>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</si>
  <si>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</si>
  <si>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</si>
  <si>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</si>
  <si>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</si>
  <si>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</si>
  <si>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</si>
  <si>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</si>
  <si>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</si>
  <si>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</si>
  <si>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</si>
  <si>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</si>
  <si>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</si>
  <si>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</si>
  <si>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</si>
  <si>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</si>
  <si>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</si>
  <si>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</si>
  <si>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</si>
  <si>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</si>
  <si>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</si>
  <si>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</si>
  <si>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</si>
  <si>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</si>
  <si>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</si>
  <si>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</si>
  <si>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</si>
  <si>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</si>
  <si>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</si>
  <si>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</si>
  <si>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</si>
  <si>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</si>
  <si>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</si>
  <si>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</si>
  <si>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</si>
  <si>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</si>
  <si>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</si>
  <si>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</si>
  <si>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</si>
  <si>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</si>
  <si>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</si>
  <si>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</si>
  <si>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</si>
  <si>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</si>
  <si>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</si>
  <si>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</si>
  <si>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</si>
  <si>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</si>
  <si>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</si>
  <si>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</si>
  <si>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</si>
  <si>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</si>
  <si>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</si>
  <si>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</si>
  <si>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</si>
  <si>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</si>
  <si>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</si>
  <si>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</si>
  <si>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</si>
  <si>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</si>
  <si>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</si>
  <si>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</si>
  <si>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</si>
  <si>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</si>
  <si>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</si>
  <si>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</si>
  <si>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</si>
  <si>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</si>
  <si>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</si>
  <si>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</si>
  <si>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</si>
  <si>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</si>
  <si>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</si>
  <si>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</si>
  <si>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</si>
  <si>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</si>
  <si>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</si>
  <si>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</si>
  <si>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</si>
  <si>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</si>
  <si>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</si>
  <si>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</si>
  <si>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</si>
  <si>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</si>
  <si>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</si>
  <si>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</si>
  <si>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</si>
  <si>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</si>
  <si>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</si>
  <si>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</si>
  <si>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</si>
  <si>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</si>
  <si>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</si>
  <si>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</si>
  <si>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</si>
  <si>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</si>
  <si>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</si>
  <si>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</si>
  <si>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</si>
  <si>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</si>
  <si>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</si>
  <si>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</si>
  <si>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</si>
  <si>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</si>
  <si>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</si>
  <si>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</si>
  <si>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</si>
  <si>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</si>
  <si>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</si>
  <si>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</si>
  <si>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</si>
  <si>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</si>
  <si>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</si>
  <si>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</si>
  <si>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</si>
  <si>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</si>
  <si>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</si>
  <si>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</si>
  <si>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</si>
  <si>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</si>
  <si>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</si>
  <si>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</si>
  <si>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</si>
  <si>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</si>
  <si>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</si>
  <si>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</si>
  <si>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</si>
  <si>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</si>
  <si>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</si>
  <si>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</si>
  <si>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</si>
  <si>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</si>
  <si>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</si>
  <si>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</si>
  <si>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</si>
  <si>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</si>
  <si>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</si>
  <si>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</si>
  <si>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</si>
  <si>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</si>
  <si>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</si>
  <si>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</si>
  <si>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</si>
  <si>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</si>
  <si>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</si>
  <si>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</si>
  <si>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</si>
  <si>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</si>
  <si>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</si>
  <si>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</si>
  <si>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</si>
  <si>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</si>
  <si>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</si>
  <si>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</si>
  <si>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</si>
  <si>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</si>
  <si>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</si>
  <si>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</si>
  <si>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</si>
  <si>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</si>
  <si>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</si>
  <si>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</si>
  <si>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</si>
  <si>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</si>
  <si>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</si>
  <si>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</si>
  <si>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</si>
  <si>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</si>
  <si>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</si>
  <si>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</si>
  <si>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</si>
  <si>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</si>
  <si>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</si>
  <si>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</si>
  <si>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</si>
  <si>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</si>
  <si>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</si>
  <si>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</si>
  <si>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</si>
  <si>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</si>
  <si>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</si>
  <si>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</si>
  <si>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</si>
  <si>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</si>
  <si>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</si>
  <si>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</si>
  <si>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</si>
  <si>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</si>
  <si>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</si>
  <si>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</si>
  <si>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</si>
  <si>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</si>
  <si>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</si>
  <si>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</si>
  <si>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</si>
  <si>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</si>
  <si>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</si>
  <si>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</si>
  <si>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</si>
  <si>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</si>
  <si>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</si>
  <si>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</si>
  <si>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</si>
  <si>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</si>
  <si>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</si>
  <si>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</si>
  <si>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</si>
  <si>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</si>
  <si>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</si>
  <si>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</si>
  <si>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</si>
  <si>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</si>
  <si>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</si>
  <si>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</si>
  <si>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</si>
  <si>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</si>
  <si>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</si>
  <si>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</si>
  <si>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</si>
  <si>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</si>
  <si>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</si>
  <si>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</si>
  <si>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</si>
  <si>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</si>
  <si>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</si>
  <si>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</si>
  <si>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</si>
  <si>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</si>
  <si>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</si>
  <si>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</si>
  <si>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</si>
  <si>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</si>
  <si>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</si>
  <si>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</si>
  <si>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</si>
  <si>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</si>
  <si>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</si>
  <si>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</si>
  <si>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</si>
  <si>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</si>
  <si>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</si>
  <si>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</si>
  <si>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</si>
  <si>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</si>
  <si>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</si>
  <si>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</si>
  <si>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</si>
  <si>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</si>
  <si>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</si>
  <si>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</si>
  <si>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</si>
  <si>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</si>
  <si>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</si>
  <si>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</si>
  <si>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</si>
  <si>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</si>
  <si>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</si>
  <si>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</si>
  <si>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</si>
  <si>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</si>
  <si>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</si>
  <si>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</si>
  <si>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</si>
  <si>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</si>
  <si>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</si>
  <si>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</si>
  <si>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</si>
  <si>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</si>
  <si>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</si>
  <si>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</si>
  <si>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</si>
  <si>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</si>
  <si>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</si>
  <si>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</si>
  <si>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</si>
  <si>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</si>
  <si>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</si>
  <si>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</si>
  <si>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</si>
  <si>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</si>
  <si>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</si>
  <si>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</si>
  <si>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</si>
  <si>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</si>
  <si>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</si>
  <si>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</si>
  <si>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</si>
  <si>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</si>
  <si>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</si>
  <si>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</si>
  <si>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</si>
  <si>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</si>
  <si>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</si>
  <si>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</si>
  <si>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</si>
  <si>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</si>
  <si>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</si>
  <si>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</si>
  <si>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</si>
  <si>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</si>
  <si>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</si>
  <si>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</si>
  <si>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</si>
  <si>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</si>
  <si>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</si>
  <si>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</si>
  <si>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</si>
  <si>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</si>
  <si>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</si>
  <si>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</si>
  <si>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</si>
  <si>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</si>
  <si>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</si>
  <si>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</si>
  <si>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</si>
  <si>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</si>
  <si>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</si>
  <si>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</si>
  <si>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</si>
  <si>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</si>
  <si>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</si>
  <si>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</si>
  <si>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</si>
  <si>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</si>
  <si>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</si>
  <si>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</si>
  <si>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</si>
  <si>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</si>
  <si>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</si>
  <si>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</si>
  <si>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</si>
  <si>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</si>
  <si>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</si>
  <si>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</si>
  <si>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</si>
  <si>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</si>
  <si>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</si>
  <si>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</si>
  <si>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</si>
  <si>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</si>
  <si>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</si>
  <si>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</si>
  <si>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</si>
  <si>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</si>
  <si>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</si>
  <si>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</si>
  <si>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</si>
  <si>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</si>
  <si>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</si>
  <si>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</si>
  <si>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</si>
  <si>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</si>
  <si>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</si>
  <si>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</si>
  <si>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</si>
  <si>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</si>
  <si>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</si>
  <si>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</si>
  <si>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</si>
  <si>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</si>
  <si>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</si>
  <si>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</si>
  <si>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</si>
  <si>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</si>
  <si>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</si>
  <si>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</si>
  <si>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</si>
  <si>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</si>
  <si>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</si>
  <si>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</si>
  <si>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</si>
  <si>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</si>
  <si>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</si>
  <si>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</si>
  <si>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</si>
  <si>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</si>
  <si>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</si>
  <si>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</si>
  <si>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</si>
  <si>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</si>
  <si>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</si>
  <si>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</si>
  <si>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</si>
  <si>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</si>
  <si>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</si>
  <si>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</si>
  <si>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</si>
  <si>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</si>
  <si>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</si>
  <si>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</si>
  <si>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</si>
  <si>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</si>
  <si>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</si>
  <si>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</si>
  <si>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</si>
  <si>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</si>
  <si>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</si>
  <si>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</si>
  <si>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</si>
  <si>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</si>
  <si>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</si>
  <si>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</si>
  <si>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</si>
  <si>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</si>
  <si>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</si>
  <si>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</si>
  <si>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</si>
  <si>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</si>
  <si>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</si>
  <si>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</si>
  <si>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</si>
  <si>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</si>
  <si>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</si>
  <si>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</si>
  <si>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</si>
  <si>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</si>
  <si>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</si>
  <si>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</si>
  <si>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</si>
  <si>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</si>
  <si>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</si>
  <si>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</si>
  <si>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</si>
  <si>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</si>
  <si>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</si>
  <si>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</si>
  <si>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</si>
  <si>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</si>
  <si>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</si>
  <si>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</si>
  <si>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</si>
  <si>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</si>
  <si>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</si>
  <si>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</si>
  <si>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</si>
  <si>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</si>
  <si>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</si>
  <si>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</si>
  <si>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</si>
  <si>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</si>
  <si>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</si>
  <si>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</si>
  <si>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</si>
  <si>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</si>
  <si>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</si>
  <si>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</si>
  <si>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</si>
  <si>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</si>
  <si>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</si>
  <si>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</si>
  <si>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</si>
  <si>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</si>
  <si>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</si>
  <si>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</si>
  <si>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</si>
  <si>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</si>
  <si>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</si>
  <si>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</si>
  <si>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</si>
  <si>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</si>
  <si>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</si>
  <si>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</si>
  <si>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</si>
  <si>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</si>
  <si>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</si>
  <si>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</si>
  <si>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</si>
  <si>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</si>
  <si>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</si>
  <si>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</si>
  <si>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</si>
  <si>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</si>
  <si>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</si>
  <si>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</si>
  <si>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</si>
  <si>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</si>
  <si>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</si>
  <si>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</si>
  <si>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</si>
  <si>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</si>
  <si>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</si>
  <si>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</si>
  <si>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</si>
  <si>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</si>
  <si>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</si>
  <si>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</si>
  <si>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</si>
  <si>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</si>
  <si>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</si>
  <si>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</si>
  <si>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</si>
  <si>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</si>
  <si>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</si>
  <si>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</si>
  <si>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</si>
  <si>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</si>
  <si>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</si>
  <si>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</si>
  <si>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</si>
  <si>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</si>
  <si>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</si>
  <si>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</si>
  <si>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</si>
  <si>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</si>
  <si>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</si>
  <si>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</si>
  <si>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</si>
  <si>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</si>
  <si>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</si>
  <si>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</si>
  <si>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</si>
  <si>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</si>
  <si>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</si>
  <si>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</si>
  <si>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</si>
  <si>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</si>
  <si>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</si>
  <si>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</si>
  <si>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</si>
  <si>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</si>
  <si>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</si>
  <si>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</si>
  <si>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</si>
  <si>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</si>
  <si>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</si>
  <si>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</si>
  <si>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</si>
  <si>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</si>
  <si>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</si>
  <si>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</si>
  <si>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</si>
  <si>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</si>
  <si>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</si>
  <si>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</si>
  <si>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</si>
  <si>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</si>
  <si>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</si>
  <si>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</si>
  <si>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</si>
  <si>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</si>
  <si>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</si>
  <si>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</si>
  <si>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</si>
  <si>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</si>
  <si>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</si>
  <si>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</si>
  <si>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</si>
  <si>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</si>
  <si>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</si>
  <si>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</si>
  <si>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</si>
  <si>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</si>
  <si>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</si>
  <si>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</si>
  <si>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</si>
  <si>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</si>
  <si>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</si>
  <si>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</si>
  <si>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</si>
  <si>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</si>
  <si>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</si>
  <si>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</si>
  <si>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</si>
  <si>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</si>
  <si>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</si>
  <si>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</si>
  <si>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</si>
  <si>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</si>
  <si>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</si>
  <si>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</si>
  <si>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</si>
  <si>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</si>
  <si>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</si>
  <si>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</si>
  <si>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</si>
  <si>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</si>
  <si>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</si>
  <si>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</si>
  <si>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</si>
  <si>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</si>
  <si>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</si>
  <si>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</si>
  <si>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</si>
  <si>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</si>
  <si>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</si>
  <si>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</si>
  <si>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</si>
  <si>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</si>
  <si>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</si>
  <si>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</si>
  <si>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</si>
  <si>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</si>
  <si>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</si>
  <si>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</si>
  <si>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</si>
  <si>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</si>
  <si>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</si>
  <si>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</si>
  <si>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</si>
  <si>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</si>
  <si>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</si>
  <si>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</si>
  <si>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</si>
  <si>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</si>
  <si>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</si>
  <si>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</si>
  <si>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</si>
  <si>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</si>
  <si>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</si>
  <si>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</si>
  <si>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</si>
  <si>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</si>
  <si>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</si>
  <si>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</si>
  <si>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</si>
  <si>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</si>
  <si>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</si>
  <si>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</si>
  <si>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</si>
  <si>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</si>
  <si>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</si>
  <si>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</si>
  <si>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</si>
  <si>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</si>
  <si>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</si>
  <si>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</si>
  <si>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</si>
  <si>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</si>
  <si>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</si>
  <si>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</si>
  <si>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</si>
  <si>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</si>
  <si>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</si>
  <si>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</si>
  <si>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</si>
  <si>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</si>
  <si>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</si>
  <si>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</si>
  <si>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</si>
  <si>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</si>
  <si>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</si>
  <si>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</si>
  <si>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</si>
  <si>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</si>
  <si>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</si>
  <si>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</si>
  <si>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</si>
  <si>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</si>
  <si>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</si>
  <si>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</si>
  <si>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</si>
  <si>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</si>
  <si>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</si>
  <si>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</si>
  <si>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</si>
  <si>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</si>
  <si>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</si>
  <si>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</si>
  <si>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</si>
  <si>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</si>
  <si>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</si>
  <si>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</si>
  <si>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</si>
  <si>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</si>
  <si>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</si>
  <si>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</si>
  <si>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</si>
  <si>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</si>
  <si>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</si>
  <si>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</si>
  <si>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</si>
  <si>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</si>
  <si>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</si>
  <si>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</si>
  <si>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</si>
  <si>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</si>
  <si>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</si>
  <si>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</si>
  <si>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</si>
  <si>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</si>
  <si>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</si>
  <si>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</si>
  <si>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</si>
  <si>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</si>
  <si>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</si>
  <si>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</si>
  <si>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</si>
  <si>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</si>
  <si>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</si>
  <si>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</si>
  <si>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</si>
  <si>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</si>
  <si>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</si>
  <si>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</si>
  <si>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</si>
  <si>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</si>
  <si>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</si>
  <si>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</si>
  <si>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</si>
  <si>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</si>
  <si>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</si>
  <si>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</si>
  <si>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</si>
  <si>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</si>
  <si>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</si>
  <si>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</si>
  <si>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</si>
  <si>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</si>
  <si>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</si>
  <si>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</si>
  <si>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</si>
  <si>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</si>
  <si>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</si>
  <si>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</si>
  <si>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</si>
  <si>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</si>
  <si>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</si>
  <si>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</si>
  <si>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</si>
  <si>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</si>
  <si>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</si>
  <si>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</si>
  <si>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</si>
  <si>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</si>
  <si>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</si>
  <si>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</si>
  <si>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</si>
  <si>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</si>
  <si>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</si>
  <si>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</si>
  <si>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</si>
  <si>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</si>
  <si>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</si>
  <si>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</si>
  <si>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</si>
  <si>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</si>
  <si>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</si>
  <si>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</si>
  <si>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</si>
  <si>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</si>
  <si>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</si>
  <si>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</si>
  <si>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</si>
  <si>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</si>
  <si>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</si>
  <si>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</si>
  <si>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</si>
  <si>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</si>
  <si>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</si>
  <si>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</si>
  <si>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</si>
  <si>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</si>
  <si>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</si>
  <si>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</si>
  <si>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</si>
  <si>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</si>
  <si>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</si>
  <si>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</si>
  <si>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</si>
  <si>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</si>
  <si>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</si>
  <si>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</si>
  <si>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</si>
  <si>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</si>
  <si>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</si>
  <si>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</si>
  <si>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</si>
  <si>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</si>
  <si>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</si>
  <si>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</si>
  <si>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</si>
  <si>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</si>
  <si>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</si>
  <si>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</si>
  <si>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</si>
  <si>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</si>
  <si>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</si>
  <si>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</si>
  <si>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</si>
  <si>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</si>
  <si>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</si>
  <si>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</si>
  <si>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</si>
  <si>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</si>
  <si>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</si>
  <si>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</si>
  <si>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</si>
  <si>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</si>
  <si>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</si>
  <si>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</si>
  <si>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</si>
  <si>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</si>
  <si>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</si>
  <si>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</si>
  <si>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</si>
  <si>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</si>
  <si>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</si>
  <si>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</si>
  <si>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</si>
  <si>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</si>
  <si>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</si>
  <si>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</si>
  <si>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</si>
  <si>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</si>
  <si>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</si>
  <si>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</si>
  <si>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</si>
  <si>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</si>
  <si>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</si>
  <si>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</si>
  <si>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</si>
  <si>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</si>
  <si>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</si>
  <si>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</si>
  <si>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</si>
  <si>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</si>
  <si>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</si>
  <si>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</si>
  <si>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</si>
  <si>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</si>
  <si>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</si>
  <si>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</si>
  <si>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</si>
  <si>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</si>
  <si>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</si>
  <si>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</si>
  <si>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</si>
  <si>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</si>
  <si>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</si>
  <si>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</si>
  <si>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</si>
  <si>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</si>
  <si>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</si>
  <si>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</si>
  <si>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</si>
  <si>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</si>
  <si>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</si>
  <si>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</si>
  <si>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</si>
  <si>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</si>
  <si>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</si>
  <si>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</si>
  <si>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</si>
  <si>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</si>
  <si>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</si>
  <si>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</si>
  <si>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</si>
  <si>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</si>
  <si>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</si>
  <si>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</si>
  <si>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</si>
  <si>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</si>
  <si>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</si>
  <si>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</si>
  <si>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</si>
  <si>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</si>
  <si>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</si>
  <si>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</si>
  <si>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</si>
  <si>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</si>
  <si>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</si>
  <si>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</si>
  <si>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</si>
  <si>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</si>
  <si>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</si>
  <si>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</si>
  <si>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</si>
  <si>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</si>
  <si>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</si>
  <si>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</si>
  <si>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</si>
  <si>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</si>
  <si>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</si>
  <si>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</si>
  <si>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</si>
  <si>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</si>
  <si>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</si>
  <si>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</si>
  <si>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</si>
  <si>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</si>
  <si>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</si>
  <si>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</si>
  <si>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</si>
  <si>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</si>
  <si>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</si>
  <si>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</si>
  <si>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</si>
  <si>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</si>
  <si>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</si>
  <si>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</si>
  <si>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</si>
  <si>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</si>
  <si>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</si>
  <si>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</si>
  <si>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</si>
  <si>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</si>
  <si>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</si>
  <si>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</si>
  <si>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</si>
  <si>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</si>
  <si>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</si>
  <si>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</si>
  <si>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</si>
  <si>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</si>
  <si>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</si>
  <si>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</si>
  <si>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</si>
  <si>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</si>
  <si>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</si>
  <si>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</si>
  <si>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</si>
  <si>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</si>
  <si>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</si>
  <si>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</si>
  <si>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</si>
  <si>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</si>
  <si>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</si>
  <si>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</si>
  <si>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</si>
  <si>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</si>
  <si>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</si>
  <si>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</si>
  <si>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</si>
  <si>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</si>
  <si>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</si>
  <si>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</si>
  <si>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</si>
  <si>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</si>
  <si>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</si>
  <si>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</si>
  <si>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</si>
  <si>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</si>
  <si>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</si>
  <si>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</si>
  <si>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</si>
  <si>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</si>
  <si>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</si>
  <si>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</si>
  <si>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</si>
  <si>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</si>
  <si>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</si>
  <si>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</si>
  <si>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</si>
  <si>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</si>
  <si>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</si>
  <si>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</si>
  <si>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</si>
  <si>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</si>
  <si>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</si>
  <si>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</si>
  <si>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</si>
  <si>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</si>
  <si>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</si>
  <si>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</si>
  <si>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</si>
  <si>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</si>
  <si>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</si>
  <si>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</si>
  <si>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</si>
  <si>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</si>
  <si>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</si>
  <si>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</si>
  <si>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</si>
  <si>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</si>
  <si>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</si>
  <si>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</si>
  <si>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</si>
  <si>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</si>
  <si>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</si>
  <si>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</si>
  <si>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</si>
  <si>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</si>
  <si>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</si>
  <si>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</si>
  <si>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</si>
  <si>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</si>
  <si>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</si>
  <si>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</si>
  <si>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</si>
  <si>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</si>
  <si>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</si>
  <si>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</si>
  <si>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</si>
  <si>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</si>
  <si>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</si>
  <si>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</si>
  <si>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</si>
  <si>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</si>
  <si>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</si>
  <si>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</si>
  <si>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</si>
  <si>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</si>
  <si>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</si>
  <si>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</si>
  <si>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</si>
  <si>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</si>
  <si>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</si>
  <si>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</si>
  <si>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</si>
  <si>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</si>
  <si>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</si>
  <si>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</si>
  <si>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</si>
  <si>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</si>
  <si>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</si>
  <si>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</si>
  <si>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</si>
  <si>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</si>
  <si>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</si>
  <si>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</si>
  <si>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</si>
  <si>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</si>
  <si>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</si>
  <si>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</si>
  <si>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</si>
  <si>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</si>
  <si>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</si>
  <si>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</si>
  <si>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</si>
  <si>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</si>
  <si>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</si>
  <si>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</si>
  <si>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</si>
  <si>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</si>
  <si>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</si>
  <si>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</si>
  <si>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</si>
  <si>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</si>
  <si>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</si>
  <si>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</si>
  <si>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</si>
  <si>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</si>
  <si>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</si>
  <si>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</si>
  <si>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</si>
  <si>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</si>
  <si>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</si>
  <si>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</si>
  <si>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</si>
  <si>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</si>
  <si>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</si>
  <si>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</si>
  <si>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</si>
  <si>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</si>
  <si>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</si>
  <si>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</si>
  <si>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</si>
  <si>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</si>
  <si>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</si>
  <si>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</si>
  <si>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</si>
  <si>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</si>
  <si>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</si>
  <si>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</si>
  <si>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</si>
  <si>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</si>
  <si>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</si>
  <si>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</si>
  <si>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</si>
  <si>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</si>
  <si>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</si>
  <si>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</si>
  <si>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</si>
  <si>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</si>
  <si>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</si>
  <si>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</si>
  <si>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</si>
  <si>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</si>
  <si>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</si>
  <si>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</si>
  <si>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</si>
  <si>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</si>
  <si>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</si>
  <si>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</si>
  <si>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</si>
  <si>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</si>
  <si>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</si>
  <si>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</si>
  <si>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</si>
  <si>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</si>
  <si>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</si>
  <si>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</si>
  <si>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</si>
  <si>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</si>
  <si>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</si>
  <si>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</si>
  <si>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</si>
  <si>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</si>
  <si>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</si>
  <si>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</si>
  <si>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</si>
  <si>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</si>
  <si>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</si>
  <si>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</si>
  <si>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</si>
  <si>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</si>
  <si>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</si>
  <si>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</si>
  <si>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</si>
  <si>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</si>
  <si>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</si>
  <si>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</si>
  <si>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</si>
  <si>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</si>
  <si>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</si>
  <si>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</si>
  <si>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</si>
  <si>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</si>
  <si>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</si>
  <si>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</si>
  <si>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</si>
  <si>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</si>
  <si>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</si>
  <si>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</si>
  <si>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</si>
  <si>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</si>
  <si>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</si>
  <si>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</si>
  <si>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</si>
  <si>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</si>
  <si>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</si>
  <si>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</si>
  <si>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</si>
  <si>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</si>
  <si>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</si>
  <si>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</si>
  <si>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</si>
  <si>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</si>
  <si>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</si>
  <si>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</si>
  <si>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</si>
  <si>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</si>
  <si>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</si>
  <si>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</si>
  <si>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</si>
  <si>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</si>
  <si>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</si>
  <si>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</si>
  <si>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</si>
  <si>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</si>
  <si>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</si>
  <si>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</si>
  <si>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</si>
  <si>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</si>
  <si>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</si>
  <si>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</si>
  <si>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</si>
  <si>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</si>
  <si>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</si>
  <si>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</si>
  <si>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</si>
  <si>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</si>
  <si>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</si>
  <si>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</si>
  <si>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</si>
  <si>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</si>
  <si>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</si>
  <si>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</si>
  <si>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</si>
  <si>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</si>
  <si>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</si>
  <si>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</si>
  <si>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</si>
  <si>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</si>
  <si>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</si>
  <si>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</si>
  <si>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</si>
  <si>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</si>
  <si>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</si>
  <si>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</si>
  <si>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</si>
  <si>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</si>
  <si>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</si>
  <si>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</si>
  <si>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</si>
  <si>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</si>
  <si>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</si>
  <si>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</si>
  <si>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</si>
  <si>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</si>
  <si>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</si>
  <si>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</si>
  <si>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</si>
  <si>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</si>
  <si>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</si>
  <si>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</si>
  <si>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</si>
  <si>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</si>
  <si>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</si>
  <si>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</si>
  <si>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</si>
  <si>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</si>
  <si>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</si>
  <si>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</si>
  <si>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</si>
  <si>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</si>
  <si>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</si>
  <si>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</si>
  <si>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</si>
  <si>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</si>
  <si>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</si>
  <si>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</si>
  <si>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</si>
  <si>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</si>
  <si>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</si>
  <si>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</si>
  <si>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</si>
  <si>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</si>
  <si>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</si>
  <si>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</si>
  <si>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</si>
  <si>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</si>
  <si>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</si>
  <si>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</si>
  <si>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</si>
  <si>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</si>
  <si>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</si>
  <si>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</si>
  <si>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</si>
  <si>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</si>
  <si>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</si>
  <si>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</si>
  <si>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</si>
  <si>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</si>
  <si>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</si>
  <si>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</si>
  <si>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</si>
  <si>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</si>
  <si>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</si>
  <si>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</si>
  <si>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</si>
  <si>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</si>
  <si>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</si>
  <si>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</si>
  <si>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</si>
  <si>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</si>
  <si>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</si>
  <si>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</si>
  <si>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</si>
  <si>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</si>
  <si>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</si>
  <si>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</si>
  <si>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</si>
  <si>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</si>
  <si>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</si>
  <si>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</si>
  <si>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</si>
  <si>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</si>
  <si>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</si>
  <si>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</si>
  <si>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</si>
  <si>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</si>
  <si>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</si>
  <si>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</si>
  <si>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</si>
  <si>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</si>
  <si>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</si>
  <si>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</si>
  <si>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</si>
  <si>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</si>
  <si>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</si>
  <si>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</si>
  <si>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</si>
  <si>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</si>
  <si>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</si>
  <si>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</si>
  <si>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</si>
  <si>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</si>
  <si>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</si>
  <si>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</si>
  <si>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</si>
  <si>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</si>
  <si>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</si>
  <si>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</si>
  <si>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</si>
  <si>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</si>
  <si>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</si>
  <si>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</si>
  <si>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</si>
  <si>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</si>
  <si>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</si>
  <si>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</si>
  <si>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</si>
  <si>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</si>
  <si>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</si>
  <si>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</si>
  <si>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</si>
  <si>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</si>
  <si>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</si>
  <si>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</si>
  <si>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</si>
  <si>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</si>
  <si>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</si>
  <si>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</si>
  <si>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</si>
  <si>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</si>
  <si>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</si>
  <si>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</si>
  <si>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</si>
  <si>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</si>
  <si>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</si>
  <si>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</si>
  <si>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</si>
  <si>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</si>
  <si>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</si>
  <si>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</si>
  <si>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</si>
  <si>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</si>
  <si>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</si>
  <si>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</si>
  <si>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</si>
  <si>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</si>
  <si>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</si>
  <si>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</si>
  <si>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</si>
  <si>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</si>
  <si>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</si>
  <si>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</si>
  <si>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</si>
  <si>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</si>
  <si>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</si>
  <si>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</si>
  <si>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</si>
  <si>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</si>
  <si>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</si>
  <si>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</si>
  <si>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</si>
  <si>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</si>
  <si>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</si>
  <si>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</si>
  <si>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</si>
  <si>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</si>
  <si>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</si>
  <si>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</si>
  <si>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</si>
  <si>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</si>
  <si>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</si>
  <si>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</si>
  <si>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</si>
  <si>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</si>
  <si>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</si>
  <si>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</si>
  <si>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</si>
  <si>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</si>
  <si>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</si>
  <si>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</si>
  <si>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</si>
  <si>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</si>
  <si>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</si>
  <si>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</si>
  <si>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</si>
  <si>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</si>
  <si>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</si>
  <si>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</si>
  <si>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</si>
  <si>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</si>
  <si>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</si>
  <si>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</si>
  <si>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</si>
  <si>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</si>
  <si>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</si>
  <si>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</si>
  <si>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</si>
  <si>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</si>
  <si>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</si>
  <si>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</si>
  <si>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</si>
  <si>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</si>
  <si>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</si>
  <si>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</si>
  <si>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</si>
  <si>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</si>
  <si>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</si>
  <si>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</si>
  <si>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</si>
  <si>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</si>
  <si>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</si>
  <si>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</si>
  <si>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</si>
  <si>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</si>
  <si>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</si>
  <si>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</si>
  <si>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</si>
  <si>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</si>
  <si>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</si>
  <si>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</si>
  <si>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</si>
  <si>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</si>
  <si>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</si>
  <si>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</si>
  <si>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</si>
  <si>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</si>
  <si>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</si>
  <si>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</si>
  <si>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</si>
  <si>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</si>
  <si>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</si>
  <si>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</si>
  <si>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</si>
  <si>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</si>
  <si>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</si>
  <si>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</si>
  <si>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</si>
  <si>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</si>
  <si>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</si>
  <si>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</si>
  <si>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</si>
  <si>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</si>
  <si>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</si>
  <si>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</si>
  <si>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</si>
  <si>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</si>
  <si>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</si>
  <si>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</si>
  <si>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</si>
  <si>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</si>
  <si>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</si>
  <si>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</si>
  <si>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</si>
  <si>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</si>
  <si>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</si>
  <si>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</si>
  <si>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</si>
  <si>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</si>
  <si>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</si>
  <si>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</si>
  <si>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</si>
  <si>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</si>
  <si>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</si>
  <si>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</si>
  <si>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</si>
  <si>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</si>
  <si>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</si>
  <si>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</si>
  <si>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</si>
  <si>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</si>
  <si>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</si>
  <si>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</si>
  <si>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</si>
  <si>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</si>
  <si>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</si>
  <si>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</si>
  <si>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</si>
  <si>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</si>
  <si>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</si>
  <si>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</si>
  <si>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</si>
  <si>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</si>
  <si>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</si>
  <si>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</si>
  <si>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</si>
  <si>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</si>
  <si>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</si>
  <si>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</si>
  <si>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</si>
  <si>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</si>
  <si>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</si>
  <si>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</si>
  <si>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</si>
  <si>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</si>
  <si>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</si>
  <si>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</si>
  <si>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</si>
  <si>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</si>
  <si>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</si>
  <si>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</si>
  <si>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</si>
  <si>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</si>
  <si>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</si>
  <si>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</si>
  <si>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</si>
  <si>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</si>
  <si>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</si>
  <si>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</si>
  <si>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</si>
  <si>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</si>
  <si>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</si>
  <si>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</si>
  <si>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</si>
  <si>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</si>
  <si>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</si>
  <si>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</si>
  <si>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</si>
  <si>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</si>
  <si>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</si>
  <si>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</si>
  <si>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</si>
  <si>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</si>
  <si>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</si>
  <si>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</si>
  <si>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</si>
  <si>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</si>
  <si>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</si>
  <si>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</si>
  <si>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</si>
  <si>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</si>
  <si>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</si>
  <si>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</si>
  <si>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</si>
  <si>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</si>
  <si>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</si>
  <si>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</si>
  <si>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</si>
  <si>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</si>
  <si>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</si>
  <si>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</si>
  <si>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</si>
  <si>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</si>
  <si>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</si>
  <si>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</si>
  <si>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</si>
  <si>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</si>
  <si>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</si>
  <si>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</si>
  <si>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</si>
  <si>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</si>
  <si>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</si>
  <si>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</si>
  <si>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</si>
  <si>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</si>
  <si>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</si>
  <si>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</si>
  <si>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</si>
  <si>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</si>
  <si>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</si>
  <si>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</si>
  <si>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</si>
  <si>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</si>
  <si>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</si>
  <si>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</si>
  <si>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</si>
  <si>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</si>
  <si>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</si>
  <si>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</si>
  <si>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</si>
  <si>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</si>
  <si>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</si>
  <si>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</si>
  <si>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</si>
  <si>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</si>
  <si>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</si>
  <si>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</si>
  <si>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</si>
  <si>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</si>
  <si>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</si>
  <si>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</si>
  <si>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</si>
  <si>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</si>
  <si>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</si>
  <si>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</si>
  <si>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</si>
  <si>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</si>
  <si>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</si>
  <si>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</si>
  <si>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</si>
  <si>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</si>
  <si>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</si>
  <si>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</si>
  <si>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</si>
  <si>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</si>
  <si>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</si>
  <si>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</si>
  <si>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</si>
  <si>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</si>
  <si>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</si>
  <si>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</si>
  <si>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</si>
  <si>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</si>
  <si>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</si>
  <si>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</si>
  <si>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</si>
  <si>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</si>
  <si>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</si>
  <si>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</si>
  <si>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</si>
  <si>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</si>
  <si>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</si>
  <si>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</si>
  <si>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</si>
  <si>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</si>
  <si>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</si>
  <si>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</si>
  <si>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</si>
  <si>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</si>
  <si>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</si>
  <si>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</si>
  <si>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</si>
  <si>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</si>
  <si>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</si>
  <si>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</si>
  <si>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</si>
  <si>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</si>
  <si>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</si>
  <si>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</si>
  <si>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</si>
  <si>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</si>
  <si>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</si>
  <si>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</si>
  <si>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</si>
  <si>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</si>
  <si>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</si>
  <si>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</si>
  <si>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</si>
  <si>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</si>
  <si>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</si>
  <si>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</si>
  <si>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</si>
  <si>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</si>
  <si>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</si>
  <si>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</si>
  <si>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</si>
  <si>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</si>
  <si>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</si>
  <si>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</si>
  <si>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</si>
  <si>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</si>
  <si>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</si>
  <si>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</si>
  <si>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</si>
  <si>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</si>
  <si>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</si>
  <si>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</si>
  <si>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</si>
  <si>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</si>
  <si>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</si>
  <si>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</si>
  <si>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</si>
  <si>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</si>
  <si>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</si>
  <si>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</si>
  <si>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</si>
  <si>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</si>
  <si>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</si>
  <si>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</si>
  <si>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</si>
  <si>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</si>
  <si>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</si>
  <si>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</si>
  <si>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</si>
  <si>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</si>
  <si>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</si>
  <si>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</si>
  <si>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</si>
  <si>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</si>
  <si>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</si>
  <si>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</si>
  <si>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</si>
  <si>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</si>
  <si>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</si>
  <si>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</si>
  <si>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</si>
  <si>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</si>
  <si>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</si>
  <si>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</si>
  <si>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</si>
  <si>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</si>
  <si>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</si>
  <si>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</si>
  <si>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</si>
  <si>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</si>
  <si>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</si>
  <si>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</si>
  <si>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</si>
  <si>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</si>
  <si>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</si>
  <si>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</si>
  <si>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</si>
  <si>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</si>
  <si>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</si>
  <si>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</si>
  <si>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</si>
  <si>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</si>
  <si>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</si>
  <si>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</si>
  <si>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</si>
  <si>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</si>
  <si>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</si>
  <si>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</si>
  <si>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</si>
  <si>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</si>
  <si>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</si>
  <si>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</si>
  <si>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</si>
  <si>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</si>
  <si>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</si>
  <si>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</si>
  <si>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</si>
  <si>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</si>
  <si>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</si>
  <si>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</si>
  <si>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</si>
  <si>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</si>
  <si>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</si>
  <si>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</si>
  <si>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</si>
  <si>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</si>
  <si>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</si>
  <si>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</si>
  <si>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</si>
  <si>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</si>
  <si>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</si>
  <si>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</si>
  <si>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</si>
  <si>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</si>
  <si>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</si>
  <si>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</si>
  <si>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</si>
  <si>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</si>
  <si>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</si>
  <si>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</si>
  <si>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</si>
  <si>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</si>
  <si>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</si>
  <si>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</si>
  <si>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</si>
  <si>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</si>
  <si>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</si>
  <si>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</si>
  <si>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</si>
  <si>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</si>
  <si>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</si>
  <si>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</si>
  <si>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</si>
  <si>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</si>
  <si>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</si>
  <si>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</si>
  <si>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</si>
  <si>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</si>
  <si>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</si>
  <si>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</si>
  <si>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</si>
  <si>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</si>
  <si>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</si>
  <si>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</si>
  <si>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</si>
  <si>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</si>
  <si>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</si>
  <si>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</si>
  <si>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</si>
  <si>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</si>
  <si>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</si>
  <si>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</si>
  <si>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</si>
  <si>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</si>
  <si>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</si>
  <si>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</si>
  <si>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</si>
  <si>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</si>
  <si>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</si>
  <si>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</si>
  <si>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</si>
  <si>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</si>
  <si>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</si>
  <si>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</si>
  <si>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</si>
  <si>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</si>
  <si>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</si>
  <si>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</si>
  <si>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</si>
  <si>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</si>
  <si>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</si>
  <si>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</si>
  <si>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</si>
  <si>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</si>
  <si>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</si>
  <si>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</si>
  <si>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</si>
  <si>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</si>
  <si>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</si>
  <si>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</si>
  <si>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</si>
  <si>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</si>
  <si>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</si>
  <si>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</si>
  <si>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</si>
  <si>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</si>
  <si>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</si>
  <si>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</si>
  <si>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</si>
  <si>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</si>
  <si>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</si>
  <si>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</si>
  <si>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</si>
  <si>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</si>
  <si>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</si>
  <si>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</si>
  <si>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</si>
  <si>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</si>
  <si>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</si>
  <si>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</si>
  <si>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</si>
  <si>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</si>
  <si>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</si>
  <si>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</si>
  <si>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</si>
  <si>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</si>
  <si>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</si>
  <si>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</si>
  <si>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</si>
  <si>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</si>
  <si>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</si>
  <si>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</si>
  <si>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</si>
  <si>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</si>
  <si>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</si>
  <si>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</si>
  <si>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</si>
  <si>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</si>
  <si>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</si>
  <si>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</si>
  <si>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</si>
  <si>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</si>
  <si>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</si>
  <si>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</si>
  <si>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</si>
  <si>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</si>
  <si>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</si>
  <si>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</si>
  <si>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</si>
  <si>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</si>
  <si>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</si>
  <si>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</si>
  <si>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</si>
  <si>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</si>
  <si>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</si>
  <si>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</si>
  <si>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</si>
  <si>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</si>
  <si>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</si>
  <si>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</si>
  <si>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</si>
  <si>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</si>
  <si>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</si>
  <si>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</si>
  <si>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</si>
  <si>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</si>
  <si>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</si>
  <si>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</si>
  <si>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</si>
  <si>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</si>
  <si>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</si>
  <si>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</si>
  <si>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</si>
  <si>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</si>
  <si>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</si>
  <si>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</si>
  <si>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</si>
  <si>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</si>
  <si>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</si>
  <si>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</si>
  <si>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</si>
  <si>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</si>
  <si>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</si>
  <si>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</si>
  <si>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</si>
  <si>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</si>
  <si>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</si>
  <si>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</si>
  <si>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</si>
  <si>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</si>
  <si>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</si>
  <si>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</si>
  <si>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</si>
  <si>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</si>
  <si>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</si>
  <si>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</si>
  <si>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</si>
  <si>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</si>
  <si>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</si>
  <si>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</si>
  <si>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</si>
  <si>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</si>
  <si>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</si>
  <si>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</si>
  <si>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</si>
  <si>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</si>
  <si>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</si>
  <si>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</si>
  <si>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</si>
  <si>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</si>
  <si>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</si>
  <si>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</si>
  <si>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</si>
  <si>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</si>
  <si>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</si>
  <si>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</si>
  <si>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</si>
  <si>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</si>
  <si>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</si>
  <si>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</si>
  <si>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</si>
  <si>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</si>
  <si>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</si>
  <si>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</si>
  <si>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</si>
  <si>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</si>
  <si>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</si>
  <si>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</si>
  <si>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</si>
  <si>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</si>
  <si>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</si>
  <si>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</si>
  <si>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</si>
  <si>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</si>
  <si>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</si>
  <si>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</si>
  <si>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</si>
  <si>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</si>
  <si>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</si>
  <si>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</si>
  <si>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</si>
  <si>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</si>
  <si>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</si>
  <si>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</si>
  <si>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</si>
  <si>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</si>
  <si>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</si>
  <si>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</si>
  <si>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</si>
  <si>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</si>
  <si>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</si>
  <si>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</si>
  <si>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</si>
  <si>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</si>
  <si>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</si>
  <si>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</si>
  <si>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</si>
  <si>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</si>
  <si>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</si>
  <si>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</si>
  <si>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</si>
  <si>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</si>
  <si>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</si>
  <si>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</si>
  <si>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</si>
  <si>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</si>
  <si>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</si>
  <si>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</si>
  <si>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</si>
  <si>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</si>
  <si>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</si>
  <si>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</si>
  <si>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</si>
  <si>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</si>
  <si>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</si>
  <si>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</si>
  <si>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</si>
  <si>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</si>
  <si>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</si>
  <si>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</si>
  <si>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</si>
  <si>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</si>
  <si>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</si>
  <si>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</si>
  <si>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</si>
  <si>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</si>
  <si>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</si>
  <si>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</si>
  <si>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</si>
  <si>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</si>
  <si>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</si>
  <si>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</si>
  <si>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</si>
  <si>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</si>
  <si>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</si>
  <si>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</si>
  <si>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</si>
  <si>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</si>
  <si>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</si>
  <si>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</si>
  <si>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</si>
  <si>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</si>
  <si>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</si>
  <si>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</si>
  <si>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</si>
  <si>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</si>
  <si>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</si>
  <si>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</si>
  <si>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</si>
  <si>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</si>
  <si>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</si>
  <si>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</si>
  <si>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</si>
  <si>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</si>
  <si>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</si>
  <si>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</si>
  <si>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</si>
  <si>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</si>
  <si>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</si>
  <si>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</si>
  <si>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</si>
  <si>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</si>
  <si>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</si>
  <si>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</si>
  <si>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</si>
  <si>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</si>
  <si>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</si>
  <si>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</si>
  <si>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</si>
  <si>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</si>
  <si>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</si>
  <si>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</si>
  <si>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</si>
  <si>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</si>
  <si>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</si>
  <si>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</si>
  <si>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</si>
  <si>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</si>
  <si>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</si>
  <si>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</si>
  <si>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</si>
  <si>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</si>
  <si>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</si>
  <si>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</si>
  <si>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</si>
  <si>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</si>
  <si>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</si>
  <si>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</si>
  <si>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</si>
  <si>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</si>
  <si>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</si>
  <si>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</si>
  <si>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</si>
  <si>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</si>
  <si>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</si>
  <si>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</si>
  <si>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</si>
  <si>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</si>
  <si>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</si>
  <si>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</si>
  <si>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</si>
  <si>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</si>
  <si>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</si>
  <si>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</si>
  <si>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</si>
  <si>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</si>
  <si>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</si>
  <si>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</si>
  <si>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</si>
  <si>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</si>
  <si>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</si>
  <si>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</si>
  <si>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</si>
  <si>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</si>
  <si>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</si>
  <si>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</si>
  <si>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</si>
  <si>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</si>
  <si>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</si>
  <si>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</si>
  <si>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</si>
  <si>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</si>
  <si>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</si>
  <si>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</si>
  <si>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</si>
  <si>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</si>
  <si>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</si>
  <si>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</si>
  <si>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</si>
  <si>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</si>
  <si>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</si>
  <si>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</si>
  <si>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</si>
  <si>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</si>
  <si>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</si>
  <si>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</si>
  <si>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</si>
  <si>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</si>
  <si>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</si>
  <si>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</si>
  <si>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</si>
  <si>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</si>
  <si>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</si>
  <si>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</si>
  <si>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</si>
  <si>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</si>
  <si>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</si>
  <si>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</si>
  <si>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</si>
  <si>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</si>
  <si>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</si>
  <si>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</si>
  <si>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</si>
  <si>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</si>
  <si>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</si>
  <si>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</si>
  <si>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</si>
  <si>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</si>
  <si>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</si>
  <si>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</si>
  <si>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</si>
  <si>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</si>
  <si>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</si>
  <si>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</si>
  <si>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</si>
  <si>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</si>
  <si>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</si>
  <si>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</si>
  <si>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</si>
  <si>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</si>
  <si>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</si>
  <si>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</si>
  <si>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</si>
  <si>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</si>
  <si>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</si>
  <si>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</si>
  <si>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</si>
  <si>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</si>
  <si>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</si>
  <si>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</si>
  <si>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</si>
  <si>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</si>
  <si>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</si>
  <si>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</si>
  <si>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</si>
  <si>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</si>
  <si>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</si>
  <si>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</si>
  <si>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</si>
  <si>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</si>
  <si>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</si>
  <si>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</si>
  <si>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</si>
  <si>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</si>
  <si>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</si>
  <si>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</si>
  <si>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</si>
  <si>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</si>
  <si>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</si>
  <si>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</si>
  <si>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</si>
  <si>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</si>
  <si>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</si>
  <si>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</si>
  <si>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</si>
  <si>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</si>
  <si>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</si>
  <si>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</si>
  <si>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</si>
  <si>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</si>
  <si>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</si>
  <si>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</si>
  <si>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</si>
  <si>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</si>
  <si>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</si>
  <si>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</si>
  <si>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</si>
  <si>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</si>
  <si>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</si>
  <si>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</si>
  <si>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</si>
  <si>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</si>
  <si>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</si>
  <si>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</si>
  <si>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</si>
  <si>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</si>
  <si>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</si>
  <si>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</si>
  <si>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</si>
  <si>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</si>
  <si>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</si>
  <si>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</si>
  <si>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</si>
  <si>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</si>
  <si>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</si>
  <si>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</si>
  <si>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</si>
  <si>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</si>
  <si>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</si>
  <si>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</si>
  <si>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</si>
  <si>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</si>
  <si>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</si>
  <si>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</si>
  <si>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</si>
  <si>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</si>
  <si>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</si>
  <si>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</si>
  <si>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</si>
  <si>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</si>
  <si>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</si>
  <si>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</si>
  <si>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</si>
  <si>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</si>
  <si>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</si>
  <si>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</si>
  <si>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</si>
  <si>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</si>
  <si>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</si>
  <si>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</si>
  <si>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</si>
  <si>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</si>
  <si>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</si>
  <si>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</si>
  <si>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</si>
  <si>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</si>
  <si>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</si>
  <si>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</si>
  <si>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</si>
  <si>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</si>
  <si>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</si>
  <si>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</si>
  <si>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</si>
  <si>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</si>
  <si>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</si>
  <si>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</si>
  <si>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</si>
  <si>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</si>
  <si>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</si>
  <si>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</si>
  <si>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</si>
  <si>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</si>
  <si>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</si>
  <si>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</si>
  <si>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</si>
  <si>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</si>
  <si>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</si>
  <si>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</si>
  <si>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</si>
  <si>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</si>
  <si>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</si>
  <si>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</si>
  <si>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</si>
  <si>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</si>
  <si>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</si>
  <si>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</si>
  <si>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</si>
  <si>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</si>
  <si>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</si>
  <si>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</si>
  <si>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</si>
  <si>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</si>
  <si>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</si>
  <si>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</si>
  <si>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</si>
  <si>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</si>
  <si>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</si>
  <si>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</si>
  <si>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</si>
  <si>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</si>
  <si>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</si>
  <si>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</si>
  <si>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</si>
  <si>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</si>
  <si>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</si>
  <si>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</si>
  <si>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</si>
  <si>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</si>
  <si>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</si>
  <si>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</si>
  <si>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</si>
  <si>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</si>
  <si>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</si>
  <si>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</si>
  <si>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</si>
  <si>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</si>
  <si>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</si>
  <si>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</si>
  <si>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</si>
  <si>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</si>
  <si>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</si>
  <si>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</si>
  <si>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</si>
  <si>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</si>
  <si>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</si>
  <si>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</si>
  <si>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</si>
  <si>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</si>
  <si>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</si>
  <si>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</si>
  <si>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</si>
  <si>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</si>
  <si>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</si>
  <si>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</si>
  <si>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</si>
  <si>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</si>
  <si>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</si>
  <si>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</si>
  <si>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</si>
  <si>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</si>
  <si>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</si>
  <si>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</si>
  <si>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</si>
  <si>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</si>
  <si>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</si>
  <si>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</si>
  <si>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</si>
  <si>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</si>
  <si>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</si>
  <si>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</si>
  <si>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</si>
  <si>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</si>
  <si>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</si>
  <si>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</si>
  <si>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</si>
  <si>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</si>
  <si>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</si>
  <si>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</si>
  <si>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</si>
  <si>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</si>
  <si>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</si>
  <si>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</si>
  <si>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</si>
  <si>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</si>
  <si>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</si>
  <si>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</si>
  <si>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</si>
  <si>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</si>
  <si>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</si>
  <si>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</si>
  <si>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</si>
  <si>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</si>
  <si>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</si>
  <si>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</si>
  <si>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</si>
  <si>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</si>
  <si>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</si>
  <si>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</si>
  <si>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</si>
  <si>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</si>
  <si>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</si>
  <si>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</si>
  <si>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</si>
  <si>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</si>
  <si>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</si>
  <si>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</si>
  <si>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</si>
  <si>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</si>
  <si>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</si>
  <si>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</si>
  <si>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</si>
  <si>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</si>
  <si>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</si>
  <si>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</si>
  <si>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</si>
  <si>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</si>
  <si>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</si>
  <si>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</si>
  <si>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</si>
  <si>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</si>
  <si>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</si>
  <si>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</si>
  <si>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</si>
  <si>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</si>
  <si>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</si>
  <si>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</si>
  <si>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</si>
  <si>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</si>
  <si>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</si>
  <si>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</si>
  <si>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</si>
  <si>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</si>
  <si>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</si>
  <si>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</si>
  <si>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</si>
  <si>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</si>
  <si>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</si>
  <si>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</si>
  <si>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</si>
  <si>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</si>
  <si>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</si>
  <si>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</si>
  <si>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</si>
  <si>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</si>
  <si>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</si>
  <si>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</si>
  <si>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</si>
  <si>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</si>
  <si>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</si>
  <si>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</si>
  <si>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</si>
  <si>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</si>
  <si>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</si>
  <si>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</si>
  <si>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</si>
  <si>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</si>
  <si>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</si>
  <si>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</si>
  <si>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</si>
  <si>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</si>
  <si>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</si>
  <si>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</si>
  <si>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</si>
  <si>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</si>
  <si>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</si>
  <si>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</si>
  <si>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</si>
  <si>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</si>
  <si>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</si>
  <si>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</si>
  <si>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</si>
  <si>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</si>
  <si>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</si>
  <si>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</si>
  <si>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</si>
  <si>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</si>
  <si>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</si>
  <si>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</si>
  <si>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</si>
  <si>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</si>
  <si>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</si>
  <si>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</si>
  <si>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</si>
  <si>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</si>
  <si>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</si>
  <si>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</si>
  <si>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</si>
  <si>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</si>
  <si>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</si>
  <si>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</si>
  <si>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</si>
  <si>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</si>
  <si>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</si>
  <si>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</si>
  <si>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</si>
  <si>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</si>
  <si>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</si>
  <si>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</si>
  <si>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</si>
  <si>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</si>
  <si>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</si>
  <si>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</si>
  <si>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</si>
  <si>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</si>
  <si>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</si>
  <si>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</si>
  <si>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</si>
  <si>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</si>
  <si>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</si>
  <si>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</si>
  <si>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</si>
  <si>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</si>
  <si>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</si>
  <si>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</si>
  <si>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</si>
  <si>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</si>
  <si>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</si>
  <si>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</si>
  <si>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</si>
  <si>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</si>
  <si>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</si>
  <si>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</si>
  <si>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</si>
  <si>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</si>
  <si>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</si>
  <si>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</si>
  <si>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</si>
  <si>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</si>
  <si>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</si>
  <si>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</si>
  <si>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</si>
  <si>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</si>
  <si>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</si>
  <si>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</si>
  <si>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</si>
  <si>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</si>
  <si>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</si>
  <si>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</si>
  <si>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</si>
  <si>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</si>
  <si>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</si>
  <si>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</si>
  <si>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</si>
  <si>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</si>
  <si>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</si>
  <si>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</si>
  <si>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</si>
  <si>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</si>
  <si>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</si>
  <si>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</si>
  <si>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</si>
  <si>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</si>
  <si>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</si>
  <si>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</si>
  <si>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</si>
  <si>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</si>
  <si>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</si>
  <si>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</si>
  <si>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</si>
  <si>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</si>
  <si>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</si>
  <si>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</si>
  <si>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</si>
  <si>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</si>
  <si>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</si>
  <si>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</si>
  <si>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</si>
  <si>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</si>
  <si>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</si>
  <si>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</si>
  <si>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</si>
  <si>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</si>
  <si>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</si>
  <si>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</si>
  <si>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</si>
  <si>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</si>
  <si>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</si>
  <si>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</si>
  <si>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</si>
  <si>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</si>
  <si>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</si>
  <si>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</si>
  <si>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</si>
  <si>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</si>
  <si>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</si>
  <si>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</si>
  <si>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</si>
  <si>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</si>
  <si>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</si>
  <si>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</si>
  <si>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</si>
  <si>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</si>
  <si>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</si>
  <si>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</si>
  <si>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</si>
  <si>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</si>
  <si>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</si>
  <si>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</si>
  <si>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</si>
  <si>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</si>
  <si>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</si>
  <si>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</si>
  <si>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</si>
  <si>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</si>
  <si>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</si>
  <si>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</si>
  <si>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</si>
  <si>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</si>
  <si>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</si>
  <si>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</si>
  <si>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</si>
  <si>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</si>
  <si>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</si>
  <si>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</si>
  <si>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</si>
  <si>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</si>
  <si>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</si>
  <si>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</si>
  <si>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</si>
  <si>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</si>
  <si>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</si>
  <si>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</si>
  <si>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</si>
  <si>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</si>
  <si>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</si>
  <si>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</si>
  <si>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</si>
  <si>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</si>
  <si>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</si>
  <si>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</si>
  <si>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</si>
  <si>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</si>
  <si>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</si>
  <si>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</si>
  <si>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</si>
  <si>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</si>
  <si>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</si>
  <si>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</si>
  <si>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</si>
  <si>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</si>
  <si>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</si>
  <si>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</si>
  <si>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</si>
  <si>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</si>
  <si>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</si>
  <si>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</si>
  <si>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</si>
  <si>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</si>
  <si>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</si>
  <si>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</si>
  <si>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</si>
  <si>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</si>
  <si>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</si>
  <si>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</si>
  <si>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</si>
  <si>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</si>
  <si>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</si>
  <si>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</si>
  <si>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</si>
  <si>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</si>
  <si>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</si>
  <si>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</si>
  <si>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</si>
  <si>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</si>
  <si>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</si>
  <si>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</si>
  <si>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</si>
  <si>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</si>
  <si>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</si>
  <si>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</si>
  <si>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</si>
  <si>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</si>
  <si>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</si>
  <si>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</si>
  <si>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</si>
  <si>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</si>
  <si>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</si>
  <si>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</si>
  <si>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</si>
  <si>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</si>
  <si>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</si>
  <si>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</si>
  <si>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</si>
  <si>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</si>
  <si>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</si>
  <si>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</si>
  <si>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</si>
  <si>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</si>
  <si>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</si>
  <si>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</si>
  <si>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</si>
  <si>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</si>
  <si>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</si>
  <si>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</si>
  <si>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</si>
  <si>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</si>
  <si>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</si>
  <si>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</si>
  <si>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</si>
  <si>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</si>
  <si>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</si>
  <si>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</si>
  <si>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</si>
  <si>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</si>
  <si>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</si>
  <si>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</si>
  <si>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</si>
  <si>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</si>
  <si>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</si>
  <si>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</si>
  <si>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</si>
  <si>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</si>
  <si>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</si>
  <si>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</si>
  <si>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</si>
  <si>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</si>
  <si>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</si>
  <si>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</si>
  <si>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</si>
  <si>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</si>
  <si>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</si>
  <si>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</si>
  <si>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</si>
  <si>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</si>
  <si>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</si>
  <si>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</si>
  <si>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</si>
  <si>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</si>
  <si>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</si>
  <si>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</si>
  <si>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</si>
  <si>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</si>
  <si>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</si>
  <si>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</si>
  <si>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</si>
  <si>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</si>
  <si>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</si>
  <si>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</si>
  <si>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</si>
  <si>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</si>
  <si>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</si>
  <si>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</si>
  <si>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</si>
  <si>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</si>
  <si>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自然人</t>
  </si>
  <si>
    <t>是</t>
  </si>
  <si>
    <t>地上</t>
  </si>
  <si>
    <t>办公楼</t>
  </si>
  <si>
    <t>办公</t>
    <phoneticPr fontId="7" type="noConversion"/>
  </si>
  <si>
    <t>成新度</t>
  </si>
  <si>
    <t>不动产收益法</t>
  </si>
  <si>
    <t>商务金融用地</t>
  </si>
  <si>
    <t>自定义容积率</t>
  </si>
  <si>
    <t>与级别开发程度一致</t>
  </si>
  <si>
    <t>中心城区以外</t>
  </si>
  <si>
    <t>押三</t>
  </si>
  <si>
    <t>利息：取LPR加浮动点数</t>
  </si>
  <si>
    <t>钢混</t>
  </si>
  <si>
    <t>征收补偿安置费</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</si>
  <si>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</si>
  <si>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</si>
  <si>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</si>
  <si>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</si>
  <si>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</si>
  <si>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</si>
  <si>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</si>
  <si>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区域名称</t>
  </si>
  <si>
    <t>商业类</t>
  </si>
  <si>
    <t>办公类</t>
  </si>
  <si>
    <t>住宅类</t>
  </si>
  <si>
    <t>工业类</t>
  </si>
  <si>
    <r>
      <t>工业研发用地</t>
    </r>
    <r>
      <rPr>
        <sz val="10.5"/>
        <color theme="1"/>
        <rFont val="Times New Roman"/>
        <family val="1"/>
      </rPr>
      <t>M4</t>
    </r>
  </si>
  <si>
    <t>公共服务类</t>
  </si>
  <si>
    <t>（一般类）</t>
  </si>
  <si>
    <t>中心城区</t>
  </si>
  <si>
    <t>15%-27%</t>
  </si>
  <si>
    <t>14%-41%</t>
  </si>
  <si>
    <t>-</t>
  </si>
  <si>
    <t>城市副中心</t>
  </si>
  <si>
    <t>14%-26%</t>
  </si>
  <si>
    <t>17%-69%</t>
  </si>
  <si>
    <t>12%-15%</t>
  </si>
  <si>
    <t>15%-40%</t>
  </si>
  <si>
    <t>平原新城地区</t>
  </si>
  <si>
    <t>17%-34%</t>
  </si>
  <si>
    <t>15%-69%</t>
  </si>
  <si>
    <t>7%-41%</t>
  </si>
  <si>
    <t>29%-36%</t>
  </si>
  <si>
    <t>生态涵养区</t>
  </si>
  <si>
    <t>9%-22%</t>
  </si>
  <si>
    <t>11%-75%</t>
  </si>
  <si>
    <t>8%-34%</t>
  </si>
  <si>
    <t>划拨</t>
    <phoneticPr fontId="224" type="noConversion"/>
  </si>
  <si>
    <t>楼面</t>
    <phoneticPr fontId="224" type="noConversion"/>
  </si>
  <si>
    <t>地面</t>
    <phoneticPr fontId="224" type="noConversion"/>
  </si>
  <si>
    <t>出让</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</si>
</sst>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宋体"/>
      <family val="3"/>
      <charset val="134"/>
      <scheme val="minor"/>
    </font>
    <font>
      <sz val="10.5"/>
      <color theme="1"/>
      <name val="方正小标宋简体"/>
      <family val="3"/>
      <charset val="134"/>
    </font>
    <font>
      <sz val="10.5"/>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72" fillId="24" borderId="12" xfId="0" applyNumberFormat="1" applyFont="1" applyFill="1" applyBorder="1" applyAlignment="1" applyProtection="1">
      <alignment horizontal="center" vertical="center"/>
    </xf>
    <xf numFmtId="0" fontId="141" fillId="0" borderId="2" xfId="1" applyBorder="1">
      <alignment vertical="center"/>
    </xf>
    <xf numFmtId="0" fontId="141" fillId="0" borderId="2" xfId="1" applyBorder="1" applyAlignment="1">
      <alignment horizontal="center" vertical="center"/>
    </xf>
    <xf numFmtId="0" fontId="141" fillId="6" borderId="2" xfId="1" applyFill="1" applyBorder="1">
      <alignment vertical="center"/>
    </xf>
    <xf numFmtId="10" fontId="152" fillId="24" borderId="83" xfId="0" applyNumberFormat="1" applyFont="1" applyFill="1" applyBorder="1" applyAlignment="1" applyProtection="1">
      <alignment horizontal="center" vertical="center"/>
    </xf>
    <xf numFmtId="10" fontId="71" fillId="24" borderId="83" xfId="0" applyNumberFormat="1" applyFont="1" applyFill="1" applyBorder="1" applyAlignment="1" applyProtection="1">
      <alignment horizontal="center"/>
    </xf>
    <xf numFmtId="0" fontId="141" fillId="0" borderId="5" xfId="1" applyBorder="1" applyAlignment="1">
      <alignment horizontal="center" vertical="center"/>
    </xf>
    <xf numFmtId="0" fontId="141" fillId="0" borderId="9" xfId="1" applyBorder="1" applyAlignment="1">
      <alignment horizontal="center" vertical="center"/>
    </xf>
    <xf numFmtId="0" fontId="300" fillId="0" borderId="172" xfId="0" applyFont="1" applyBorder="1" applyAlignment="1">
      <alignment horizontal="center" vertical="center"/>
    </xf>
    <xf numFmtId="0" fontId="300" fillId="0" borderId="172" xfId="0" applyFont="1" applyBorder="1" applyAlignment="1">
      <alignment horizontal="center" vertical="center" wrapText="1"/>
    </xf>
    <xf numFmtId="0" fontId="300" fillId="0" borderId="173" xfId="0" applyFont="1" applyBorder="1" applyAlignment="1">
      <alignment horizontal="center" vertical="center" wrapText="1"/>
    </xf>
    <xf numFmtId="0" fontId="300" fillId="0" borderId="174" xfId="0" applyFont="1" applyBorder="1" applyAlignment="1">
      <alignment horizontal="center" vertical="center"/>
    </xf>
    <xf numFmtId="0" fontId="300" fillId="0" borderId="174" xfId="0" applyFont="1" applyBorder="1" applyAlignment="1">
      <alignment horizontal="center" vertical="center" wrapText="1"/>
    </xf>
    <xf numFmtId="0" fontId="300" fillId="0" borderId="175" xfId="0" applyFont="1" applyBorder="1" applyAlignment="1">
      <alignment horizontal="center" vertical="center" wrapText="1"/>
    </xf>
    <xf numFmtId="0" fontId="300" fillId="0" borderId="174" xfId="0" applyFont="1" applyBorder="1" applyAlignment="1">
      <alignment horizontal="center" vertical="center"/>
    </xf>
    <xf numFmtId="0" fontId="301" fillId="0" borderId="175" xfId="0" applyFont="1" applyBorder="1" applyAlignment="1">
      <alignment horizontal="center" vertical="center"/>
    </xf>
    <xf numFmtId="9" fontId="141" fillId="8" borderId="2" xfId="1" applyNumberFormat="1" applyFill="1" applyBorder="1">
      <alignment vertical="center"/>
    </xf>
    <xf numFmtId="0" fontId="141" fillId="24" borderId="19" xfId="0" applyFont="1" applyFill="1" applyBorder="1" applyAlignment="1">
      <alignment horizontal="center" vertical="center"/>
    </xf>
    <xf numFmtId="0" fontId="0" fillId="24" borderId="19" xfId="0" applyFill="1" applyBorder="1" applyAlignment="1">
      <alignment horizontal="center" vertical="center"/>
    </xf>
    <xf numFmtId="0" fontId="91" fillId="24" borderId="5" xfId="2" applyNumberFormat="1" applyFont="1" applyFill="1" applyBorder="1" applyAlignment="1" applyProtection="1">
      <alignment horizontal="center" vertical="center"/>
    </xf>
    <xf numFmtId="0" fontId="299" fillId="0" borderId="2" xfId="1" applyFont="1" applyBorder="1" applyAlignment="1">
      <alignment horizontal="center" vertical="center"/>
    </xf>
    <xf numFmtId="0" fontId="141" fillId="8" borderId="2" xfId="1" applyFill="1" applyBorder="1" applyAlignment="1">
      <alignment horizontal="center" vertical="center"/>
    </xf>
    <xf numFmtId="0" fontId="0" fillId="0" borderId="5" xfId="1" applyFont="1" applyBorder="1" applyAlignment="1">
      <alignment horizontal="center" vertical="center"/>
    </xf>
    <xf numFmtId="0" fontId="0" fillId="0" borderId="9" xfId="1" applyFont="1" applyBorder="1" applyAlignment="1">
      <alignment horizontal="center" vertical="center"/>
    </xf>
    <xf numFmtId="0" fontId="141" fillId="0" borderId="5" xfId="1" applyFont="1" applyBorder="1" applyAlignment="1">
      <alignment vertical="center"/>
    </xf>
    <xf numFmtId="0" fontId="0" fillId="0" borderId="9" xfId="1" applyFont="1" applyBorder="1" applyAlignment="1">
      <alignment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4000平方米。根据《建设工程规划许可证》[]、《出让合同》[]，估价对象规划建筑面积为10000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2023年3月7日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根据《国有土地使用证》[]，估价对象（分摊）出让国有建设用地使用权面积为4000平方米。根据《建设工程规划许可证》[]、《出让合同》[]，估价对象规划建筑面积为10000平方米。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2073年3月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7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估价期日：2023年3月7日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4000</v>
      </c>
    </row>
    <row r="44" spans="1:2">
      <c r="A44" s="2357" t="s">
        <v>2022</v>
      </c>
      <c r="B44" s="2358" t="str">
        <f>'预评函-2'!O3</f>
        <v>规划建筑面积/㎡</v>
      </c>
    </row>
    <row r="45" spans="1:2">
      <c r="A45" s="2357" t="s">
        <v>2004</v>
      </c>
      <c r="B45" s="2358">
        <f>'预评函-2'!O5</f>
        <v>10000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44992</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-123.26</v>
      </c>
      <c r="D5" s="3293">
        <f>IF(ISERROR(ROUND(POWER(1+E5,A5-C5)*(POWER(1+E5,C5)-1)/(POWER(1+E5,A5)-1),3)),0,ROUND(POWER(1+E5,A5-C5)*(POWER(1+E5,C5)-1)/(POWER(1+E5,A5)-1),4))</f>
        <v>0</v>
      </c>
      <c r="E5" s="3294"/>
      <c r="F5" s="3287"/>
    </row>
    <row r="6" spans="1:6">
      <c r="A6" s="3292"/>
      <c r="B6" s="3289"/>
      <c r="C6" s="3291">
        <f>ROUNDDOWN(MIN((B6-B3)/365,A6),2)</f>
        <v>-123.26</v>
      </c>
      <c r="D6" s="3293">
        <f>IF(ISERROR(ROUND(POWER(1+E6,A6-C6)*(POWER(1+E6,C6)-1)/(POWER(1+E6,A6)-1),3)),0,ROUND(POWER(1+E6,A6-C6)*(POWER(1+E6,C6)-1)/(POWER(1+E6,A6)-1),4))</f>
        <v>0</v>
      </c>
      <c r="E6" s="3294"/>
      <c r="F6" s="3287"/>
    </row>
    <row r="7" spans="1:6">
      <c r="A7" s="3292"/>
      <c r="B7" s="3289"/>
      <c r="C7" s="3291">
        <f>ROUNDDOWN(MIN((B7-B3)/365,A7),2)</f>
        <v>-123.26</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90" zoomScaleNormal="100" zoomScaleSheetLayoutView="90" workbookViewId="0">
      <selection activeCell="C31" sqref="C31:D31"/>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7" t="str">
        <f>IF(B10="北京市","北京市",C10)&amp;F10&amp;A17&amp;"国有建设用地使用权"&amp;B9&amp;"预评估"</f>
        <v>北京市出让国有建设用地使用权市场价格预评估</v>
      </c>
      <c r="C1" s="3708"/>
      <c r="D1" s="3708"/>
      <c r="E1" s="3708"/>
      <c r="F1" s="3708"/>
      <c r="G1" s="3708"/>
      <c r="H1" s="3708"/>
      <c r="I1" s="3709"/>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44992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2744</v>
      </c>
      <c r="C8" s="1474"/>
      <c r="D8" s="3713"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3258</v>
      </c>
      <c r="C9" s="1477"/>
      <c r="D9" s="3714"/>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3259</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0"/>
      <c r="C12" s="3711"/>
      <c r="D12" s="3712"/>
      <c r="E12" s="1494" t="s">
        <v>1579</v>
      </c>
      <c r="F12" s="3728" t="s">
        <v>2163</v>
      </c>
      <c r="G12" s="3729"/>
      <c r="H12" s="3729"/>
      <c r="I12" s="3730"/>
      <c r="J12" s="2816"/>
      <c r="K12" s="2799"/>
      <c r="L12" s="2795"/>
      <c r="M12" s="2795"/>
      <c r="N12" s="2796"/>
      <c r="O12" s="2797"/>
      <c r="P12" s="2796"/>
      <c r="Q12" s="2796"/>
      <c r="R12" s="2796"/>
      <c r="S12" s="2796"/>
      <c r="T12" s="2796"/>
      <c r="U12" s="2796"/>
    </row>
    <row r="13" spans="1:21">
      <c r="A13" s="1485" t="s">
        <v>1577</v>
      </c>
      <c r="B13" s="3710"/>
      <c r="C13" s="3711"/>
      <c r="D13" s="3712"/>
      <c r="E13" s="1494" t="s">
        <v>1579</v>
      </c>
      <c r="F13" s="3728" t="s">
        <v>2164</v>
      </c>
      <c r="G13" s="3729"/>
      <c r="H13" s="3729"/>
      <c r="I13" s="3730"/>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c r="A16" s="2744" t="s">
        <v>1467</v>
      </c>
      <c r="B16" s="1494" t="s">
        <v>1468</v>
      </c>
      <c r="C16" s="3280"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办公2073年3月5日</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2744</v>
      </c>
      <c r="B17" s="2745" t="s">
        <v>1473</v>
      </c>
      <c r="C17" s="3333"/>
      <c r="D17" s="3333"/>
      <c r="E17" s="3333">
        <v>63253</v>
      </c>
      <c r="F17" s="3333"/>
      <c r="G17" s="3333"/>
      <c r="H17" s="3333"/>
      <c r="I17" s="3333"/>
      <c r="J17" s="2816"/>
      <c r="K17" s="2794" t="str">
        <f>CONCATENATE(K16,L16,M16,N16,O16,P16,Q16,R16,S16,T16,,U16)</f>
        <v>办公2073年3月5日</v>
      </c>
      <c r="L17" s="2795"/>
      <c r="M17" s="2795"/>
      <c r="N17" s="2796"/>
      <c r="O17" s="2797"/>
      <c r="P17" s="2796"/>
      <c r="Q17" s="2796"/>
      <c r="R17" s="2796"/>
      <c r="S17" s="2796"/>
      <c r="T17" s="2796"/>
      <c r="U17" s="2796"/>
    </row>
    <row r="18" spans="1:21">
      <c r="A18" s="1552"/>
      <c r="B18" s="2745" t="s">
        <v>1474</v>
      </c>
      <c r="C18" s="1482"/>
      <c r="D18" s="1482"/>
      <c r="E18" s="1482">
        <v>50</v>
      </c>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f>IF(A17="出让",IF(E17="","",ROUNDDOWN(MIN((E17-$D$3)/365,E18),2)),E18)</f>
        <v>50</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5"/>
      <c r="E20" s="3726"/>
      <c r="F20" s="3726"/>
      <c r="G20" s="3726"/>
      <c r="H20" s="3726"/>
      <c r="I20" s="3727"/>
      <c r="J20" s="2816"/>
      <c r="K20" s="2799"/>
      <c r="L20" s="2795"/>
      <c r="M20" s="2795"/>
      <c r="N20" s="2796"/>
      <c r="O20" s="2797"/>
      <c r="P20" s="2796"/>
      <c r="Q20" s="2796"/>
      <c r="R20" s="2796"/>
      <c r="S20" s="2796"/>
      <c r="T20" s="2796"/>
      <c r="U20" s="2796"/>
    </row>
    <row r="21" spans="1:21">
      <c r="A21" s="1552" t="s">
        <v>1476</v>
      </c>
      <c r="B21" s="1553" t="s">
        <v>1477</v>
      </c>
      <c r="C21" s="1548">
        <f>'数据-汇总表'!E3</f>
        <v>10000</v>
      </c>
      <c r="D21" s="1549" t="s">
        <v>1478</v>
      </c>
      <c r="E21" s="3715" t="s">
        <v>1516</v>
      </c>
      <c r="F21" s="3716"/>
      <c r="G21" s="3716"/>
      <c r="H21" s="3716"/>
      <c r="I21" s="3717"/>
      <c r="J21" s="2816"/>
      <c r="K21" s="2799"/>
      <c r="L21" s="2795"/>
      <c r="M21" s="2795"/>
      <c r="N21" s="2796"/>
      <c r="O21" s="2797"/>
      <c r="P21" s="2796"/>
      <c r="Q21" s="2796"/>
      <c r="R21" s="2796"/>
      <c r="S21" s="2796"/>
      <c r="T21" s="2796"/>
      <c r="U21" s="2796"/>
    </row>
    <row r="22" spans="1:21">
      <c r="A22" s="2556" t="s">
        <v>877</v>
      </c>
      <c r="B22" s="1464" t="s">
        <v>1479</v>
      </c>
      <c r="C22" s="1484">
        <f>'数据-汇总表'!D3</f>
        <v>4000</v>
      </c>
      <c r="D22" s="1485" t="s">
        <v>1478</v>
      </c>
      <c r="E22" s="3715" t="s">
        <v>2165</v>
      </c>
      <c r="F22" s="3716"/>
      <c r="G22" s="3716"/>
      <c r="H22" s="3716"/>
      <c r="I22" s="3717"/>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8" t="s">
        <v>1484</v>
      </c>
      <c r="C24" s="3719"/>
      <c r="D24" s="3720" t="s">
        <v>1485</v>
      </c>
      <c r="E24" s="3721"/>
      <c r="F24" s="1502" t="s">
        <v>1486</v>
      </c>
      <c r="G24" s="2816"/>
      <c r="H24" s="2816"/>
      <c r="I24" s="2820"/>
      <c r="J24" s="2816"/>
      <c r="K24" s="370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2" t="s">
        <v>1519</v>
      </c>
      <c r="B31" s="1553" t="s">
        <v>1520</v>
      </c>
      <c r="C31" s="3731"/>
      <c r="D31" s="3732"/>
      <c r="E31" s="2816"/>
      <c r="F31" s="2816"/>
      <c r="G31" s="2816"/>
      <c r="H31" s="2816"/>
      <c r="I31" s="2820"/>
      <c r="J31" s="2816"/>
      <c r="K31" s="2802"/>
      <c r="L31" s="2796"/>
      <c r="M31" s="2796"/>
      <c r="N31" s="2796"/>
      <c r="O31" s="2796"/>
      <c r="P31" s="2796"/>
      <c r="Q31" s="2796"/>
      <c r="R31" s="2796"/>
      <c r="S31" s="2796"/>
      <c r="T31" s="2796"/>
      <c r="U31" s="2796"/>
    </row>
    <row r="32" spans="1:21">
      <c r="A32" s="3692"/>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2"/>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3"/>
      <c r="B34" s="1464" t="s">
        <v>1523</v>
      </c>
      <c r="C34" s="3694"/>
      <c r="D34" s="3695"/>
      <c r="E34" s="2816"/>
      <c r="F34" s="2816"/>
      <c r="G34" s="2816"/>
      <c r="H34" s="2816"/>
      <c r="I34" s="2820"/>
      <c r="J34" s="2816"/>
      <c r="K34" s="2802"/>
      <c r="L34" s="2796"/>
      <c r="M34" s="2796"/>
      <c r="N34" s="2796"/>
      <c r="O34" s="2796"/>
      <c r="P34" s="2796"/>
      <c r="Q34" s="2796"/>
      <c r="R34" s="2796"/>
      <c r="S34" s="2796"/>
      <c r="T34" s="2796"/>
      <c r="U34" s="2796"/>
    </row>
    <row r="35" spans="1:28">
      <c r="A35" s="3696" t="s">
        <v>785</v>
      </c>
      <c r="B35" s="1516"/>
      <c r="C35" s="1562" t="str">
        <f>IF(B35="场地平整","——","具体情况：")</f>
        <v>具体情况：</v>
      </c>
      <c r="D35" s="3698"/>
      <c r="E35" s="3699"/>
      <c r="F35" s="3699"/>
      <c r="G35" s="3699"/>
      <c r="H35" s="3699"/>
      <c r="I35" s="3700"/>
      <c r="J35" s="2816"/>
      <c r="K35" s="2803"/>
      <c r="L35" s="2795"/>
      <c r="M35" s="2795"/>
      <c r="N35" s="2796"/>
      <c r="O35" s="2797"/>
      <c r="P35" s="2796"/>
      <c r="Q35" s="2796"/>
      <c r="R35" s="2796"/>
      <c r="S35" s="2796"/>
      <c r="T35" s="2796"/>
      <c r="U35" s="2796"/>
    </row>
    <row r="36" spans="1:28">
      <c r="A36" s="3692"/>
      <c r="B36" s="3701" t="s">
        <v>1572</v>
      </c>
      <c r="C36" s="3702"/>
      <c r="D36" s="1578"/>
      <c r="E36" s="3703"/>
      <c r="F36" s="3703"/>
      <c r="G36" s="1485" t="str">
        <f>IF(B35="场地未平整","估价结果处理","")</f>
        <v/>
      </c>
      <c r="H36" s="3704"/>
      <c r="I36" s="3704"/>
      <c r="J36" s="2816"/>
      <c r="K36" s="2803"/>
      <c r="L36" s="2795"/>
      <c r="M36" s="2795"/>
      <c r="N36" s="2796"/>
      <c r="O36" s="2797"/>
      <c r="P36" s="2796"/>
      <c r="Q36" s="2796"/>
      <c r="R36" s="2796"/>
      <c r="S36" s="2796"/>
      <c r="T36" s="2796"/>
      <c r="U36" s="2796"/>
    </row>
    <row r="37" spans="1:28" ht="28.5">
      <c r="A37" s="3692"/>
      <c r="B37" s="372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2"/>
      <c r="B38" s="3723"/>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693"/>
      <c r="B39" s="3724"/>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5" t="s">
        <v>1503</v>
      </c>
      <c r="T40" s="1525" t="str">
        <f>NUMBERSTRING(7-K40,1)&amp;"通"</f>
        <v>七通</v>
      </c>
      <c r="U40" s="2796"/>
    </row>
    <row r="41" spans="1:28">
      <c r="A41" s="1466"/>
      <c r="B41" s="3697" t="s">
        <v>1250</v>
      </c>
      <c r="C41" s="3697"/>
      <c r="D41" s="3697"/>
      <c r="E41" s="3697"/>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5"/>
      <c r="T41" s="1527" t="str">
        <f>IF(T40="一通",L41,IF(T40="二通",M41,IF(T40="三通",N41,IF(T40="四通",O41,IF(T40="五通",P41,IF(T40="六通",Q41,R41))))))</f>
        <v>、、、、、、</v>
      </c>
      <c r="U41" s="2796"/>
    </row>
    <row r="42" spans="1:28">
      <c r="A42" s="1529"/>
      <c r="B42" s="1555" t="s">
        <v>1422</v>
      </c>
      <c r="C42" s="1555" t="s">
        <v>1423</v>
      </c>
      <c r="D42" s="1555" t="s">
        <v>1424</v>
      </c>
      <c r="E42" s="3280" t="s">
        <v>2745</v>
      </c>
      <c r="F42" s="3280"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t="s">
        <v>1145</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t="s">
        <v>1042</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4" sqref="B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4000</v>
      </c>
      <c r="B3" s="20">
        <f>IF(C3="否",G5-AT5,G5)</f>
        <v>10000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4000</v>
      </c>
      <c r="F6" s="25" t="s">
        <v>0</v>
      </c>
      <c r="G6" s="25" t="s">
        <v>1</v>
      </c>
      <c r="H6" s="31">
        <f>SUMIF(I$12:AB$12,"总值",I6:AB6)</f>
        <v>4000</v>
      </c>
      <c r="I6" s="25">
        <f t="shared" ref="I6:AB6" si="2">ROUND($A$3*I5/$B$3,2)</f>
        <v>4000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4000</v>
      </c>
      <c r="AZ6" s="25" t="s">
        <v>2</v>
      </c>
      <c r="BA6" s="25">
        <f>ROUND($AY$6*BA5/$AZ$5,2)</f>
        <v>4000</v>
      </c>
      <c r="BB6" s="25">
        <f>ROUND($AY$6*BB5/$AZ$5,2)</f>
        <v>4000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3261</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3262</v>
      </c>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3260</v>
      </c>
      <c r="E13" s="25">
        <f t="shared" ref="E13:E20" si="6">IF($C$3="是",ROUND($A$3*G13/$B$3,2),ROUND($A$3*(G13-AT13)/$B$3,2))</f>
        <v>4000</v>
      </c>
      <c r="F13" s="78"/>
      <c r="G13" s="79">
        <f t="shared" ref="G13:G20" si="7">H13+AC13+AT13</f>
        <v>10000</v>
      </c>
      <c r="H13" s="31">
        <f t="shared" ref="H13:H20" si="8">SUMIF(I$12:AB$12,"总值",I13:AB13)</f>
        <v>10000</v>
      </c>
      <c r="I13" s="2490">
        <v>10000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4000</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2" t="s">
        <v>169</v>
      </c>
      <c r="B2" s="3742"/>
      <c r="C2" s="3742"/>
      <c r="D2" s="1729" t="s">
        <v>170</v>
      </c>
      <c r="E2" s="102" t="s">
        <v>171</v>
      </c>
      <c r="F2" s="2825"/>
      <c r="G2" s="1096"/>
      <c r="H2" s="1097"/>
      <c r="I2" s="1098" t="s">
        <v>795</v>
      </c>
      <c r="J2" s="2825"/>
      <c r="K2" s="2825"/>
      <c r="L2" s="2825"/>
      <c r="M2" s="2825"/>
      <c r="N2" s="2825"/>
      <c r="O2" s="2825"/>
      <c r="P2" s="2825"/>
    </row>
    <row r="3" spans="1:16" ht="15.75" thickBot="1">
      <c r="A3" s="3743" t="s">
        <v>172</v>
      </c>
      <c r="B3" s="3743"/>
      <c r="C3" s="3743"/>
      <c r="D3" s="103">
        <f>'数据-基础表'!AY6</f>
        <v>4000</v>
      </c>
      <c r="E3" s="103">
        <f>'数据-基础表'!AZ5</f>
        <v>10000</v>
      </c>
      <c r="F3" s="2825"/>
      <c r="G3" s="271" t="s">
        <v>796</v>
      </c>
      <c r="H3" s="266" t="s">
        <v>797</v>
      </c>
      <c r="I3" s="1730">
        <f>ROUND('数据-基础表'!B3/'数据-基础表'!A3,2)</f>
        <v>2.5</v>
      </c>
      <c r="J3" s="2825"/>
      <c r="K3" s="2825"/>
      <c r="L3" s="2825"/>
      <c r="M3" s="2825"/>
      <c r="N3" s="2825"/>
      <c r="O3" s="2825"/>
      <c r="P3" s="2825"/>
    </row>
    <row r="4" spans="1:16" ht="15">
      <c r="A4" s="3744"/>
      <c r="B4" s="3745"/>
      <c r="C4" s="3746"/>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47" t="s">
        <v>196</v>
      </c>
      <c r="C5" s="3747"/>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47" t="s">
        <v>174</v>
      </c>
      <c r="C6" s="3747"/>
      <c r="D6" s="107">
        <f>ROUND($D$3*E6/$E$3,2)</f>
        <v>4000</v>
      </c>
      <c r="E6" s="108">
        <f>E3-E5</f>
        <v>10000</v>
      </c>
      <c r="F6" s="2825"/>
      <c r="G6" s="1099"/>
      <c r="H6" s="266" t="s">
        <v>798</v>
      </c>
      <c r="I6" s="1730">
        <f>ROUND(F31/D31,2)</f>
        <v>2.5</v>
      </c>
      <c r="J6" s="2825"/>
      <c r="K6" s="2825"/>
      <c r="L6" s="2825"/>
      <c r="M6" s="2825"/>
      <c r="N6" s="2825"/>
      <c r="O6" s="2825"/>
      <c r="P6" s="2825"/>
    </row>
    <row r="7" spans="1:16" ht="15">
      <c r="A7" s="3739"/>
      <c r="B7" s="3740"/>
      <c r="C7" s="3741"/>
      <c r="D7" s="104" t="s">
        <v>170</v>
      </c>
      <c r="E7" s="110" t="s">
        <v>197</v>
      </c>
      <c r="F7" s="2825"/>
      <c r="G7" s="1055" t="s">
        <v>1180</v>
      </c>
      <c r="H7" s="1056"/>
      <c r="I7" s="1631">
        <v>2.5</v>
      </c>
      <c r="J7" s="2825"/>
      <c r="K7" s="2825"/>
      <c r="L7" s="2825"/>
      <c r="M7" s="2825"/>
      <c r="N7" s="2825"/>
      <c r="O7" s="2825"/>
      <c r="P7" s="2825"/>
    </row>
    <row r="8" spans="1:16">
      <c r="A8" s="106" t="s">
        <v>175</v>
      </c>
      <c r="B8" s="111" t="s">
        <v>176</v>
      </c>
      <c r="C8" s="107" t="s">
        <v>177</v>
      </c>
      <c r="D8" s="107">
        <f t="shared" ref="D8:D15" si="0">ROUND($D$3*E8/$E$3,2)</f>
        <v>4000</v>
      </c>
      <c r="E8" s="112">
        <f>SUMIF('数据-基础表'!BB10:BK10,"地上",'数据-基础表'!BB5:BK5)</f>
        <v>10000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4000</v>
      </c>
      <c r="E16" s="116">
        <f>SUM(E8:E15)</f>
        <v>10000</v>
      </c>
      <c r="F16" s="2825"/>
      <c r="G16" s="2826"/>
      <c r="H16" s="930" t="s">
        <v>185</v>
      </c>
      <c r="I16" s="931"/>
      <c r="J16" s="1738"/>
      <c r="K16" s="3733" t="s">
        <v>1849</v>
      </c>
      <c r="L16" s="3734"/>
      <c r="M16" s="3734"/>
      <c r="N16" s="3734"/>
      <c r="O16" s="3734"/>
      <c r="P16" s="3735"/>
    </row>
    <row r="17" spans="1:19" ht="15">
      <c r="A17" s="117" t="s">
        <v>182</v>
      </c>
      <c r="B17" s="118" t="s">
        <v>183</v>
      </c>
      <c r="C17" s="2016" t="s">
        <v>1670</v>
      </c>
      <c r="D17" s="104" t="s">
        <v>170</v>
      </c>
      <c r="E17" s="120" t="s">
        <v>171</v>
      </c>
      <c r="F17" s="121"/>
      <c r="G17" s="1225"/>
      <c r="H17" s="932" t="s">
        <v>184</v>
      </c>
      <c r="I17" s="933" t="s">
        <v>1669</v>
      </c>
      <c r="J17" s="1738"/>
      <c r="K17" s="3736" t="s">
        <v>1850</v>
      </c>
      <c r="L17" s="3737"/>
      <c r="M17" s="3738"/>
      <c r="N17" s="3736" t="s">
        <v>1851</v>
      </c>
      <c r="O17" s="3737"/>
      <c r="P17" s="3738"/>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3263</v>
      </c>
      <c r="D19" s="107">
        <f t="shared" ref="D19:D26" si="1">ROUND($D$3*E19/$E$3,2)</f>
        <v>4000</v>
      </c>
      <c r="E19" s="130">
        <f t="shared" ref="E19:E26" si="2">SUM(F19:G19)</f>
        <v>10000</v>
      </c>
      <c r="F19" s="2827">
        <f>'数据-基础表'!I13</f>
        <v>10000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4000</v>
      </c>
      <c r="S19" s="2019">
        <f t="shared" si="5"/>
        <v>10000</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4000</v>
      </c>
      <c r="E27" s="136">
        <f>IF(SUM(E19:E26)='数据-基础表'!BA5,SUM(E19:E26),IF(F27="地上面积有误","面积有误","地下面积有误"))</f>
        <v>10000</v>
      </c>
      <c r="F27" s="130">
        <f>IF(SUM(F19:F26)=E8,SUM(F19:F26),"地上面积有误")</f>
        <v>10000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4000</v>
      </c>
      <c r="S27" s="266">
        <f>IF(SUM(S19:S26)=$E$3,SUM(S19:S26),SUM(S19:S26)&amp;"误差"&amp;ROUND(SUM(S19:S26)-E3,2))</f>
        <v>10000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4000</v>
      </c>
      <c r="E31" s="1229">
        <f>E27+E30</f>
        <v>10000</v>
      </c>
      <c r="F31" s="1230">
        <f>F27+F30</f>
        <v>10000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I6" activePane="bottomRight" state="frozen"/>
      <selection pane="topRight" activeCell="D1" sqref="D1"/>
      <selection pane="bottomLeft" activeCell="A4" sqref="A4"/>
      <selection pane="bottomRight" activeCell="N7" sqref="N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3264</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63253</v>
      </c>
      <c r="F6" s="167">
        <f>SUMIF(项目基本情况!C$15:I$15,C6,项目基本情况!C$19:I$19)</f>
        <v>50</v>
      </c>
      <c r="G6" s="168">
        <f t="shared" ref="G6:G13" si="0">IF(ISERROR(ROUND(POWER(1+H6,D6-F6)*(POWER(1+H6,F6)-1)/(POWER(1+H6,D6)-1),3)),0,ROUND(POWER(1+H6,D6-F6)*(POWER(1+H6,F6)-1)/(POWER(1+H6,D6)-1),3))</f>
        <v>1</v>
      </c>
      <c r="H6" s="2498">
        <v>4.4999999999999998E-2</v>
      </c>
      <c r="I6" s="2498">
        <v>0.05</v>
      </c>
      <c r="J6" s="169">
        <v>5.5E-2</v>
      </c>
      <c r="K6" s="172">
        <f>SUMIF('数据-汇总表'!C$19:C$33,'数据-取费表'!A6,'数据-汇总表'!E$19:E$33)</f>
        <v>10000</v>
      </c>
      <c r="L6" s="2499">
        <v>3000</v>
      </c>
      <c r="M6" s="170">
        <f t="shared" ref="M6:M14" si="1">ROUND(K6*L6/10000,0)</f>
        <v>3000</v>
      </c>
      <c r="N6" s="2500">
        <v>0.75</v>
      </c>
      <c r="O6" s="170" t="str">
        <f>IF($N$5="成新度","——",ROUND(M6*N6,0))</f>
        <v>——</v>
      </c>
      <c r="P6" s="171" t="str">
        <f>IF($N$5="成新度","——",M6-O6)</f>
        <v>——</v>
      </c>
      <c r="Q6" s="2501">
        <v>0.15</v>
      </c>
      <c r="R6" s="172">
        <f>SUMIF('数据-汇总表'!C$19:C$33,A6,'数据-汇总表'!R$19:R$33)</f>
        <v>4000</v>
      </c>
      <c r="S6" s="128">
        <f>IF('数据-汇总表'!$I$17="按面积比例",SUMIF('数据-汇总表'!C$19:C$33,A6,'数据-汇总表'!K$19:K$33),SUMIF('数据-汇总表'!C$19:C$33,A6,'数据-汇总表'!N$19:N$33))</f>
        <v>0</v>
      </c>
      <c r="T6" s="1952" t="str">
        <f>IF($T$4="按面积比例",IF(ISERROR(ROUND($M$14*S6/S$16,0)),"0",ROUND($M$14*S6/S$16,0)),"需自行计算录入")</f>
        <v>0</v>
      </c>
      <c r="U6" s="173">
        <v>5.5</v>
      </c>
      <c r="V6" s="174">
        <v>0</v>
      </c>
      <c r="W6" s="174">
        <v>0.1</v>
      </c>
      <c r="X6" s="2039"/>
      <c r="Y6" s="175">
        <f>N6</f>
        <v>0.75</v>
      </c>
      <c r="Z6" s="176"/>
      <c r="AA6" s="169"/>
      <c r="AB6" s="169"/>
      <c r="AC6" s="2042"/>
      <c r="AD6" s="177"/>
      <c r="AE6" s="934">
        <f ca="1">IF(AN6="",0,SUMIF(INDIRECT("'"&amp;AN6&amp;"'"&amp;"!E:E"),$AE$5,INDIRECT("'"&amp;AN6&amp;"'"&amp;"!F:F")))</f>
        <v>50</v>
      </c>
      <c r="AF6" s="134"/>
      <c r="AG6" s="1111">
        <f>IF(AF6="",0,AE6-AF6)</f>
        <v>0</v>
      </c>
      <c r="AH6" s="134">
        <f>'数据-汇总表'!F19</f>
        <v>10000</v>
      </c>
      <c r="AI6" s="180">
        <v>365</v>
      </c>
      <c r="AJ6" s="181"/>
      <c r="AK6" s="182">
        <v>1.4999999999999999E-2</v>
      </c>
      <c r="AL6" s="183">
        <v>1.5E-3</v>
      </c>
      <c r="AM6" s="2510">
        <v>0.01</v>
      </c>
      <c r="AN6" s="2083" t="s">
        <v>3265</v>
      </c>
      <c r="AO6" s="2835"/>
      <c r="AP6" s="1102">
        <f>ROUND(1-1/(1+H6)^F6,3)</f>
        <v>0.88900000000000001</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t="str">
        <f t="shared" ref="O7:O14" si="3">IF($N$5="成新度","——",ROUND(M7*N7,0))</f>
        <v>——</v>
      </c>
      <c r="P7" s="171" t="str">
        <f t="shared" ref="P7:P14" si="4">IF($N$5="成新度","——",M7-O7)</f>
        <v>——</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t="str">
        <f t="shared" si="3"/>
        <v>——</v>
      </c>
      <c r="P8" s="171" t="str">
        <f t="shared" si="4"/>
        <v>——</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4.4999999999999998E-2</v>
      </c>
      <c r="I16" s="195"/>
      <c r="J16" s="195"/>
      <c r="K16" s="196">
        <f>SUM(K6:K15)</f>
        <v>10000</v>
      </c>
      <c r="L16" s="197">
        <f>ROUND(M16*10000/SUM(K6:K14),0)</f>
        <v>3000</v>
      </c>
      <c r="M16" s="197">
        <f>SUM(M6:M14)</f>
        <v>3000</v>
      </c>
      <c r="N16" s="198">
        <f>ROUND(SUMPRODUCT(M6:M14,N6:N14)/M16,3)</f>
        <v>0.75</v>
      </c>
      <c r="O16" s="197">
        <f>SUM(O6:O14)</f>
        <v>0</v>
      </c>
      <c r="P16" s="197">
        <f>SUM(P6:P14)</f>
        <v>0</v>
      </c>
      <c r="Q16" s="199">
        <f>ROUND(SUMPRODUCT(Q6:Q13,K6:K13)/SUMPRODUCT((Q6:Q13&gt;0)*(K6:K13)),2)</f>
        <v>0.15</v>
      </c>
      <c r="R16" s="2029">
        <f>SUM(R6:R13)</f>
        <v>4000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0.88900000000000001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1</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1</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2</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v>200</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315</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315</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3271</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18</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1145</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48" t="s">
        <v>1198</v>
      </c>
      <c r="B1" s="3749"/>
      <c r="C1" s="3749"/>
      <c r="D1" s="3749"/>
      <c r="E1" s="3749"/>
      <c r="F1" s="3749"/>
      <c r="G1" s="3749"/>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44992</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4" t="str">
        <f>项目基本情况!K2</f>
        <v>北京市出让国有建设用地使用权</v>
      </c>
      <c r="B2" s="3795"/>
      <c r="C2" s="3796"/>
      <c r="D2" s="3796"/>
      <c r="E2" s="3796"/>
      <c r="F2" s="3796"/>
      <c r="G2" s="3795"/>
      <c r="H2" s="3795"/>
      <c r="I2" s="3797"/>
      <c r="J2" s="1753"/>
      <c r="K2" s="1752"/>
      <c r="L2" s="1752"/>
      <c r="M2" s="1752"/>
      <c r="N2" s="1752"/>
      <c r="O2" s="1752"/>
      <c r="P2" s="1752"/>
      <c r="Q2" s="1752"/>
      <c r="R2" s="1752"/>
      <c r="S2" s="1752"/>
      <c r="T2" s="1752"/>
      <c r="U2" s="1752"/>
      <c r="V2" s="1752"/>
    </row>
    <row r="3" spans="1:22" ht="14.25">
      <c r="A3" s="3787" t="s">
        <v>264</v>
      </c>
      <c r="B3" s="3788"/>
      <c r="C3" s="3788"/>
      <c r="D3" s="3788"/>
      <c r="E3" s="3788"/>
      <c r="F3" s="3788"/>
      <c r="G3" s="3788"/>
      <c r="H3" s="3788"/>
      <c r="I3" s="3788"/>
      <c r="J3" s="1753"/>
      <c r="K3" s="1752"/>
      <c r="L3" s="1752"/>
      <c r="M3" s="1752"/>
      <c r="N3" s="1752"/>
      <c r="O3" s="1752"/>
      <c r="P3" s="1752"/>
      <c r="Q3" s="1752"/>
      <c r="R3" s="1752"/>
      <c r="S3" s="1752"/>
      <c r="T3" s="1752"/>
      <c r="U3" s="1752"/>
      <c r="V3" s="1752"/>
    </row>
    <row r="4" spans="1:22" ht="14.25">
      <c r="A4" s="249" t="s">
        <v>265</v>
      </c>
      <c r="B4" s="250" t="s">
        <v>266</v>
      </c>
      <c r="C4" s="251"/>
      <c r="D4" s="251"/>
      <c r="E4" s="3753" t="s">
        <v>267</v>
      </c>
      <c r="F4" s="3754"/>
      <c r="G4" s="3754"/>
      <c r="H4" s="3754"/>
      <c r="I4" s="3789"/>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52" t="s">
        <v>268</v>
      </c>
      <c r="B5" s="3781">
        <v>25</v>
      </c>
      <c r="C5" s="3779"/>
      <c r="D5" s="3783"/>
      <c r="E5" s="252" t="s">
        <v>269</v>
      </c>
      <c r="F5" s="253"/>
      <c r="G5" s="253"/>
      <c r="H5" s="253"/>
      <c r="I5" s="254"/>
      <c r="J5" s="1753"/>
      <c r="K5" s="1752"/>
      <c r="L5" s="1752"/>
      <c r="M5" s="1752"/>
      <c r="N5" s="1752"/>
      <c r="O5" s="1752"/>
      <c r="P5" s="1752"/>
      <c r="Q5" s="1752"/>
      <c r="R5" s="1752"/>
      <c r="S5" s="1752"/>
      <c r="T5" s="1752"/>
      <c r="U5" s="1752"/>
      <c r="V5" s="1752"/>
    </row>
    <row r="6" spans="1:22" ht="14.25">
      <c r="A6" s="3752"/>
      <c r="B6" s="3781"/>
      <c r="C6" s="3782"/>
      <c r="D6" s="3783"/>
      <c r="E6" s="252" t="s">
        <v>270</v>
      </c>
      <c r="F6" s="253"/>
      <c r="G6" s="253"/>
      <c r="H6" s="253"/>
      <c r="I6" s="254"/>
      <c r="J6" s="1753"/>
      <c r="K6" s="1752"/>
      <c r="L6" s="1752"/>
      <c r="M6" s="1752"/>
      <c r="N6" s="1752"/>
      <c r="O6" s="1752"/>
      <c r="P6" s="1752"/>
      <c r="Q6" s="1752"/>
      <c r="R6" s="1752"/>
      <c r="S6" s="1752"/>
      <c r="T6" s="1752"/>
      <c r="U6" s="1752"/>
      <c r="V6" s="1752"/>
    </row>
    <row r="7" spans="1:22" ht="14.25">
      <c r="A7" s="3752"/>
      <c r="B7" s="3781"/>
      <c r="C7" s="3780"/>
      <c r="D7" s="3783"/>
      <c r="E7" s="252" t="s">
        <v>271</v>
      </c>
      <c r="F7" s="253"/>
      <c r="G7" s="253"/>
      <c r="H7" s="253"/>
      <c r="I7" s="254"/>
      <c r="J7" s="1753"/>
      <c r="K7" s="1752"/>
      <c r="L7" s="1752"/>
      <c r="M7" s="1752"/>
      <c r="N7" s="1752"/>
      <c r="O7" s="1752"/>
      <c r="P7" s="1752"/>
      <c r="Q7" s="1752"/>
      <c r="R7" s="1752"/>
      <c r="S7" s="1752"/>
      <c r="T7" s="1752"/>
      <c r="U7" s="1752"/>
      <c r="V7" s="1752"/>
    </row>
    <row r="8" spans="1:22" ht="14.25">
      <c r="A8" s="3752" t="s">
        <v>272</v>
      </c>
      <c r="B8" s="3781">
        <v>15</v>
      </c>
      <c r="C8" s="3779"/>
      <c r="D8" s="3783"/>
      <c r="E8" s="252" t="s">
        <v>273</v>
      </c>
      <c r="F8" s="253"/>
      <c r="G8" s="253"/>
      <c r="H8" s="253"/>
      <c r="I8" s="254"/>
      <c r="J8" s="1753"/>
      <c r="K8" s="1752"/>
      <c r="L8" s="1752"/>
      <c r="M8" s="1752"/>
      <c r="N8" s="1752"/>
      <c r="O8" s="1752"/>
      <c r="P8" s="1752"/>
      <c r="Q8" s="1752"/>
      <c r="R8" s="1752"/>
      <c r="S8" s="1752"/>
      <c r="T8" s="1752"/>
      <c r="U8" s="1752"/>
      <c r="V8" s="1752"/>
    </row>
    <row r="9" spans="1:22" ht="14.25">
      <c r="A9" s="3752"/>
      <c r="B9" s="3781"/>
      <c r="C9" s="3780"/>
      <c r="D9" s="3783"/>
      <c r="E9" s="252" t="s">
        <v>274</v>
      </c>
      <c r="F9" s="253"/>
      <c r="G9" s="253"/>
      <c r="H9" s="253"/>
      <c r="I9" s="254"/>
      <c r="J9" s="1753"/>
      <c r="K9" s="1752"/>
      <c r="L9" s="1752"/>
      <c r="M9" s="1752"/>
      <c r="N9" s="1752"/>
      <c r="O9" s="1752"/>
      <c r="P9" s="1752"/>
      <c r="Q9" s="1752"/>
      <c r="R9" s="1752"/>
      <c r="S9" s="1752"/>
      <c r="T9" s="1752"/>
      <c r="U9" s="1752"/>
      <c r="V9" s="1752"/>
    </row>
    <row r="10" spans="1:22" ht="14.25">
      <c r="A10" s="3752" t="s">
        <v>275</v>
      </c>
      <c r="B10" s="3781">
        <v>15</v>
      </c>
      <c r="C10" s="3779"/>
      <c r="D10" s="3783"/>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2"/>
      <c r="B11" s="3781"/>
      <c r="C11" s="3780"/>
      <c r="D11" s="3783"/>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2" t="s">
        <v>278</v>
      </c>
      <c r="B12" s="3781">
        <v>15</v>
      </c>
      <c r="C12" s="3779"/>
      <c r="D12" s="3783"/>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2"/>
      <c r="B13" s="3781"/>
      <c r="C13" s="3780"/>
      <c r="D13" s="3783"/>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2" t="s">
        <v>281</v>
      </c>
      <c r="B14" s="3781">
        <v>30</v>
      </c>
      <c r="C14" s="3779"/>
      <c r="D14" s="3783"/>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2"/>
      <c r="B15" s="3781"/>
      <c r="C15" s="3782"/>
      <c r="D15" s="3783"/>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2"/>
      <c r="B16" s="3781"/>
      <c r="C16" s="3780"/>
      <c r="D16" s="378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784" t="s">
        <v>2254</v>
      </c>
      <c r="F18" s="3785"/>
      <c r="G18" s="3785"/>
      <c r="H18" s="3785"/>
      <c r="I18" s="3785"/>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58"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59"/>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6" t="s">
        <v>2256</v>
      </c>
      <c r="B31" s="3786"/>
      <c r="C31" s="3786"/>
      <c r="D31" s="3786"/>
      <c r="E31" s="3786"/>
      <c r="F31" s="3786"/>
      <c r="G31" s="3786"/>
      <c r="H31" s="3786"/>
      <c r="I31" s="3786"/>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58"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02"/>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03"/>
      <c r="F35" s="292" t="s">
        <v>308</v>
      </c>
      <c r="G35" s="944"/>
      <c r="H35" s="943" t="s">
        <v>309</v>
      </c>
      <c r="I35" s="302"/>
      <c r="J35" s="1752"/>
      <c r="K35" s="3776" t="s">
        <v>316</v>
      </c>
      <c r="L35" s="3776" t="s">
        <v>317</v>
      </c>
      <c r="M35" s="1133" t="s">
        <v>318</v>
      </c>
      <c r="N35" s="3776" t="s">
        <v>319</v>
      </c>
      <c r="O35" s="3776" t="s">
        <v>320</v>
      </c>
      <c r="P35" s="1752"/>
      <c r="V35" s="1752"/>
    </row>
    <row r="36" spans="1:26" ht="16.5" customHeight="1">
      <c r="A36" s="294" t="s">
        <v>310</v>
      </c>
      <c r="B36" s="295" t="s">
        <v>299</v>
      </c>
      <c r="C36" s="296" t="s">
        <v>311</v>
      </c>
      <c r="D36" s="296" t="s">
        <v>312</v>
      </c>
      <c r="E36" s="297" t="s">
        <v>313</v>
      </c>
      <c r="F36" s="302"/>
      <c r="G36" s="302"/>
      <c r="H36" s="302"/>
      <c r="I36" s="302"/>
      <c r="J36" s="1754"/>
      <c r="K36" s="3777"/>
      <c r="L36" s="3777"/>
      <c r="M36" s="1135" t="s">
        <v>321</v>
      </c>
      <c r="N36" s="3777"/>
      <c r="O36" s="3777"/>
      <c r="P36" s="1752"/>
      <c r="V36" s="1752"/>
    </row>
    <row r="37" spans="1:26" ht="16.5" customHeight="1" thickBot="1">
      <c r="A37" s="1129" t="s">
        <v>314</v>
      </c>
      <c r="B37" s="298"/>
      <c r="C37" s="285"/>
      <c r="D37" s="285"/>
      <c r="E37" s="286"/>
      <c r="F37" s="302"/>
      <c r="G37" s="302"/>
      <c r="H37" s="302"/>
      <c r="I37" s="302"/>
      <c r="J37" s="1754"/>
      <c r="K37" s="3778"/>
      <c r="L37" s="3778"/>
      <c r="M37" s="1136"/>
      <c r="N37" s="3778"/>
      <c r="O37" s="3778"/>
      <c r="P37" s="1752"/>
      <c r="V37" s="1752"/>
    </row>
    <row r="38" spans="1:26" ht="16.5" customHeight="1" thickBot="1">
      <c r="A38" s="1129" t="s">
        <v>315</v>
      </c>
      <c r="B38" s="298"/>
      <c r="C38" s="285"/>
      <c r="D38" s="285"/>
      <c r="E38" s="286"/>
      <c r="F38" s="302"/>
      <c r="G38" s="302"/>
      <c r="H38" s="302"/>
      <c r="I38" s="302"/>
      <c r="J38" s="1754"/>
      <c r="K38" s="1137">
        <f>'数据-汇总表'!D3</f>
        <v>4000</v>
      </c>
      <c r="L38" s="1138">
        <f>'数据-汇总表'!E3</f>
        <v>10000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6" t="str">
        <f>MID(A44,3,LEN(A44)-2)</f>
        <v/>
      </c>
      <c r="L39" s="3817"/>
      <c r="M39" s="3817"/>
      <c r="N39" s="3818"/>
      <c r="O39" s="1247" t="str">
        <f>C44</f>
        <v>——</v>
      </c>
      <c r="P39" s="1752"/>
      <c r="V39" s="1752"/>
    </row>
    <row r="40" spans="1:26" ht="19.5" thickBot="1">
      <c r="A40" s="100" t="s">
        <v>810</v>
      </c>
      <c r="B40" s="302"/>
      <c r="C40" s="302"/>
      <c r="D40" s="302"/>
      <c r="E40" s="302"/>
      <c r="F40" s="302"/>
      <c r="G40" s="302"/>
      <c r="H40" s="302"/>
      <c r="I40" s="302"/>
      <c r="J40" s="1754"/>
      <c r="K40" s="3816" t="str">
        <f>MID(A45,3,LEN(A45)-2)</f>
        <v/>
      </c>
      <c r="L40" s="3817"/>
      <c r="M40" s="3817"/>
      <c r="N40" s="3818"/>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6" t="str">
        <f>MID(A46,3,LEN(A46)-2)</f>
        <v/>
      </c>
      <c r="L41" s="3817"/>
      <c r="M41" s="3817"/>
      <c r="N41" s="3818"/>
      <c r="O41" s="1247" t="str">
        <f>C46</f>
        <v>——</v>
      </c>
      <c r="P41" s="1752"/>
      <c r="V41" s="1752"/>
    </row>
    <row r="42" spans="1:26" ht="29.25">
      <c r="A42" s="3760" t="s">
        <v>1585</v>
      </c>
      <c r="B42" s="3761"/>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71" t="s">
        <v>2012</v>
      </c>
      <c r="B43" s="3772"/>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60" t="str">
        <f>IF(OR(项目基本情况!E8="抵押价格",项目基本情况!E8="已注销及未注销"),"3.抵押价格","——")</f>
        <v>——</v>
      </c>
      <c r="B44" s="3761"/>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66" t="str">
        <f>IF(项目基本情况!E8="已注销及未注销","4.抵押担保权已注销时的抵押价格",IF(项目基本情况!E8="已注销","3.抵押担保权已注销时的抵押价格","——"))</f>
        <v>——</v>
      </c>
      <c r="B45" s="3767"/>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2" t="str">
        <f>IF(项目基本情况!E9="抵押净值",IF(A45="——","4.抵押净值","5.抵押净值"),"——")</f>
        <v>——</v>
      </c>
      <c r="B46" s="376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0" t="s">
        <v>340</v>
      </c>
      <c r="B63" s="3811"/>
      <c r="C63" s="3812"/>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68" t="s">
        <v>344</v>
      </c>
      <c r="B64" s="3769"/>
      <c r="C64" s="3769"/>
      <c r="D64" s="3769"/>
      <c r="E64" s="3769"/>
      <c r="F64" s="3769"/>
      <c r="G64" s="3770"/>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4" t="s">
        <v>352</v>
      </c>
      <c r="B66" s="3765"/>
      <c r="C66" s="3765"/>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25" t="s">
        <v>351</v>
      </c>
      <c r="M66" s="3826"/>
      <c r="N66" s="2110"/>
      <c r="O66" s="2111"/>
      <c r="P66" s="2112"/>
      <c r="Q66" s="1752"/>
      <c r="R66" s="1752"/>
      <c r="S66" s="1752"/>
      <c r="T66" s="1752"/>
      <c r="U66" s="1752"/>
      <c r="V66" s="1752"/>
    </row>
    <row r="67" spans="1:22" ht="25.5" customHeight="1">
      <c r="A67" s="343" t="s">
        <v>355</v>
      </c>
      <c r="B67" s="3755" t="s">
        <v>356</v>
      </c>
      <c r="C67" s="3755"/>
      <c r="D67" s="344">
        <v>0</v>
      </c>
      <c r="E67" s="39" t="s">
        <v>357</v>
      </c>
      <c r="F67" s="60" t="s">
        <v>15</v>
      </c>
      <c r="G67" s="3813"/>
      <c r="H67" s="2749" t="s">
        <v>2257</v>
      </c>
      <c r="I67" s="2751"/>
      <c r="J67" s="1759"/>
      <c r="K67" s="1731">
        <v>2</v>
      </c>
      <c r="L67" s="3819" t="s">
        <v>354</v>
      </c>
      <c r="M67" s="3819"/>
      <c r="N67" s="1194">
        <f>'数据-取费表'!B2</f>
        <v>44992</v>
      </c>
      <c r="O67" s="1194"/>
      <c r="P67" s="1194"/>
      <c r="Q67" s="1752"/>
      <c r="R67" s="1752"/>
      <c r="S67" s="1752"/>
      <c r="T67" s="1752"/>
      <c r="U67" s="1752"/>
      <c r="V67" s="1752"/>
    </row>
    <row r="68" spans="1:22" ht="25.5" customHeight="1">
      <c r="A68" s="345"/>
      <c r="B68" s="3755" t="s">
        <v>359</v>
      </c>
      <c r="C68" s="3755"/>
      <c r="D68" s="346"/>
      <c r="E68" s="75"/>
      <c r="F68" s="347"/>
      <c r="G68" s="3814"/>
      <c r="H68" s="2750" t="s">
        <v>2258</v>
      </c>
      <c r="I68" s="2751"/>
      <c r="J68" s="1759"/>
      <c r="K68" s="1731">
        <v>3</v>
      </c>
      <c r="L68" s="3819" t="s">
        <v>358</v>
      </c>
      <c r="M68" s="3819"/>
      <c r="N68" s="1162" t="e">
        <f ca="1">C42</f>
        <v>#REF!</v>
      </c>
      <c r="O68" s="1162"/>
      <c r="P68" s="1162"/>
      <c r="Q68" s="1752"/>
      <c r="R68" s="1752"/>
      <c r="S68" s="1752"/>
      <c r="T68" s="1752"/>
      <c r="U68" s="1752"/>
      <c r="V68" s="1752"/>
    </row>
    <row r="69" spans="1:22" ht="23.45" customHeight="1">
      <c r="A69" s="348"/>
      <c r="B69" s="3755" t="s">
        <v>360</v>
      </c>
      <c r="C69" s="3755"/>
      <c r="D69" s="349"/>
      <c r="E69" s="71"/>
      <c r="F69" s="347"/>
      <c r="G69" s="3815"/>
      <c r="H69" s="2750" t="s">
        <v>2259</v>
      </c>
      <c r="I69" s="2751"/>
      <c r="J69" s="1759"/>
      <c r="K69" s="1163">
        <v>4</v>
      </c>
      <c r="L69" s="3829" t="s">
        <v>2157</v>
      </c>
      <c r="M69" s="3830"/>
      <c r="N69" s="1164" t="str">
        <f>C44</f>
        <v>——</v>
      </c>
      <c r="O69" s="1164"/>
      <c r="P69" s="1164"/>
      <c r="Q69" s="1752"/>
      <c r="R69" s="1752"/>
      <c r="S69" s="1752"/>
      <c r="T69" s="1752"/>
      <c r="U69" s="1752"/>
      <c r="V69" s="1752"/>
    </row>
    <row r="70" spans="1:22" ht="24" customHeight="1">
      <c r="A70" s="350" t="s">
        <v>361</v>
      </c>
      <c r="B70" s="3755" t="s">
        <v>362</v>
      </c>
      <c r="C70" s="3755"/>
      <c r="D70" s="349" t="e">
        <f ca="1">ROUND(D63*'数据-取费表'!B41/(1+'数据-取费表'!C42),0)</f>
        <v>#REF!</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6" t="s">
        <v>2286</v>
      </c>
      <c r="C71" s="3757"/>
      <c r="D71" s="349" t="e">
        <f ca="1">ROUND(D63*'数据-取费表'!B41/(1+'数据-取费表'!C42),0)</f>
        <v>#REF!</v>
      </c>
      <c r="E71" s="15" t="s">
        <v>363</v>
      </c>
      <c r="F71" s="351">
        <f>'数据-取费表'!B41</f>
        <v>5.6000000000000001E-2</v>
      </c>
      <c r="G71" s="352"/>
      <c r="H71" s="302"/>
      <c r="I71" s="1161"/>
      <c r="J71" s="1759"/>
      <c r="K71" s="2521" t="s">
        <v>364</v>
      </c>
      <c r="L71" s="3831" t="s">
        <v>365</v>
      </c>
      <c r="M71" s="3831"/>
      <c r="N71" s="2521" t="s">
        <v>366</v>
      </c>
      <c r="O71" s="2521" t="s">
        <v>367</v>
      </c>
      <c r="P71" s="2521" t="s">
        <v>368</v>
      </c>
      <c r="Q71" s="1752"/>
      <c r="R71" s="1752"/>
      <c r="S71" s="1752"/>
      <c r="T71" s="1752"/>
      <c r="U71" s="1752"/>
      <c r="V71" s="1752"/>
    </row>
    <row r="72" spans="1:22" ht="12" customHeight="1">
      <c r="A72" s="350" t="s">
        <v>371</v>
      </c>
      <c r="B72" s="3756" t="s">
        <v>2287</v>
      </c>
      <c r="C72" s="3757"/>
      <c r="D72" s="349" t="e">
        <f ca="1">C86</f>
        <v>#REF!</v>
      </c>
      <c r="E72" s="71" t="s">
        <v>372</v>
      </c>
      <c r="F72" s="351">
        <f>'数据-取费表'!B41</f>
        <v>5.6000000000000001E-2</v>
      </c>
      <c r="G72" s="352"/>
      <c r="H72" s="1167"/>
      <c r="I72" s="1161"/>
      <c r="J72" s="1759"/>
      <c r="K72" s="1731">
        <v>1</v>
      </c>
      <c r="L72" s="3806" t="s">
        <v>370</v>
      </c>
      <c r="M72" s="3806"/>
      <c r="N72" s="1165" t="b">
        <f>D66</f>
        <v>0</v>
      </c>
      <c r="O72" s="1636" t="str">
        <f>E66</f>
        <v>销售额×税（费）率</v>
      </c>
      <c r="P72" s="1166">
        <f>F66</f>
        <v>5.6000000000000001E-2</v>
      </c>
      <c r="Q72" s="1752"/>
      <c r="R72" s="1752"/>
      <c r="S72" s="1752"/>
      <c r="T72" s="1752"/>
      <c r="U72" s="1752"/>
      <c r="V72" s="1752"/>
    </row>
    <row r="73" spans="1:22" ht="24" customHeight="1">
      <c r="A73" s="3801" t="s">
        <v>374</v>
      </c>
      <c r="B73" s="3765"/>
      <c r="C73" s="3765"/>
      <c r="D73" s="353" t="e">
        <f ca="1">IF(H73="个人住宅",0,ROUND(D63*I73,0))</f>
        <v>#REF!</v>
      </c>
      <c r="E73" s="15" t="s">
        <v>375</v>
      </c>
      <c r="F73" s="351" t="str">
        <f>IF(H73="正常",I73,"免征")</f>
        <v>免征</v>
      </c>
      <c r="G73" s="352"/>
      <c r="H73" s="184"/>
      <c r="I73" s="351">
        <f>'数据-取费表'!B49</f>
        <v>5.0000000000000001E-4</v>
      </c>
      <c r="J73" s="1759"/>
      <c r="K73" s="1731">
        <v>2</v>
      </c>
      <c r="L73" s="3806" t="s">
        <v>373</v>
      </c>
      <c r="M73" s="3806"/>
      <c r="N73" s="1165" t="e">
        <f t="shared" ref="N73:P74" ca="1" si="0">D73</f>
        <v>#REF!</v>
      </c>
      <c r="O73" s="1636" t="str">
        <f t="shared" si="0"/>
        <v>销售额×税（费）率</v>
      </c>
      <c r="P73" s="1166" t="str">
        <f t="shared" si="0"/>
        <v>免征</v>
      </c>
      <c r="Q73" s="1752"/>
      <c r="R73" s="1752"/>
      <c r="S73" s="1752"/>
      <c r="T73" s="1752"/>
      <c r="U73" s="1752"/>
      <c r="V73" s="1752"/>
    </row>
    <row r="74" spans="1:22" ht="24.75">
      <c r="A74" s="3801" t="s">
        <v>377</v>
      </c>
      <c r="B74" s="3765"/>
      <c r="C74" s="3765"/>
      <c r="D74" s="353" t="e">
        <f ca="1">IF(H74="个人住宅",D75,D76)</f>
        <v>#REF!</v>
      </c>
      <c r="E74" s="15" t="s">
        <v>378</v>
      </c>
      <c r="F74" s="351" t="str">
        <f>IF(H74="正常",F76,"免征")</f>
        <v>免征</v>
      </c>
      <c r="G74" s="945" t="s">
        <v>379</v>
      </c>
      <c r="H74" s="354"/>
      <c r="I74" s="40"/>
      <c r="J74" s="1759"/>
      <c r="K74" s="1731">
        <v>3</v>
      </c>
      <c r="L74" s="3806" t="s">
        <v>376</v>
      </c>
      <c r="M74" s="3806"/>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53" t="s">
        <v>381</v>
      </c>
      <c r="C75" s="3789"/>
      <c r="D75" s="355">
        <v>0</v>
      </c>
      <c r="E75" s="39" t="s">
        <v>382</v>
      </c>
      <c r="F75" s="356"/>
      <c r="G75" s="352"/>
      <c r="H75" s="40"/>
      <c r="I75" s="40"/>
      <c r="J75" s="1759"/>
      <c r="K75" s="2515">
        <f>IF(H77="非个人房产","",4)</f>
        <v>4</v>
      </c>
      <c r="L75" s="3806" t="str">
        <f>IF(H77="非个人房产","——","个人所得税")</f>
        <v>个人所得税</v>
      </c>
      <c r="M75" s="3806"/>
      <c r="N75" s="1169">
        <f>D77</f>
        <v>0</v>
      </c>
      <c r="O75" s="1637" t="str">
        <f>E77</f>
        <v>差额计税</v>
      </c>
      <c r="P75" s="1170">
        <f>F77</f>
        <v>0.01</v>
      </c>
      <c r="Q75" s="1752"/>
      <c r="R75" s="1752"/>
      <c r="S75" s="1752"/>
      <c r="T75" s="1752"/>
      <c r="U75" s="1752"/>
      <c r="V75" s="1752"/>
    </row>
    <row r="76" spans="1:22" ht="24.75">
      <c r="A76" s="350" t="s">
        <v>361</v>
      </c>
      <c r="B76" s="3753" t="s">
        <v>384</v>
      </c>
      <c r="C76" s="3754"/>
      <c r="D76" s="353" t="e">
        <f ca="1">IF(H76="转让取得",C99,C115)</f>
        <v>#REF!</v>
      </c>
      <c r="E76" s="15" t="s">
        <v>385</v>
      </c>
      <c r="F76" s="51" t="s">
        <v>15</v>
      </c>
      <c r="G76" s="352"/>
      <c r="H76" s="354"/>
      <c r="I76" s="40"/>
      <c r="J76" s="1759"/>
      <c r="K76" s="2515" t="str">
        <f>IF(项目基本情况!K6="上海银行",IF(K75="",4,K75+1),"")</f>
        <v/>
      </c>
      <c r="L76" s="3821" t="str">
        <f>IF(项目基本情况!K6="上海银行","其他处置费用","")</f>
        <v/>
      </c>
      <c r="M76" s="3822"/>
      <c r="N76" s="1165" t="str">
        <f>IF(项目基本情况!K6="上海银行",N89,"")</f>
        <v/>
      </c>
      <c r="O76" s="3823" t="str">
        <f>IF(项目基本情况!K6="上海银行","包含处置中涉及的律师、诉讼、拍卖、评估等费用","")</f>
        <v/>
      </c>
      <c r="P76" s="3824"/>
      <c r="Q76" s="1752"/>
      <c r="R76" s="1752"/>
      <c r="S76" s="1752"/>
      <c r="T76" s="1752"/>
      <c r="U76" s="1752"/>
      <c r="V76" s="1752"/>
    </row>
    <row r="77" spans="1:22" ht="24.75" thickBot="1">
      <c r="A77" s="3808" t="s">
        <v>387</v>
      </c>
      <c r="B77" s="3809"/>
      <c r="C77" s="3809"/>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07">
        <f>IF(AND(K75="",K76=""),4,IF(项目基本情况!K6="上海银行",K76+1,K75+1))</f>
        <v>5</v>
      </c>
      <c r="L77" s="3806"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07"/>
      <c r="L78" s="3806"/>
      <c r="M78" s="2520" t="s">
        <v>386</v>
      </c>
      <c r="N78" s="1171"/>
      <c r="O78" s="1172" t="str">
        <f ca="1">NUMBERSTRING(INT(O77*10000),2)&amp;"元整"</f>
        <v>零元整</v>
      </c>
      <c r="P78" s="1173"/>
      <c r="Q78" s="1752"/>
      <c r="R78" s="1752"/>
      <c r="S78" s="1752"/>
      <c r="T78" s="1752"/>
      <c r="U78" s="1752"/>
      <c r="V78" s="1752"/>
    </row>
    <row r="79" spans="1:22" ht="13.5" thickBot="1">
      <c r="A79" s="3773" t="s">
        <v>388</v>
      </c>
      <c r="B79" s="3773"/>
      <c r="C79" s="3773"/>
      <c r="D79" s="3773"/>
      <c r="E79" s="3773"/>
      <c r="F79" s="40"/>
      <c r="G79" s="40"/>
      <c r="H79" s="965"/>
      <c r="I79" s="302"/>
      <c r="J79" s="1759"/>
      <c r="K79" s="3827">
        <f>K77+1</f>
        <v>6</v>
      </c>
      <c r="L79" s="3806" t="s">
        <v>2159</v>
      </c>
      <c r="M79" s="2520" t="s">
        <v>383</v>
      </c>
      <c r="N79" s="1171"/>
      <c r="O79" s="1172" t="e">
        <f ca="1">N69-O77</f>
        <v>#VALUE!</v>
      </c>
      <c r="P79" s="1173"/>
      <c r="Q79" s="1752"/>
      <c r="R79" s="1752"/>
      <c r="S79" s="1752"/>
      <c r="T79" s="1752"/>
      <c r="U79" s="1752"/>
      <c r="V79" s="1752"/>
    </row>
    <row r="80" spans="1:22" ht="12.75">
      <c r="A80" s="3774" t="s">
        <v>389</v>
      </c>
      <c r="B80" s="3775"/>
      <c r="C80" s="956"/>
      <c r="D80" s="956" t="s">
        <v>390</v>
      </c>
      <c r="E80" s="357" t="s">
        <v>391</v>
      </c>
      <c r="F80" s="40"/>
      <c r="G80" s="40"/>
      <c r="H80" s="965"/>
      <c r="I80" s="302"/>
      <c r="J80" s="1752"/>
      <c r="K80" s="3828"/>
      <c r="L80" s="3806"/>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04" t="s">
        <v>2160</v>
      </c>
      <c r="M81" s="3805"/>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0"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0"/>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20"/>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5.6000000000000001E-2</v>
      </c>
      <c r="E86" s="377"/>
      <c r="F86" s="40"/>
      <c r="G86" s="40"/>
      <c r="H86" s="965"/>
      <c r="I86" s="302"/>
      <c r="J86" s="1752"/>
      <c r="K86" s="3820"/>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0"/>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799" t="s">
        <v>398</v>
      </c>
      <c r="B88" s="3800"/>
      <c r="C88" s="3800"/>
      <c r="D88" s="3800"/>
      <c r="E88" s="3800"/>
      <c r="F88" s="3800"/>
      <c r="G88" s="3800"/>
      <c r="H88" s="3800"/>
      <c r="I88" s="1184"/>
      <c r="J88" s="1760"/>
      <c r="K88" s="3820"/>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4" t="s">
        <v>389</v>
      </c>
      <c r="B89" s="3775"/>
      <c r="C89" s="956"/>
      <c r="D89" s="956" t="s">
        <v>390</v>
      </c>
      <c r="E89" s="378" t="s">
        <v>399</v>
      </c>
      <c r="F89" s="379"/>
      <c r="G89" s="379"/>
      <c r="H89" s="380"/>
      <c r="I89" s="1185"/>
      <c r="J89" s="1762"/>
      <c r="K89" s="3820"/>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6" t="s">
        <v>407</v>
      </c>
      <c r="F94" s="3755"/>
      <c r="G94" s="3755"/>
      <c r="H94" s="3798"/>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6.000000000000001E-3</v>
      </c>
      <c r="E96" s="3790" t="s">
        <v>1780</v>
      </c>
      <c r="F96" s="3791"/>
      <c r="G96" s="3791"/>
      <c r="H96" s="379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799" t="s">
        <v>414</v>
      </c>
      <c r="B101" s="3800"/>
      <c r="C101" s="3800"/>
      <c r="D101" s="3800"/>
      <c r="E101" s="3800"/>
      <c r="F101" s="3800"/>
      <c r="G101" s="3800"/>
      <c r="H101" s="3800"/>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4" t="s">
        <v>389</v>
      </c>
      <c r="B102" s="3775"/>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0" t="s">
        <v>2252</v>
      </c>
      <c r="H108" s="3751"/>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3" t="s">
        <v>422</v>
      </c>
      <c r="F109" s="3791"/>
      <c r="G109" s="379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3" t="s">
        <v>424</v>
      </c>
      <c r="F110" s="3791"/>
      <c r="G110" s="3791"/>
      <c r="H110" s="3792"/>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6.000000000000001E-3</v>
      </c>
      <c r="E111" s="3790" t="s">
        <v>1780</v>
      </c>
      <c r="F111" s="3791"/>
      <c r="G111" s="3791"/>
      <c r="H111" s="379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3" t="s">
        <v>1799</v>
      </c>
      <c r="F112" s="3791"/>
      <c r="G112" s="3791"/>
      <c r="H112" s="379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-184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-184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-460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180</v>
      </c>
      <c r="D16" s="2324">
        <f ca="1">IF(B1="",'数据-汇总表'!E3,INDIRECT("'数据-取费表'!K"&amp;$K$1)+INDIRECT("'数据-取费表'!S"&amp;$K$1))</f>
        <v>10000</v>
      </c>
      <c r="E16" s="51">
        <f>'数据-取费表'!B35</f>
        <v>180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180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10000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200</v>
      </c>
      <c r="D22" s="2324">
        <f ca="1">IF(B1="",'数据-汇总表'!E6,IF(INDIRECT("'数据-取费表'!c"&amp;$K$1)="住宅",INDIRECT("'数据-取费表'!s"&amp;$K$1),INDIRECT("'数据-取费表'!k"&amp;$K$1)+INDIRECT("'数据-取费表'!s"&amp;$K$1)))</f>
        <v>10000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4</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184</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184</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28</v>
      </c>
      <c r="D33" s="453">
        <f ca="1">C34</f>
        <v>0.15</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28</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-184</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4AD2-A30D-44EC-834F-FC15D1B5396C}">
  <dimension ref="A1:H21"/>
  <sheetViews>
    <sheetView tabSelected="1" workbookViewId="0">
      <selection sqref="A1:H10"/>
    </sheetView>
  </sheetViews>
  <sheetFormatPr defaultRowHeight="13.5"/>
  <cols>
    <col min="3" max="3" width="12.75" customWidth="1"/>
    <col min="6" max="7" width="12.5" customWidth="1"/>
    <col min="8" max="8" width="11.625" customWidth="1"/>
  </cols>
  <sheetData>
    <row r="1" spans="1:8">
      <c r="A1" s="3992" t="s">
        <v>3307</v>
      </c>
      <c r="B1" s="3993"/>
      <c r="C1" s="3993"/>
      <c r="D1" s="3993"/>
      <c r="E1" s="3993"/>
      <c r="F1" s="3993"/>
      <c r="G1" s="3993"/>
      <c r="H1" s="3993"/>
    </row>
    <row r="2" spans="1:8">
      <c r="A2" s="3976" t="s">
        <v>3274</v>
      </c>
      <c r="B2" s="3977" t="s">
        <v>3275</v>
      </c>
      <c r="C2" s="3997" t="s">
        <v>3276</v>
      </c>
      <c r="D2" s="3998"/>
      <c r="E2" s="3976" t="s">
        <v>3277</v>
      </c>
      <c r="F2" s="3981" t="s">
        <v>3278</v>
      </c>
      <c r="G2" s="3982"/>
      <c r="H2" s="3976"/>
    </row>
    <row r="3" spans="1:8">
      <c r="A3" s="3976">
        <f>基准地价!B3</f>
        <v>22022</v>
      </c>
      <c r="B3" s="3977">
        <f ca="1">'剩余法-现房'!B3</f>
        <v>20150</v>
      </c>
      <c r="C3" s="3978">
        <f ca="1">ROUND(A5*(1-D3),0)</f>
        <v>16869</v>
      </c>
      <c r="D3" s="3991">
        <v>0.2</v>
      </c>
      <c r="E3" s="3976">
        <v>0.7</v>
      </c>
      <c r="F3" s="3977" t="s">
        <v>3308</v>
      </c>
      <c r="G3" s="3977" t="s">
        <v>3309</v>
      </c>
      <c r="H3" s="3977" t="s">
        <v>3279</v>
      </c>
    </row>
    <row r="4" spans="1:8">
      <c r="A4" s="3976">
        <v>0.5</v>
      </c>
      <c r="B4" s="3977">
        <f>1-A4</f>
        <v>0.5</v>
      </c>
      <c r="C4" s="3976" t="s">
        <v>3280</v>
      </c>
      <c r="D4" s="3976"/>
      <c r="E4" s="3976"/>
      <c r="F4" s="3977">
        <f ca="1">ROUND(C3*E3+C5*E5,0)</f>
        <v>13168</v>
      </c>
      <c r="G4" s="3995">
        <f ca="1">ROUND(F4*2.5,0)</f>
        <v>32920</v>
      </c>
      <c r="H4" s="3996">
        <f ca="1">ROUND(G4/15,0)</f>
        <v>2195</v>
      </c>
    </row>
    <row r="5" spans="1:8">
      <c r="A5" s="3981">
        <f ca="1">ROUND(A3*A4+B3*B4,0)</f>
        <v>21086</v>
      </c>
      <c r="B5" s="3982"/>
      <c r="C5" s="3978">
        <f>'成本逼近法（划拨）'!B3</f>
        <v>4531</v>
      </c>
      <c r="D5" s="3976"/>
      <c r="E5" s="3976">
        <f>1-E3</f>
        <v>0.30000000000000004</v>
      </c>
      <c r="F5" s="3976"/>
      <c r="G5" s="3976"/>
      <c r="H5" s="3976"/>
    </row>
    <row r="6" spans="1:8">
      <c r="A6" s="3992" t="s">
        <v>3310</v>
      </c>
      <c r="B6" s="3993"/>
      <c r="C6" s="3993"/>
      <c r="D6" s="3993"/>
      <c r="E6" s="3993"/>
      <c r="F6" s="3993"/>
      <c r="G6" s="3993"/>
      <c r="H6" s="3993"/>
    </row>
    <row r="7" spans="1:8">
      <c r="A7" s="3976"/>
      <c r="B7" s="3977"/>
      <c r="C7" s="3999" t="s">
        <v>3274</v>
      </c>
      <c r="D7" s="4000"/>
      <c r="E7" s="3976" t="s">
        <v>3277</v>
      </c>
      <c r="F7" s="3981" t="s">
        <v>3278</v>
      </c>
      <c r="G7" s="3982"/>
      <c r="H7" s="3976"/>
    </row>
    <row r="8" spans="1:8">
      <c r="A8" s="3976"/>
      <c r="B8" s="3977"/>
      <c r="C8" s="3978">
        <f>基准地价!B3</f>
        <v>22022</v>
      </c>
      <c r="D8" s="3991"/>
      <c r="E8" s="3976">
        <v>0.7</v>
      </c>
      <c r="F8" s="3977" t="s">
        <v>3308</v>
      </c>
      <c r="G8" s="3977" t="s">
        <v>3309</v>
      </c>
      <c r="H8" s="3977" t="s">
        <v>3279</v>
      </c>
    </row>
    <row r="9" spans="1:8">
      <c r="A9" s="3976"/>
      <c r="B9" s="3977"/>
      <c r="C9" s="3976" t="s">
        <v>3280</v>
      </c>
      <c r="D9" s="3976"/>
      <c r="E9" s="3976"/>
      <c r="F9" s="3977">
        <f>ROUND(C8*E8+C10*E10,0)</f>
        <v>16926</v>
      </c>
      <c r="G9" s="3995">
        <f>ROUND(F9*2.5,0)</f>
        <v>42315</v>
      </c>
      <c r="H9" s="3996">
        <f>ROUND(G9/15,0)</f>
        <v>2821</v>
      </c>
    </row>
    <row r="10" spans="1:8">
      <c r="A10" s="3981"/>
      <c r="B10" s="3982"/>
      <c r="C10" s="3978">
        <f>'成本逼近法（出让）'!B3</f>
        <v>5035</v>
      </c>
      <c r="D10" s="3976"/>
      <c r="E10" s="3976">
        <f>1-E8</f>
        <v>0.30000000000000004</v>
      </c>
      <c r="F10" s="3976"/>
      <c r="G10" s="3976"/>
      <c r="H10" s="3976"/>
    </row>
    <row r="15" spans="1:8" ht="14.25" thickBot="1"/>
    <row r="16" spans="1:8">
      <c r="A16" s="3983" t="s">
        <v>3281</v>
      </c>
      <c r="B16" s="3984" t="s">
        <v>3282</v>
      </c>
      <c r="C16" s="3984" t="s">
        <v>3283</v>
      </c>
      <c r="D16" s="3984" t="s">
        <v>3284</v>
      </c>
      <c r="E16" s="3985" t="s">
        <v>3285</v>
      </c>
      <c r="F16" s="3985"/>
      <c r="G16" s="3984" t="s">
        <v>3286</v>
      </c>
      <c r="H16" s="3984" t="s">
        <v>3287</v>
      </c>
    </row>
    <row r="17" spans="1:8" ht="26.25" thickBot="1">
      <c r="A17" s="3986"/>
      <c r="B17" s="3987"/>
      <c r="C17" s="3987"/>
      <c r="D17" s="3987"/>
      <c r="E17" s="3988" t="s">
        <v>3288</v>
      </c>
      <c r="F17" s="3988"/>
      <c r="G17" s="3987"/>
      <c r="H17" s="3987"/>
    </row>
    <row r="18" spans="1:8" ht="14.25" thickBot="1">
      <c r="A18" s="3989" t="s">
        <v>3289</v>
      </c>
      <c r="B18" s="3990" t="s">
        <v>3290</v>
      </c>
      <c r="C18" s="3990" t="s">
        <v>3290</v>
      </c>
      <c r="D18" s="3990" t="s">
        <v>3291</v>
      </c>
      <c r="E18" s="3990" t="s">
        <v>3292</v>
      </c>
      <c r="F18" s="3990"/>
      <c r="G18" s="3990" t="s">
        <v>3292</v>
      </c>
      <c r="H18" s="3990" t="s">
        <v>3292</v>
      </c>
    </row>
    <row r="19" spans="1:8" ht="14.25" thickBot="1">
      <c r="A19" s="3989" t="s">
        <v>3293</v>
      </c>
      <c r="B19" s="3990" t="s">
        <v>3294</v>
      </c>
      <c r="C19" s="3990" t="s">
        <v>3294</v>
      </c>
      <c r="D19" s="3990" t="s">
        <v>3295</v>
      </c>
      <c r="E19" s="3990" t="s">
        <v>3296</v>
      </c>
      <c r="F19" s="3990"/>
      <c r="G19" s="3990" t="s">
        <v>3297</v>
      </c>
      <c r="H19" s="3990" t="s">
        <v>3292</v>
      </c>
    </row>
    <row r="20" spans="1:8" ht="14.25" thickBot="1">
      <c r="A20" s="3989" t="s">
        <v>3298</v>
      </c>
      <c r="B20" s="3990" t="s">
        <v>3299</v>
      </c>
      <c r="C20" s="3990" t="s">
        <v>3299</v>
      </c>
      <c r="D20" s="3990" t="s">
        <v>3300</v>
      </c>
      <c r="E20" s="3990" t="s">
        <v>3301</v>
      </c>
      <c r="F20" s="3990"/>
      <c r="G20" s="3990" t="s">
        <v>3302</v>
      </c>
      <c r="H20" s="3990" t="s">
        <v>3292</v>
      </c>
    </row>
    <row r="21" spans="1:8" ht="14.25" thickBot="1">
      <c r="A21" s="3989" t="s">
        <v>3303</v>
      </c>
      <c r="B21" s="3990" t="s">
        <v>3304</v>
      </c>
      <c r="C21" s="3990" t="s">
        <v>3304</v>
      </c>
      <c r="D21" s="3990" t="s">
        <v>3305</v>
      </c>
      <c r="E21" s="3990" t="s">
        <v>3306</v>
      </c>
      <c r="F21" s="3990"/>
      <c r="G21" s="3990" t="s">
        <v>3292</v>
      </c>
      <c r="H21" s="3990" t="s">
        <v>3292</v>
      </c>
    </row>
  </sheetData>
  <mergeCells count="13">
    <mergeCell ref="H16:H17"/>
    <mergeCell ref="A1:H1"/>
    <mergeCell ref="F2:G2"/>
    <mergeCell ref="A6:H6"/>
    <mergeCell ref="F7:G7"/>
    <mergeCell ref="A10:B10"/>
    <mergeCell ref="C2:D2"/>
    <mergeCell ref="A5:B5"/>
    <mergeCell ref="A16:A17"/>
    <mergeCell ref="B16:B17"/>
    <mergeCell ref="C16:C17"/>
    <mergeCell ref="D16:D17"/>
    <mergeCell ref="G16:G17"/>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1" t="str">
        <f>项目基本情况!B1</f>
        <v>北京市出让国有建设用地使用权市场价格预评估</v>
      </c>
      <c r="C37" s="3661"/>
      <c r="D37" s="3661"/>
      <c r="E37" s="3661"/>
      <c r="F37" s="3661"/>
      <c r="G37" s="3661"/>
      <c r="H37" s="3661"/>
      <c r="I37" s="3661"/>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26" sqref="F26"/>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t="s">
        <v>1212</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f ca="1">C27</f>
        <v>20149.531157726909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20150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50374</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3358</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 ca="1">SUM(C10:K10)</f>
        <v>27840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5" t="s">
        <v>1212</v>
      </c>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10000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f ca="1">不动产收益法!B2</f>
        <v>27840</v>
      </c>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3000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90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180</v>
      </c>
      <c r="D16" s="437">
        <f ca="1">IF(B1="",'数据-汇总表'!E3,INDIRECT("'数据-取费表'!K"&amp;$K$1)+INDIRECT("'数据-取费表'!S"&amp;$K$1))</f>
        <v>10000</v>
      </c>
      <c r="E16" s="51">
        <f>'数据-取费表'!B35</f>
        <v>180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45</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3315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66</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79</v>
      </c>
      <c r="D20" s="448">
        <f ca="1">ROUND(((1+F20)^'数据-取费表'!B20)-1,4)</f>
        <v>4.7500000000000001E-2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507</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0.75</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2975</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2" t="s">
        <v>1394</v>
      </c>
      <c r="B24" s="3833"/>
      <c r="C24" s="3039">
        <f ca="1">ROUND(C6*F24/(1+'数据-取费表'!B42),0)</f>
        <v>0</v>
      </c>
      <c r="D24" s="3040"/>
      <c r="E24" s="3041"/>
      <c r="F24" s="3979">
        <v>0</v>
      </c>
      <c r="G24" s="3042"/>
      <c r="H24" s="3042"/>
      <c r="I24" s="3042"/>
      <c r="J24" s="3042"/>
      <c r="K24" s="3043"/>
      <c r="L24" s="2945"/>
      <c r="M24" s="2945"/>
      <c r="N24" s="2945"/>
      <c r="O24" s="2945"/>
      <c r="P24" s="2945"/>
      <c r="Q24" s="2945"/>
      <c r="R24" s="2945"/>
      <c r="S24" s="2945"/>
      <c r="T24" s="2945"/>
      <c r="U24" s="2945"/>
      <c r="V24" s="2945"/>
      <c r="W24" s="2945"/>
      <c r="X24" s="2945"/>
      <c r="Y24" s="2945"/>
      <c r="Z24" s="2945"/>
    </row>
    <row r="25" spans="1:26" s="1844" customFormat="1" ht="13.5" customHeight="1" thickBot="1">
      <c r="A25" s="3832" t="s">
        <v>2296</v>
      </c>
      <c r="B25" s="3833"/>
      <c r="C25" s="3039">
        <f ca="1">ROUND(C6*F25,0)</f>
        <v>0</v>
      </c>
      <c r="D25" s="3040"/>
      <c r="E25" s="3041"/>
      <c r="F25" s="3980">
        <v>0</v>
      </c>
      <c r="G25" s="3044"/>
      <c r="H25" s="3042"/>
      <c r="I25" s="3042"/>
      <c r="J25" s="3042"/>
      <c r="K25" s="3043"/>
      <c r="L25" s="2945"/>
      <c r="M25" s="2945"/>
      <c r="N25" s="2945"/>
      <c r="O25" s="2945"/>
      <c r="P25" s="2945"/>
      <c r="Q25" s="2945"/>
      <c r="R25" s="2945"/>
      <c r="S25" s="2945"/>
      <c r="T25" s="2945"/>
      <c r="U25" s="2945"/>
      <c r="V25" s="2945"/>
      <c r="W25" s="2945"/>
      <c r="X25" s="2945"/>
      <c r="Y25" s="2945"/>
      <c r="Z25" s="2945"/>
    </row>
    <row r="26" spans="1:26" s="1849" customFormat="1" ht="13.5" customHeight="1" thickBot="1">
      <c r="A26" s="3832" t="s">
        <v>2297</v>
      </c>
      <c r="B26" s="3833"/>
      <c r="C26" s="3049"/>
      <c r="D26" s="3050"/>
      <c r="E26" s="3050"/>
      <c r="F26" s="3051">
        <f>'数据-取费表'!B48+'数据-取费表'!B49</f>
        <v>3.0499999999999999E-2</v>
      </c>
      <c r="G26" s="3052"/>
      <c r="H26" s="3052"/>
      <c r="I26" s="3052"/>
      <c r="J26" s="3053"/>
      <c r="K26" s="3054"/>
      <c r="L26" s="2950"/>
      <c r="M26" s="2950"/>
      <c r="N26" s="2950"/>
      <c r="O26" s="2950"/>
      <c r="P26" s="2950"/>
      <c r="Q26" s="2950"/>
      <c r="R26" s="2950"/>
      <c r="S26" s="2950"/>
      <c r="T26" s="2950"/>
      <c r="U26" s="2950"/>
      <c r="V26" s="2950"/>
      <c r="W26" s="2950"/>
      <c r="X26" s="2950"/>
      <c r="Y26" s="2950"/>
      <c r="Z26" s="2950"/>
    </row>
    <row r="27" spans="1:26" s="3030" customFormat="1" ht="13.5" customHeight="1" thickBot="1">
      <c r="A27" s="3834" t="s">
        <v>2295</v>
      </c>
      <c r="B27" s="3835"/>
      <c r="C27" s="3045">
        <f ca="1">(C6-C23-C24-C25)/((1+F26)*(1+D20+F21))</f>
        <v>20149.531157726909</v>
      </c>
      <c r="D27" s="3046"/>
      <c r="E27" s="3046"/>
      <c r="F27" s="3046"/>
      <c r="G27" s="3047" t="s">
        <v>2231</v>
      </c>
      <c r="H27" s="3046"/>
      <c r="I27" s="3046"/>
      <c r="J27" s="3046"/>
      <c r="K27" s="3048"/>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algorithmName="SHA-512" hashValue="q7lBwX9bFDXRQ1O4GWG0rI+xQQADhgMfSJ1c5304mvy6up8Li3r/+qfhvtPM85dat0vlk5EccPvgKPVC2sjEXA==" saltValue="ejbQ/kPMJMBV7TVUdzjcMA==" spinCount="100000"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3" t="s">
        <v>471</v>
      </c>
      <c r="D6" s="3844"/>
      <c r="E6" s="3843" t="s">
        <v>472</v>
      </c>
      <c r="F6" s="3844"/>
      <c r="G6" s="3843" t="s">
        <v>473</v>
      </c>
      <c r="H6" s="3844"/>
      <c r="I6" s="3843" t="s">
        <v>474</v>
      </c>
      <c r="J6" s="3844"/>
      <c r="K6" s="484" t="s">
        <v>475</v>
      </c>
      <c r="L6" s="1856"/>
      <c r="M6" s="1855"/>
      <c r="N6" s="1855"/>
      <c r="O6" s="1857"/>
      <c r="P6" s="3845" t="s">
        <v>476</v>
      </c>
      <c r="Q6" s="3846"/>
      <c r="R6" s="3851" t="s">
        <v>472</v>
      </c>
      <c r="S6" s="3852"/>
      <c r="T6" s="3851" t="s">
        <v>473</v>
      </c>
      <c r="U6" s="3852"/>
      <c r="V6" s="3838" t="s">
        <v>474</v>
      </c>
      <c r="W6" s="3838"/>
      <c r="X6" s="1380"/>
      <c r="Y6" s="3851" t="s">
        <v>476</v>
      </c>
      <c r="Z6" s="3852"/>
      <c r="AA6" s="3840" t="s">
        <v>472</v>
      </c>
      <c r="AB6" s="3841" t="s">
        <v>473</v>
      </c>
      <c r="AC6" s="3840" t="s">
        <v>474</v>
      </c>
    </row>
    <row r="7" spans="1:30" ht="20.25">
      <c r="A7" s="485"/>
      <c r="B7" s="486"/>
      <c r="C7" s="3859" t="s">
        <v>2192</v>
      </c>
      <c r="D7" s="3860"/>
      <c r="E7" s="3859" t="s">
        <v>2193</v>
      </c>
      <c r="F7" s="3860"/>
      <c r="G7" s="3859" t="s">
        <v>2194</v>
      </c>
      <c r="H7" s="3860"/>
      <c r="I7" s="3859" t="s">
        <v>2195</v>
      </c>
      <c r="J7" s="3860"/>
      <c r="K7" s="484"/>
      <c r="L7" s="1856"/>
      <c r="M7" s="1855"/>
      <c r="N7" s="1855"/>
      <c r="O7" s="1857"/>
      <c r="P7" s="3847"/>
      <c r="Q7" s="3848"/>
      <c r="R7" s="3853"/>
      <c r="S7" s="3854"/>
      <c r="T7" s="3853"/>
      <c r="U7" s="3854"/>
      <c r="V7" s="3838"/>
      <c r="W7" s="3838"/>
      <c r="X7" s="1380"/>
      <c r="Y7" s="3853"/>
      <c r="Z7" s="3854"/>
      <c r="AA7" s="3841"/>
      <c r="AB7" s="3841"/>
      <c r="AC7" s="3841"/>
    </row>
    <row r="8" spans="1:30" ht="21" thickBot="1">
      <c r="A8" s="485"/>
      <c r="B8" s="486"/>
      <c r="C8" s="3861" t="s">
        <v>2196</v>
      </c>
      <c r="D8" s="3862"/>
      <c r="E8" s="3861" t="s">
        <v>2196</v>
      </c>
      <c r="F8" s="3862"/>
      <c r="G8" s="3857" t="s">
        <v>2196</v>
      </c>
      <c r="H8" s="3858"/>
      <c r="I8" s="3857" t="s">
        <v>2196</v>
      </c>
      <c r="J8" s="3858"/>
      <c r="K8" s="484" t="s">
        <v>477</v>
      </c>
      <c r="L8" s="1856"/>
      <c r="M8" s="1855"/>
      <c r="N8" s="1855"/>
      <c r="O8" s="1857"/>
      <c r="P8" s="3849"/>
      <c r="Q8" s="3850"/>
      <c r="R8" s="3853"/>
      <c r="S8" s="3854"/>
      <c r="T8" s="3855"/>
      <c r="U8" s="3856"/>
      <c r="V8" s="3838"/>
      <c r="W8" s="3838"/>
      <c r="X8" s="1380"/>
      <c r="Y8" s="3855"/>
      <c r="Z8" s="3856"/>
      <c r="AA8" s="3842"/>
      <c r="AB8" s="3842"/>
      <c r="AC8" s="3842"/>
    </row>
    <row r="9" spans="1:30" s="1118" customFormat="1" ht="21" thickBot="1">
      <c r="A9" s="2392"/>
      <c r="B9" s="2399" t="s">
        <v>478</v>
      </c>
      <c r="C9" s="2391">
        <f>'数据-取费表'!B2</f>
        <v>44992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67" t="s">
        <v>479</v>
      </c>
      <c r="Q9" s="3869"/>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37" t="s">
        <v>484</v>
      </c>
      <c r="Q11" s="1050" t="str">
        <f t="shared" ref="Q11:Q17" si="6">B11</f>
        <v>用途</v>
      </c>
      <c r="R11" s="1381" t="s">
        <v>5</v>
      </c>
      <c r="S11" s="1382">
        <f t="shared" si="0"/>
        <v>100</v>
      </c>
      <c r="T11" s="1381" t="s">
        <v>5</v>
      </c>
      <c r="U11" s="1382">
        <f t="shared" si="1"/>
        <v>100</v>
      </c>
      <c r="V11" s="1381" t="s">
        <v>5</v>
      </c>
      <c r="W11" s="1382">
        <f t="shared" si="2"/>
        <v>100</v>
      </c>
      <c r="X11" s="1383"/>
      <c r="Y11" s="3781"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37"/>
      <c r="Q12" s="1050" t="str">
        <f t="shared" si="6"/>
        <v>土地使用年限（年）</v>
      </c>
      <c r="R12" s="1381" t="s">
        <v>5</v>
      </c>
      <c r="S12" s="1382">
        <f t="shared" si="0"/>
        <v>100</v>
      </c>
      <c r="T12" s="1381" t="s">
        <v>5</v>
      </c>
      <c r="U12" s="1382">
        <f t="shared" si="1"/>
        <v>100</v>
      </c>
      <c r="V12" s="1381" t="s">
        <v>5</v>
      </c>
      <c r="W12" s="1382">
        <f t="shared" si="2"/>
        <v>100</v>
      </c>
      <c r="X12" s="1383"/>
      <c r="Y12" s="3781"/>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37"/>
      <c r="Q13" s="1050" t="str">
        <f t="shared" si="6"/>
        <v>容积率</v>
      </c>
      <c r="R13" s="1381" t="s">
        <v>5</v>
      </c>
      <c r="S13" s="1382" t="e">
        <f t="shared" si="0"/>
        <v>#N/A</v>
      </c>
      <c r="T13" s="1381" t="s">
        <v>5</v>
      </c>
      <c r="U13" s="1382" t="e">
        <f t="shared" si="1"/>
        <v>#N/A</v>
      </c>
      <c r="V13" s="1381" t="s">
        <v>5</v>
      </c>
      <c r="W13" s="1382" t="e">
        <f t="shared" si="2"/>
        <v>#N/A</v>
      </c>
      <c r="X13" s="1383"/>
      <c r="Y13" s="3781"/>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37"/>
      <c r="Q14" s="1050" t="str">
        <f t="shared" si="6"/>
        <v>配建</v>
      </c>
      <c r="R14" s="1381" t="s">
        <v>5</v>
      </c>
      <c r="S14" s="1382">
        <f t="shared" si="0"/>
        <v>100</v>
      </c>
      <c r="T14" s="1381" t="s">
        <v>5</v>
      </c>
      <c r="U14" s="1382">
        <f t="shared" si="1"/>
        <v>100</v>
      </c>
      <c r="V14" s="1381" t="s">
        <v>5</v>
      </c>
      <c r="W14" s="1382">
        <f t="shared" si="2"/>
        <v>100</v>
      </c>
      <c r="X14" s="1383"/>
      <c r="Y14" s="3781"/>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37"/>
      <c r="Q15" s="1050">
        <f t="shared" si="6"/>
        <v>111</v>
      </c>
      <c r="R15" s="1381" t="s">
        <v>5</v>
      </c>
      <c r="S15" s="1382">
        <f t="shared" si="0"/>
        <v>100</v>
      </c>
      <c r="T15" s="1381" t="s">
        <v>5</v>
      </c>
      <c r="U15" s="1382">
        <f t="shared" si="1"/>
        <v>100</v>
      </c>
      <c r="V15" s="1381" t="s">
        <v>5</v>
      </c>
      <c r="W15" s="1382">
        <f t="shared" si="2"/>
        <v>100</v>
      </c>
      <c r="X15" s="1383"/>
      <c r="Y15" s="3781"/>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37"/>
      <c r="Q16" s="1050">
        <f t="shared" si="6"/>
        <v>111</v>
      </c>
      <c r="R16" s="1381" t="s">
        <v>5</v>
      </c>
      <c r="S16" s="1382">
        <f t="shared" si="0"/>
        <v>100</v>
      </c>
      <c r="T16" s="1381" t="s">
        <v>5</v>
      </c>
      <c r="U16" s="1382">
        <f t="shared" si="1"/>
        <v>100</v>
      </c>
      <c r="V16" s="1381" t="s">
        <v>5</v>
      </c>
      <c r="W16" s="1382">
        <f t="shared" si="2"/>
        <v>100</v>
      </c>
      <c r="X16" s="1383"/>
      <c r="Y16" s="3781"/>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1"/>
      <c r="Q19" s="1385" t="str">
        <f>B19</f>
        <v>商业繁华度</v>
      </c>
      <c r="R19" s="1386" t="s">
        <v>5</v>
      </c>
      <c r="S19" s="1387">
        <f>F19</f>
        <v>100</v>
      </c>
      <c r="T19" s="1386" t="s">
        <v>5</v>
      </c>
      <c r="U19" s="1387">
        <f>H19</f>
        <v>100</v>
      </c>
      <c r="V19" s="1386" t="s">
        <v>5</v>
      </c>
      <c r="W19" s="1387">
        <f>J19</f>
        <v>100</v>
      </c>
      <c r="X19" s="1380"/>
      <c r="Y19" s="387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1"/>
      <c r="Q21" s="1385" t="str">
        <f>B21</f>
        <v>办公集聚程度</v>
      </c>
      <c r="R21" s="1386" t="s">
        <v>5</v>
      </c>
      <c r="S21" s="1387">
        <f>F21</f>
        <v>100</v>
      </c>
      <c r="T21" s="1386" t="s">
        <v>5</v>
      </c>
      <c r="U21" s="1387">
        <f>H21</f>
        <v>100</v>
      </c>
      <c r="V21" s="1386" t="s">
        <v>5</v>
      </c>
      <c r="W21" s="1387">
        <f>J21</f>
        <v>100</v>
      </c>
      <c r="X21" s="1380"/>
      <c r="Y21" s="387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1"/>
      <c r="Q23" s="1385" t="str">
        <f>B23</f>
        <v>交通便捷度</v>
      </c>
      <c r="R23" s="1386" t="s">
        <v>5</v>
      </c>
      <c r="S23" s="1387">
        <f>F23</f>
        <v>100</v>
      </c>
      <c r="T23" s="1386" t="s">
        <v>5</v>
      </c>
      <c r="U23" s="1387">
        <f>H23</f>
        <v>100</v>
      </c>
      <c r="V23" s="1386" t="s">
        <v>5</v>
      </c>
      <c r="W23" s="1387">
        <f>J23</f>
        <v>100</v>
      </c>
      <c r="X23" s="1380"/>
      <c r="Y23" s="387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1"/>
      <c r="Q29" s="1050" t="str">
        <f t="shared" si="8"/>
        <v>公共配套设施</v>
      </c>
      <c r="R29" s="1381" t="s">
        <v>5</v>
      </c>
      <c r="S29" s="1382">
        <f>F29</f>
        <v>100</v>
      </c>
      <c r="T29" s="1381" t="s">
        <v>5</v>
      </c>
      <c r="U29" s="1382">
        <f>H29</f>
        <v>100</v>
      </c>
      <c r="V29" s="1381" t="s">
        <v>5</v>
      </c>
      <c r="W29" s="1382">
        <f>J29</f>
        <v>100</v>
      </c>
      <c r="X29" s="1383"/>
      <c r="Y29" s="387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3"/>
      <c r="Q40" s="1385" t="str">
        <f>B40</f>
        <v>宗地面积</v>
      </c>
      <c r="R40" s="1386" t="s">
        <v>5</v>
      </c>
      <c r="S40" s="1387" t="e">
        <f t="shared" si="9"/>
        <v>#N/A</v>
      </c>
      <c r="T40" s="1386" t="s">
        <v>5</v>
      </c>
      <c r="U40" s="1387" t="e">
        <f t="shared" si="10"/>
        <v>#N/A</v>
      </c>
      <c r="V40" s="1386" t="s">
        <v>5</v>
      </c>
      <c r="W40" s="1387" t="e">
        <f t="shared" si="11"/>
        <v>#N/A</v>
      </c>
      <c r="X40" s="1380"/>
      <c r="Y40" s="387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37" t="str">
        <f>A48</f>
        <v>成交单价</v>
      </c>
      <c r="Q48" s="3837"/>
      <c r="R48" s="3838">
        <f>E48</f>
        <v>0</v>
      </c>
      <c r="S48" s="3838"/>
      <c r="T48" s="3838">
        <f>G48</f>
        <v>0</v>
      </c>
      <c r="U48" s="3838"/>
      <c r="V48" s="3838">
        <f>I48</f>
        <v>0</v>
      </c>
      <c r="W48" s="383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37" t="str">
        <f>A49</f>
        <v>比较价格（元/平方米）</v>
      </c>
      <c r="Q49" s="3837"/>
      <c r="R49" s="3839" t="e">
        <f>ROUND(PRODUCT(R48,AA9:AA47),0)</f>
        <v>#DIV/0!</v>
      </c>
      <c r="S49" s="3839"/>
      <c r="T49" s="3839" t="e">
        <f>ROUND(PRODUCT(T48,AB9:AB47),0)</f>
        <v>#DIV/0!</v>
      </c>
      <c r="U49" s="3839"/>
      <c r="V49" s="3839" t="e">
        <f>ROUND(PRODUCT(V48,AC9:AC47),0)</f>
        <v>#DIV/0!</v>
      </c>
      <c r="W49" s="3839"/>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4" t="str">
        <f>A50</f>
        <v>估价对象XX用房的比较价格（楼面单价，元/平方米）</v>
      </c>
      <c r="Q50" s="3875"/>
      <c r="R50" s="3836" t="e">
        <f>ROUND(IF(D49="简单平均",AVERAGE(R49:W49),R49*F49+T49*H49+V49*J49),0)</f>
        <v>#DIV/0!</v>
      </c>
      <c r="S50" s="3836"/>
      <c r="T50" s="3836"/>
      <c r="U50" s="3836"/>
      <c r="V50" s="3836"/>
      <c r="W50" s="383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3" t="s">
        <v>1639</v>
      </c>
      <c r="H57" s="386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10000</v>
      </c>
      <c r="F58" s="604" t="e">
        <f t="shared" ref="F58:F66" si="14">ROUND(B58*E58/10000,0)</f>
        <v>#DIV/0!</v>
      </c>
      <c r="G58" s="3865"/>
      <c r="H58" s="386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5"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6"/>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6"/>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0.25</v>
      </c>
      <c r="D62" s="1948">
        <v>0.25</v>
      </c>
      <c r="E62" s="609">
        <f>'数据-汇总表'!E11</f>
        <v>0</v>
      </c>
      <c r="F62" s="604" t="e">
        <f t="shared" si="14"/>
        <v>#DIV/0!</v>
      </c>
      <c r="G62" s="1701" t="s">
        <v>1641</v>
      </c>
      <c r="H62" s="1704" t="str">
        <f>项目基本情况!C43</f>
        <v>三级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0.25</v>
      </c>
      <c r="D63" s="1948">
        <v>0.25</v>
      </c>
      <c r="E63" s="609">
        <f>'数据-汇总表'!E12</f>
        <v>0</v>
      </c>
      <c r="F63" s="604" t="e">
        <f t="shared" si="14"/>
        <v>#DIV/0!</v>
      </c>
      <c r="G63" s="1702" t="s">
        <v>1212</v>
      </c>
      <c r="H63" s="1700" t="str">
        <f>IF(G63="商业",项目基本情况!B43,IF(G63="办公",项目基本情况!C43,IF(G63="住宅",项目基本情况!D43,项目基本情况!E43)))</f>
        <v>三级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0.15</v>
      </c>
      <c r="D66" s="1948">
        <v>0.25</v>
      </c>
      <c r="E66" s="609">
        <f>'数据-汇总表'!E15</f>
        <v>0</v>
      </c>
      <c r="F66" s="604" t="e">
        <f t="shared" si="14"/>
        <v>#DIV/0!</v>
      </c>
      <c r="G66" s="1703" t="s">
        <v>1641</v>
      </c>
      <c r="H66" s="1705" t="str">
        <f>项目基本情况!C43</f>
        <v>三级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4000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3" t="s">
        <v>471</v>
      </c>
      <c r="D6" s="3844"/>
      <c r="E6" s="3878" t="s">
        <v>472</v>
      </c>
      <c r="F6" s="3879"/>
      <c r="G6" s="3843" t="s">
        <v>473</v>
      </c>
      <c r="H6" s="3844"/>
      <c r="I6" s="3843" t="s">
        <v>474</v>
      </c>
      <c r="J6" s="3844"/>
      <c r="K6" s="484" t="s">
        <v>475</v>
      </c>
      <c r="L6" s="1856"/>
      <c r="M6" s="1857"/>
      <c r="N6" s="1857"/>
      <c r="O6" s="1857"/>
      <c r="P6" s="3845" t="s">
        <v>476</v>
      </c>
      <c r="Q6" s="3846"/>
      <c r="R6" s="3851" t="s">
        <v>472</v>
      </c>
      <c r="S6" s="3852"/>
      <c r="T6" s="3851" t="s">
        <v>473</v>
      </c>
      <c r="U6" s="3852"/>
      <c r="V6" s="3838" t="s">
        <v>474</v>
      </c>
      <c r="W6" s="3838"/>
      <c r="X6" s="1380"/>
      <c r="Y6" s="3851" t="s">
        <v>476</v>
      </c>
      <c r="Z6" s="3852"/>
      <c r="AA6" s="3840" t="s">
        <v>472</v>
      </c>
      <c r="AB6" s="3841" t="s">
        <v>473</v>
      </c>
      <c r="AC6" s="3840" t="s">
        <v>474</v>
      </c>
    </row>
    <row r="7" spans="1:29" ht="15">
      <c r="A7" s="485"/>
      <c r="B7" s="486"/>
      <c r="C7" s="3859" t="s">
        <v>2192</v>
      </c>
      <c r="D7" s="3860"/>
      <c r="E7" s="3880" t="s">
        <v>2193</v>
      </c>
      <c r="F7" s="3881"/>
      <c r="G7" s="3859" t="s">
        <v>2194</v>
      </c>
      <c r="H7" s="3860"/>
      <c r="I7" s="3859" t="s">
        <v>2195</v>
      </c>
      <c r="J7" s="3860"/>
      <c r="K7" s="484"/>
      <c r="L7" s="1856"/>
      <c r="M7" s="1857"/>
      <c r="N7" s="1857"/>
      <c r="O7" s="1857"/>
      <c r="P7" s="3847"/>
      <c r="Q7" s="3848"/>
      <c r="R7" s="3853"/>
      <c r="S7" s="3854"/>
      <c r="T7" s="3853"/>
      <c r="U7" s="3854"/>
      <c r="V7" s="3838"/>
      <c r="W7" s="3838"/>
      <c r="X7" s="1380"/>
      <c r="Y7" s="3853"/>
      <c r="Z7" s="3854"/>
      <c r="AA7" s="3841"/>
      <c r="AB7" s="3841"/>
      <c r="AC7" s="3841"/>
    </row>
    <row r="8" spans="1:29" ht="15.75" thickBot="1">
      <c r="A8" s="487"/>
      <c r="B8" s="488"/>
      <c r="C8" s="3857" t="s">
        <v>2196</v>
      </c>
      <c r="D8" s="3858"/>
      <c r="E8" s="3876" t="s">
        <v>2196</v>
      </c>
      <c r="F8" s="3877"/>
      <c r="G8" s="3857" t="s">
        <v>2196</v>
      </c>
      <c r="H8" s="3858"/>
      <c r="I8" s="3857" t="s">
        <v>2196</v>
      </c>
      <c r="J8" s="3858"/>
      <c r="K8" s="484" t="s">
        <v>477</v>
      </c>
      <c r="L8" s="1856"/>
      <c r="M8" s="1857"/>
      <c r="N8" s="1857"/>
      <c r="O8" s="1857"/>
      <c r="P8" s="3849"/>
      <c r="Q8" s="3850"/>
      <c r="R8" s="3853"/>
      <c r="S8" s="3854"/>
      <c r="T8" s="3855"/>
      <c r="U8" s="3856"/>
      <c r="V8" s="3838"/>
      <c r="W8" s="3838"/>
      <c r="X8" s="1380"/>
      <c r="Y8" s="3855"/>
      <c r="Z8" s="3856"/>
      <c r="AA8" s="3842"/>
      <c r="AB8" s="3842"/>
      <c r="AC8" s="3842"/>
    </row>
    <row r="9" spans="1:29" s="1118" customFormat="1" ht="15.75" thickBot="1">
      <c r="A9" s="2392"/>
      <c r="B9" s="2399" t="s">
        <v>478</v>
      </c>
      <c r="C9" s="489">
        <f>'数据-取费表'!B2</f>
        <v>44992</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7" t="s">
        <v>479</v>
      </c>
      <c r="Q9" s="3869"/>
      <c r="R9" s="1381" t="s">
        <v>5</v>
      </c>
      <c r="S9" s="1382">
        <f t="shared" ref="S9:S17" si="0">F9</f>
        <v>0</v>
      </c>
      <c r="T9" s="1381" t="s">
        <v>5</v>
      </c>
      <c r="U9" s="1382">
        <f t="shared" ref="U9:U17" si="1">H9</f>
        <v>0</v>
      </c>
      <c r="V9" s="1381" t="s">
        <v>5</v>
      </c>
      <c r="W9" s="1382">
        <f t="shared" ref="W9:W17" si="2">J9</f>
        <v>0</v>
      </c>
      <c r="X9" s="1383"/>
      <c r="Y9" s="3867" t="s">
        <v>479</v>
      </c>
      <c r="Z9" s="386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7" t="s">
        <v>482</v>
      </c>
      <c r="Q10" s="3868"/>
      <c r="R10" s="1381" t="s">
        <v>5</v>
      </c>
      <c r="S10" s="1382">
        <f t="shared" si="0"/>
        <v>0</v>
      </c>
      <c r="T10" s="1381" t="s">
        <v>5</v>
      </c>
      <c r="U10" s="1382">
        <f t="shared" si="1"/>
        <v>0</v>
      </c>
      <c r="V10" s="1381" t="s">
        <v>5</v>
      </c>
      <c r="W10" s="1382">
        <f t="shared" si="2"/>
        <v>0</v>
      </c>
      <c r="X10" s="1383"/>
      <c r="Y10" s="3867" t="s">
        <v>482</v>
      </c>
      <c r="Z10" s="386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37" t="s">
        <v>484</v>
      </c>
      <c r="Q11" s="1050" t="str">
        <f t="shared" ref="Q11:Q17" si="6">B11</f>
        <v>用途</v>
      </c>
      <c r="R11" s="1381" t="s">
        <v>5</v>
      </c>
      <c r="S11" s="1382">
        <f t="shared" si="0"/>
        <v>100</v>
      </c>
      <c r="T11" s="1381" t="s">
        <v>5</v>
      </c>
      <c r="U11" s="1382">
        <f t="shared" si="1"/>
        <v>100</v>
      </c>
      <c r="V11" s="1381" t="s">
        <v>5</v>
      </c>
      <c r="W11" s="1382">
        <f t="shared" si="2"/>
        <v>100</v>
      </c>
      <c r="X11" s="1383"/>
      <c r="Y11" s="3781"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37"/>
      <c r="Q12" s="1050" t="str">
        <f t="shared" si="6"/>
        <v>土地使用年限（年）</v>
      </c>
      <c r="R12" s="1381" t="s">
        <v>5</v>
      </c>
      <c r="S12" s="1382">
        <f t="shared" si="0"/>
        <v>100</v>
      </c>
      <c r="T12" s="1381" t="s">
        <v>5</v>
      </c>
      <c r="U12" s="1382">
        <f t="shared" si="1"/>
        <v>100</v>
      </c>
      <c r="V12" s="1381" t="s">
        <v>5</v>
      </c>
      <c r="W12" s="1382">
        <f t="shared" si="2"/>
        <v>100</v>
      </c>
      <c r="X12" s="1383"/>
      <c r="Y12" s="3781"/>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37"/>
      <c r="Q13" s="1050" t="str">
        <f t="shared" si="6"/>
        <v>容积率</v>
      </c>
      <c r="R13" s="1381" t="s">
        <v>5</v>
      </c>
      <c r="S13" s="1382" t="e">
        <f t="shared" si="0"/>
        <v>#N/A</v>
      </c>
      <c r="T13" s="1381" t="s">
        <v>5</v>
      </c>
      <c r="U13" s="1382" t="e">
        <f t="shared" si="1"/>
        <v>#N/A</v>
      </c>
      <c r="V13" s="1381" t="s">
        <v>5</v>
      </c>
      <c r="W13" s="1382" t="e">
        <f t="shared" si="2"/>
        <v>#N/A</v>
      </c>
      <c r="X13" s="1383"/>
      <c r="Y13" s="3781"/>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37"/>
      <c r="Q15" s="1050">
        <f t="shared" si="6"/>
        <v>111</v>
      </c>
      <c r="R15" s="1381" t="s">
        <v>5</v>
      </c>
      <c r="S15" s="1382">
        <f t="shared" si="0"/>
        <v>100</v>
      </c>
      <c r="T15" s="1381" t="s">
        <v>5</v>
      </c>
      <c r="U15" s="1382">
        <f t="shared" si="1"/>
        <v>100</v>
      </c>
      <c r="V15" s="1381" t="s">
        <v>5</v>
      </c>
      <c r="W15" s="1382">
        <f t="shared" si="2"/>
        <v>100</v>
      </c>
      <c r="X15" s="1383"/>
      <c r="Y15" s="3781"/>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37"/>
      <c r="Q16" s="1050">
        <f t="shared" si="6"/>
        <v>111</v>
      </c>
      <c r="R16" s="1381" t="s">
        <v>5</v>
      </c>
      <c r="S16" s="1382">
        <f t="shared" si="0"/>
        <v>100</v>
      </c>
      <c r="T16" s="1381" t="s">
        <v>5</v>
      </c>
      <c r="U16" s="1382">
        <f t="shared" si="1"/>
        <v>100</v>
      </c>
      <c r="V16" s="1381" t="s">
        <v>5</v>
      </c>
      <c r="W16" s="1382">
        <f t="shared" si="2"/>
        <v>100</v>
      </c>
      <c r="X16" s="1383"/>
      <c r="Y16" s="3781"/>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37" t="str">
        <f>A43</f>
        <v>成交单价</v>
      </c>
      <c r="Q43" s="3837"/>
      <c r="R43" s="3838">
        <f>E43</f>
        <v>0</v>
      </c>
      <c r="S43" s="3838"/>
      <c r="T43" s="3838">
        <f>G43</f>
        <v>0</v>
      </c>
      <c r="U43" s="3838"/>
      <c r="V43" s="3838">
        <f>I43</f>
        <v>0</v>
      </c>
      <c r="W43" s="3838"/>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37" t="str">
        <f>A44</f>
        <v>比较价格（元/平方米）</v>
      </c>
      <c r="Q44" s="3837"/>
      <c r="R44" s="3839" t="e">
        <f>ROUND(PRODUCT(R43,AA9:AA42),0)</f>
        <v>#DIV/0!</v>
      </c>
      <c r="S44" s="3839"/>
      <c r="T44" s="3839" t="e">
        <f>ROUND(PRODUCT(T43,AB9:AB42),0)</f>
        <v>#DIV/0!</v>
      </c>
      <c r="U44" s="3839"/>
      <c r="V44" s="3839" t="e">
        <f>ROUND(PRODUCT(V43,AC9:AC42),0)</f>
        <v>#DIV/0!</v>
      </c>
      <c r="W44" s="3839"/>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886" t="e">
        <f>ROUND(IF(D44="简单平均",AVERAGE(R44:W44),R44*F44+T44*H44+V44*J44),0)</f>
        <v>#DIV/0!</v>
      </c>
      <c r="S45" s="3886"/>
      <c r="T45" s="3886"/>
      <c r="U45" s="3886"/>
      <c r="V45" s="3886"/>
      <c r="W45" s="3886"/>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2" t="s">
        <v>1642</v>
      </c>
      <c r="H52" s="3883"/>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10000</v>
      </c>
      <c r="F53" s="1706" t="e">
        <f t="shared" ref="F53:F61" si="14">ROUND(B53*E53/10000,0)</f>
        <v>#DIV/0!</v>
      </c>
      <c r="G53" s="3884"/>
      <c r="H53" s="3885"/>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7"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8"/>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8"/>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三级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三级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三级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4000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90" zoomScaleNormal="60" zoomScaleSheetLayoutView="90" workbookViewId="0">
      <selection activeCell="F2" sqref="F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10000</v>
      </c>
      <c r="E1" s="1261" t="s">
        <v>1779</v>
      </c>
      <c r="F1" s="2105">
        <v>4000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22022</v>
      </c>
      <c r="C2" s="1262" t="s">
        <v>849</v>
      </c>
      <c r="D2" s="1263" t="s">
        <v>850</v>
      </c>
      <c r="E2" s="1264" t="s">
        <v>1212</v>
      </c>
      <c r="F2" s="1263" t="s">
        <v>852</v>
      </c>
      <c r="G2" s="1457" t="str">
        <f>IF(E2="商业",项目基本情况!B43,IF(E2="办公",项目基本情况!C43,IF(E2="住宅",项目基本情况!D43,IF(E2="工业",项目基本情况!E43,项目基本情况!F43))))</f>
        <v>三级</v>
      </c>
      <c r="H2" s="1263" t="s">
        <v>854</v>
      </c>
      <c r="I2" s="1458" t="str">
        <f>IF(E2="商业",项目基本情况!B44,IF(E2="办公",项目基本情况!C44,IF(E2="住宅",项目基本情况!D44,IF(E2="工业",项目基本情况!E44,项目基本情况!F44))))</f>
        <v>Ⅲ—10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33075</v>
      </c>
      <c r="U2" s="2406"/>
      <c r="V2" s="2416">
        <f>ROUND(T2*U2/10000,0)</f>
        <v>0</v>
      </c>
      <c r="W2" s="1911"/>
      <c r="X2" s="1911"/>
      <c r="Y2" s="1911"/>
      <c r="Z2" s="1911"/>
      <c r="AA2" s="1911"/>
      <c r="AB2" s="1911"/>
      <c r="AC2" s="1912"/>
    </row>
    <row r="3" spans="1:39" ht="15.75">
      <c r="A3" s="1266" t="s">
        <v>1220</v>
      </c>
      <c r="B3" s="991">
        <f>ROUND(B2*10000/D1,0)</f>
        <v>22022</v>
      </c>
      <c r="C3" s="1262" t="s">
        <v>855</v>
      </c>
      <c r="D3" s="1263" t="s">
        <v>856</v>
      </c>
      <c r="E3" s="1267" t="s">
        <v>3266</v>
      </c>
      <c r="F3" s="1268" t="s">
        <v>3267</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21140</v>
      </c>
      <c r="N3" s="1643">
        <f>SUMPRODUCT((因素修正幅度!B30:B54=I2)*(因素修正幅度!C3:G3=E2)*(因素修正幅度!C30:G54))</f>
        <v>7.6999999999999999E-2</v>
      </c>
      <c r="O3" s="2975"/>
      <c r="P3" s="1911"/>
      <c r="Q3" s="1911"/>
      <c r="R3" s="2416">
        <v>2</v>
      </c>
      <c r="S3" s="2416">
        <f>ROUND(SUMPRODUCT((B107:B111=R3)*(C106:N106=G2)*(C107:N111)),4)</f>
        <v>1.1838</v>
      </c>
      <c r="T3" s="2416">
        <f t="shared" ref="T3:T16" si="0">ROUND($C$5*$C$22*$C$23*$C$24*S3*$C$28,0)</f>
        <v>26070</v>
      </c>
      <c r="U3" s="2406"/>
      <c r="V3" s="2416">
        <f t="shared" ref="V3:V16" si="1">ROUND(T3*U3/10000,0)</f>
        <v>0</v>
      </c>
      <c r="W3" s="1911"/>
      <c r="X3" s="1911"/>
      <c r="Y3" s="1911"/>
      <c r="Z3" s="1911"/>
      <c r="AA3" s="1911"/>
      <c r="AB3" s="1911"/>
      <c r="AC3" s="1912"/>
    </row>
    <row r="4" spans="1:39" ht="28.5">
      <c r="A4" s="1647" t="s">
        <v>1638</v>
      </c>
      <c r="B4" s="2106">
        <f>ROUND(B2*10000/F1,0)</f>
        <v>55055</v>
      </c>
      <c r="C4" s="1650" t="s">
        <v>1613</v>
      </c>
      <c r="D4" s="1650">
        <f>ROUND(B2/(F1/666.67),0)</f>
        <v>3670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22033</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21563</v>
      </c>
      <c r="D5" s="2548">
        <f>ROUND(C6*C17+C20,0)</f>
        <v>21140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19432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21140</v>
      </c>
      <c r="D6" s="3521" t="s">
        <v>1228</v>
      </c>
      <c r="E6" s="1277"/>
      <c r="F6" s="1277"/>
      <c r="G6" s="3522"/>
      <c r="H6" s="3522"/>
      <c r="I6" s="3522"/>
      <c r="J6" s="3523"/>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18675</v>
      </c>
      <c r="U6" s="2406"/>
      <c r="V6" s="2416">
        <f t="shared" si="1"/>
        <v>0</v>
      </c>
      <c r="W6" s="1911"/>
      <c r="X6" s="1911"/>
      <c r="Y6" s="1911"/>
      <c r="Z6" s="1911"/>
      <c r="AA6" s="1911"/>
      <c r="AB6" s="1911"/>
      <c r="AC6" s="1913"/>
      <c r="AD6" s="1274"/>
      <c r="AE6" s="1274"/>
      <c r="AF6" s="1274"/>
      <c r="AG6" s="1274"/>
      <c r="AH6" s="1274"/>
      <c r="AI6" s="1274"/>
      <c r="AJ6" s="1275"/>
    </row>
    <row r="7" spans="1:39" ht="24.75" thickBot="1">
      <c r="A7" s="3524" t="s">
        <v>3197</v>
      </c>
      <c r="B7" s="1278" t="s">
        <v>860</v>
      </c>
      <c r="C7" s="3525" t="e">
        <f>IF(C8="不临65条商业街",1,ROUND(1+(1.6*E8+1.2*E9+0.8*E10+0.4*E11)*C9,4))</f>
        <v>#DIV/0!</v>
      </c>
      <c r="D7" s="3526" t="s">
        <v>861</v>
      </c>
      <c r="E7" s="3527"/>
      <c r="F7" s="3528"/>
      <c r="G7" s="3528"/>
      <c r="H7" s="3528"/>
      <c r="I7" s="3528"/>
      <c r="J7" s="3529"/>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三级</v>
      </c>
      <c r="Y7" s="2407" t="s">
        <v>2047</v>
      </c>
      <c r="Z7" s="2408">
        <f>G3</f>
        <v>2.5</v>
      </c>
      <c r="AA7" s="1914"/>
      <c r="AB7" s="1914"/>
      <c r="AC7" s="1915"/>
      <c r="AD7" s="2409"/>
      <c r="AE7" s="2409"/>
      <c r="AF7" s="2409"/>
      <c r="AG7" s="2409"/>
      <c r="AH7" s="2409"/>
      <c r="AI7" s="2409"/>
      <c r="AJ7" s="2410"/>
    </row>
    <row r="8" spans="1:39" ht="15">
      <c r="A8" s="3530"/>
      <c r="B8" s="1269" t="s">
        <v>862</v>
      </c>
      <c r="C8" s="3531"/>
      <c r="D8" s="3532" t="s">
        <v>863</v>
      </c>
      <c r="E8" s="3533" t="e">
        <f>ROUND(C11/E7,4)</f>
        <v>#DIV/0!</v>
      </c>
      <c r="F8" s="3534" t="s">
        <v>864</v>
      </c>
      <c r="G8" s="3535"/>
      <c r="H8" s="3535"/>
      <c r="I8" s="3535"/>
      <c r="J8" s="3536"/>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88" t="s">
        <v>2060</v>
      </c>
      <c r="X8" s="38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0"/>
      <c r="B9" s="1269" t="s">
        <v>865</v>
      </c>
      <c r="C9" s="3537">
        <f>SUMIF(修正!C71:C139,C8,修正!E71:E139)</f>
        <v>0</v>
      </c>
      <c r="D9" s="3538" t="s">
        <v>866</v>
      </c>
      <c r="E9" s="3538" t="e">
        <f>ROUND(C11/E7,4)</f>
        <v>#DIV/0!</v>
      </c>
      <c r="F9" s="3534" t="s">
        <v>867</v>
      </c>
      <c r="G9" s="3535"/>
      <c r="H9" s="3535"/>
      <c r="I9" s="3535"/>
      <c r="J9" s="3536"/>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87"/>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8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3198</v>
      </c>
      <c r="B12" s="3505" t="s">
        <v>3199</v>
      </c>
      <c r="C12" s="3511">
        <v>1.02</v>
      </c>
      <c r="D12" s="3506" t="s">
        <v>3200</v>
      </c>
      <c r="E12" s="3507" t="s">
        <v>3201</v>
      </c>
      <c r="F12" s="3508"/>
      <c r="G12" s="3509"/>
      <c r="H12" s="3509"/>
      <c r="I12" s="3509"/>
      <c r="J12" s="3510"/>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3202</v>
      </c>
      <c r="B13" s="1283" t="s">
        <v>874</v>
      </c>
      <c r="C13" s="3525">
        <f>ROUND(C16*D16*E16*F16*G16*H16*I16*J16,4)</f>
        <v>0</v>
      </c>
      <c r="D13" s="3543" t="s">
        <v>3203</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3204</v>
      </c>
      <c r="F14" s="3547" t="s">
        <v>1178</v>
      </c>
      <c r="G14" s="3547" t="s">
        <v>1178</v>
      </c>
      <c r="H14" s="3548" t="s">
        <v>1178</v>
      </c>
      <c r="I14" s="3549" t="s">
        <v>1178</v>
      </c>
      <c r="J14" s="3549"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3205</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3206</v>
      </c>
      <c r="B17" s="3555" t="s">
        <v>3207</v>
      </c>
      <c r="C17" s="3563">
        <f>ROUND(IF(OR(E2="工业",E2="公共服务"),1,IF(AND(E18=0,E19=0),1,IF(AND(E18=J24,E19=G19),0.8,IF(E19=0,1+E17*(-0.2),1+E17*G17*(-0.2))))),4)</f>
        <v>1</v>
      </c>
      <c r="D17" s="3556" t="s">
        <v>3208</v>
      </c>
      <c r="E17" s="3563">
        <f>ROUND(G18/I18,2)</f>
        <v>0</v>
      </c>
      <c r="F17" s="3556" t="s">
        <v>3211</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3209</v>
      </c>
      <c r="E18" s="3562"/>
      <c r="F18" s="3559" t="s">
        <v>3212</v>
      </c>
      <c r="G18" s="3561">
        <f>ROUND(1-(1/(POWER(1+G24,E18))),4)</f>
        <v>0</v>
      </c>
      <c r="H18" s="3559" t="s">
        <v>3214</v>
      </c>
      <c r="I18" s="3561">
        <f>ROUND(1-(1/(POWER(1+G24,J24))),4)</f>
        <v>0.93120000000000003</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3210</v>
      </c>
      <c r="E19" s="3564"/>
      <c r="F19" s="3560" t="s">
        <v>3213</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8" t="s">
        <v>1370</v>
      </c>
      <c r="B20" s="1278" t="s">
        <v>875</v>
      </c>
      <c r="C20" s="998">
        <f>ROUND(IF(F21="与级别开发程度一致",0,(G21-E21)/C21),0)</f>
        <v>0</v>
      </c>
      <c r="D20" s="3893" t="s">
        <v>879</v>
      </c>
      <c r="E20" s="3894"/>
      <c r="F20" s="3893" t="s">
        <v>876</v>
      </c>
      <c r="G20" s="389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99"/>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3268</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1.0213000000000001</v>
      </c>
      <c r="D23" s="1297" t="s">
        <v>882</v>
      </c>
      <c r="E23" s="1000">
        <v>44197</v>
      </c>
      <c r="F23" s="1297" t="s">
        <v>883</v>
      </c>
      <c r="G23" s="1001">
        <f>'数据-取费表'!B2</f>
        <v>44992</v>
      </c>
      <c r="H23" s="1298" t="s">
        <v>2247</v>
      </c>
      <c r="I23" s="2266" t="str">
        <f>IF(H23="季度增幅（自定义）",SUMIF(N25:N28,E2,O25:O28),"")</f>
        <v/>
      </c>
      <c r="J23" s="3565" t="s">
        <v>3269</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3215</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6"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22022</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22022</v>
      </c>
      <c r="D33" s="1326">
        <f>'数据-取费表'!AH6</f>
        <v>10000</v>
      </c>
      <c r="E33" s="1635">
        <f>ROUND(C33*D33/10000,0)</f>
        <v>22022</v>
      </c>
      <c r="F33" s="3567" t="s">
        <v>3217</v>
      </c>
      <c r="G33" s="1327"/>
      <c r="H33" s="1327"/>
      <c r="I33" s="1327"/>
      <c r="J33" s="1328"/>
      <c r="K33" s="2985"/>
      <c r="L33" s="3637" t="s">
        <v>3243</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5506</v>
      </c>
      <c r="D34" s="1331"/>
      <c r="E34" s="1635">
        <f>ROUND(IF(B25="楼层修正",SUM(V2:V16)*#REF!,C34*D34/10000),0)</f>
        <v>0</v>
      </c>
      <c r="F34" s="3568" t="s">
        <v>3218</v>
      </c>
      <c r="G34" s="1332"/>
      <c r="H34" s="1332"/>
      <c r="I34" s="1332"/>
      <c r="J34" s="1333"/>
      <c r="K34" s="2978"/>
      <c r="L34" s="3637" t="s">
        <v>3244</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3245</v>
      </c>
      <c r="L36" s="3641">
        <f ca="1">'数据-取费表'!B40</f>
        <v>4.7500000000000001E-2</v>
      </c>
      <c r="M36" s="3642">
        <f ca="1">ROUND($L$36*(1+M31),3)</f>
        <v>5.8999999999999997E-2</v>
      </c>
      <c r="N36" s="3642">
        <f ca="1">ROUND($L$36*(1+N31),3)</f>
        <v>5.7000000000000002E-2</v>
      </c>
      <c r="O36" s="3642">
        <f ca="1">ROUND($L$36*(1+O31),3)</f>
        <v>5.5E-2</v>
      </c>
      <c r="P36" s="3642">
        <f ca="1">ROUND($L$36*(1+P31),3)</f>
        <v>5.1999999999999998E-2</v>
      </c>
      <c r="Q36" s="3642">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5"/>
      <c r="B37" s="1344" t="s">
        <v>923</v>
      </c>
      <c r="C37" s="1005">
        <f>ROUND(D5*C22*C23*C24*C28*F37,0)</f>
        <v>12954</v>
      </c>
      <c r="D37" s="1356"/>
      <c r="E37" s="996">
        <f>ROUND(C37*D37/10000,0)</f>
        <v>0</v>
      </c>
      <c r="F37" s="996">
        <f>SUMIF(修正!A57:A68,G2,修正!B57:B68)</f>
        <v>0.6</v>
      </c>
      <c r="G37" s="996">
        <f>ROUND(IF(E2="工业",C37*$M$42,C37*$M$41),0)</f>
        <v>3239</v>
      </c>
      <c r="H37" s="996">
        <f>D37</f>
        <v>0</v>
      </c>
      <c r="I37" s="996">
        <f>ROUND(G37*H37/10000,0)</f>
        <v>0</v>
      </c>
      <c r="J37" s="3895"/>
      <c r="K37" s="3640" t="s">
        <v>3246</v>
      </c>
      <c r="L37" s="3641">
        <f ca="1">L36+K38</f>
        <v>5.2499999999999998E-2</v>
      </c>
      <c r="M37" s="3642">
        <f ca="1">ROUND($L$37*(1+M31),3)</f>
        <v>6.6000000000000003E-2</v>
      </c>
      <c r="N37" s="3642">
        <f t="shared" ref="N37:Q37" ca="1" si="3">ROUND($L$37*(1+N31),3)</f>
        <v>6.3E-2</v>
      </c>
      <c r="O37" s="3642">
        <f t="shared" ca="1" si="3"/>
        <v>0.06</v>
      </c>
      <c r="P37" s="3642">
        <f t="shared" ca="1" si="3"/>
        <v>5.8000000000000003E-2</v>
      </c>
      <c r="Q37" s="3642">
        <f t="shared" ca="1" si="3"/>
        <v>0.06</v>
      </c>
      <c r="R37" s="1912"/>
      <c r="S37" s="1912"/>
      <c r="T37" s="1912"/>
      <c r="U37" s="1912"/>
      <c r="V37" s="1912"/>
      <c r="W37" s="1911"/>
      <c r="X37" s="1911"/>
      <c r="Y37" s="1911"/>
      <c r="Z37" s="1911"/>
      <c r="AA37" s="1911"/>
      <c r="AB37" s="1911"/>
      <c r="AC37" s="1912"/>
    </row>
    <row r="38" spans="1:44" ht="12.75">
      <c r="A38" s="3896"/>
      <c r="B38" s="1288" t="s">
        <v>924</v>
      </c>
      <c r="C38" s="1005">
        <f>ROUND(D5*C22*C23*C24*C28*F38,0)</f>
        <v>6477</v>
      </c>
      <c r="D38" s="1356"/>
      <c r="E38" s="996">
        <f t="shared" ref="E38:E42" si="4">ROUND(C38*D38/10000,0)</f>
        <v>0</v>
      </c>
      <c r="F38" s="996">
        <f>SUMIF(修正!A57:A68,G2,修正!C57:C68)</f>
        <v>0.3</v>
      </c>
      <c r="G38" s="996">
        <f>ROUND(IF(E2="工业",C38*$M$42,C38*$M$41),0)</f>
        <v>1619</v>
      </c>
      <c r="H38" s="996">
        <f t="shared" ref="H38:H42" si="5">D38</f>
        <v>0</v>
      </c>
      <c r="I38" s="996">
        <f t="shared" ref="I38:I42" si="6">ROUND(G38*H38/10000,0)</f>
        <v>0</v>
      </c>
      <c r="J38" s="3896"/>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896"/>
      <c r="B39" s="3569" t="s">
        <v>3219</v>
      </c>
      <c r="C39" s="1005">
        <f>ROUND(D5*C22*C23*C24*C28*F39,0)</f>
        <v>5398</v>
      </c>
      <c r="D39" s="1356"/>
      <c r="E39" s="996">
        <f t="shared" si="4"/>
        <v>0</v>
      </c>
      <c r="F39" s="996">
        <f>SUMIF(修正!A57:A68,G2,修正!D57:D68)</f>
        <v>0.25</v>
      </c>
      <c r="G39" s="996">
        <f>ROUND(IF(E2="工业",C39*$M$42,C39*$M$41),0)</f>
        <v>1350</v>
      </c>
      <c r="H39" s="996">
        <f t="shared" si="5"/>
        <v>0</v>
      </c>
      <c r="I39" s="996">
        <f t="shared" si="6"/>
        <v>0</v>
      </c>
      <c r="J39" s="389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5398</v>
      </c>
      <c r="D40" s="1356"/>
      <c r="E40" s="996">
        <f t="shared" si="4"/>
        <v>0</v>
      </c>
      <c r="F40" s="1005">
        <f>SUMIF(修正!A57:A68,G2,修正!E57:E68)</f>
        <v>0.25</v>
      </c>
      <c r="G40" s="996">
        <f>ROUND(IF(E2="工业",C40*$M$42,C40*$M$41),0)</f>
        <v>1350</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3"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f>IF(E2="办公",SUMIF(L1:L12,G2,N1:N12),"——")</f>
        <v>7.6999999999999999E-2</v>
      </c>
      <c r="G61" s="3600"/>
      <c r="H61" s="3601">
        <f>IFERROR(ROUNDDOWN($F$61*I61/2,4),"——")</f>
        <v>9.5999999999999992E-3</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f t="shared" ref="H62:H69" si="16">IFERROR(ROUNDDOWN($F$61*I62/2,4),"——")</f>
        <v>0.01</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36">
      <c r="A63" s="3570" t="s">
        <v>3221</v>
      </c>
      <c r="B63" s="3589">
        <f>估价对象房地状况!C19</f>
        <v>0</v>
      </c>
      <c r="C63" s="3596"/>
      <c r="D63" s="3597">
        <f t="shared" si="12"/>
        <v>0</v>
      </c>
      <c r="E63" s="3603"/>
      <c r="F63" s="3599"/>
      <c r="G63" s="3600"/>
      <c r="H63" s="3601">
        <f t="shared" si="16"/>
        <v>4.1999999999999997E-3</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2201</v>
      </c>
      <c r="C64" s="3596"/>
      <c r="D64" s="3597">
        <f t="shared" si="12"/>
        <v>0</v>
      </c>
      <c r="E64" s="3603"/>
      <c r="F64" s="3599"/>
      <c r="G64" s="3600"/>
      <c r="H64" s="3601">
        <f t="shared" si="16"/>
        <v>1.9E-3</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f t="shared" si="16"/>
        <v>1.9E-3</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2199</v>
      </c>
      <c r="C66" s="3596"/>
      <c r="D66" s="3597">
        <f t="shared" si="12"/>
        <v>0</v>
      </c>
      <c r="E66" s="3603"/>
      <c r="F66" s="3599"/>
      <c r="G66" s="3600"/>
      <c r="H66" s="3601">
        <f t="shared" si="16"/>
        <v>2.3E-3</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估价对象所在区域公共配套设施齐备情况</v>
      </c>
      <c r="C67" s="3596"/>
      <c r="D67" s="3597">
        <f t="shared" si="12"/>
        <v>0</v>
      </c>
      <c r="E67" s="3603"/>
      <c r="F67" s="3599"/>
      <c r="G67" s="3600"/>
      <c r="H67" s="3601">
        <f t="shared" si="16"/>
        <v>2.3E-3</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估价对象所在区域基础设施水平</v>
      </c>
      <c r="C68" s="3596"/>
      <c r="D68" s="3597">
        <f t="shared" si="12"/>
        <v>0</v>
      </c>
      <c r="E68" s="3603"/>
      <c r="F68" s="3599"/>
      <c r="G68" s="3600"/>
      <c r="H68" s="3601">
        <f t="shared" si="16"/>
        <v>3.3999999999999998E-3</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f t="shared" si="16"/>
        <v>2.5999999999999999E-3</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3233</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3221</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3225</v>
      </c>
      <c r="B96" s="3576" t="s">
        <v>3226</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3227</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3234</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3235</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3228</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3229</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00" t="s">
        <v>1172</v>
      </c>
      <c r="B104" s="3900"/>
      <c r="C104" s="3900"/>
      <c r="D104" s="3900"/>
      <c r="E104" s="3900"/>
      <c r="F104" s="3900"/>
      <c r="G104" s="3900"/>
      <c r="H104" s="3900"/>
      <c r="I104" s="3900"/>
      <c r="J104" s="3900"/>
      <c r="K104" s="2103"/>
      <c r="L104" s="2103"/>
      <c r="M104" s="2103"/>
      <c r="N104" s="2103"/>
    </row>
    <row r="105" spans="1:36">
      <c r="A105" s="3901" t="s">
        <v>1161</v>
      </c>
      <c r="B105" s="3901" t="s">
        <v>1173</v>
      </c>
      <c r="C105" s="1041" t="s">
        <v>1174</v>
      </c>
      <c r="D105" s="1042"/>
      <c r="E105" s="1042"/>
      <c r="F105" s="1042"/>
      <c r="G105" s="1042"/>
      <c r="H105" s="1042"/>
      <c r="I105" s="1042"/>
      <c r="J105" s="1043"/>
      <c r="K105" s="1035"/>
      <c r="L105" s="1035"/>
      <c r="M105" s="1035"/>
      <c r="N105" s="1035"/>
    </row>
    <row r="106" spans="1:36">
      <c r="A106" s="3901"/>
      <c r="B106" s="390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1"/>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7" t="s">
        <v>1175</v>
      </c>
      <c r="B114" s="3897"/>
      <c r="C114" s="3897"/>
      <c r="D114" s="3897"/>
      <c r="E114" s="3897"/>
      <c r="F114" s="3897"/>
      <c r="G114" s="3897"/>
      <c r="H114" s="3897"/>
      <c r="I114" s="3897"/>
      <c r="J114" s="3897"/>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办公</v>
      </c>
      <c r="G117" s="979" t="s">
        <v>834</v>
      </c>
      <c r="H117" s="980" t="str">
        <f>G2</f>
        <v>三级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3238</v>
      </c>
      <c r="B119" s="3573">
        <f>ROUND(0.9968-0.011*B117,4)</f>
        <v>0.96930000000000005</v>
      </c>
      <c r="C119" s="3573">
        <f>B119</f>
        <v>0.96930000000000005</v>
      </c>
      <c r="D119" s="3573">
        <f>ROUND(0.949-0.014*B117,4)</f>
        <v>0.91400000000000003</v>
      </c>
      <c r="E119" s="3573">
        <f>D119</f>
        <v>0.91400000000000003</v>
      </c>
      <c r="F119" s="3573">
        <f>E119</f>
        <v>0.91400000000000003</v>
      </c>
      <c r="G119" s="3573">
        <f>F119</f>
        <v>0.91400000000000003</v>
      </c>
      <c r="H119" s="3573">
        <f>G119</f>
        <v>0.91400000000000003</v>
      </c>
      <c r="I119" s="3573">
        <f>ROUND(0.8486-0.018*B117,4)</f>
        <v>0.80359999999999998</v>
      </c>
      <c r="J119" s="3573">
        <f t="shared" ref="J119:M123" si="35">I119</f>
        <v>0.80359999999999998</v>
      </c>
      <c r="K119" s="3573">
        <f t="shared" si="35"/>
        <v>0.80359999999999998</v>
      </c>
      <c r="L119" s="3573">
        <f t="shared" si="35"/>
        <v>0.80359999999999998</v>
      </c>
      <c r="M119" s="3634">
        <f t="shared" si="35"/>
        <v>0.80359999999999998</v>
      </c>
    </row>
    <row r="120" spans="1:14" ht="12.75">
      <c r="A120" s="3631" t="s">
        <v>3239</v>
      </c>
      <c r="B120" s="3573">
        <f>ROUND(0.993-0.0112*B117,4)</f>
        <v>0.96499999999999997</v>
      </c>
      <c r="C120" s="3573">
        <f>B120</f>
        <v>0.96499999999999997</v>
      </c>
      <c r="D120" s="3573">
        <f>ROUND(0.9415-0.0142*B117,4)</f>
        <v>0.90600000000000003</v>
      </c>
      <c r="E120" s="3573">
        <f t="shared" ref="E120:H121" si="36">D120</f>
        <v>0.90600000000000003</v>
      </c>
      <c r="F120" s="3573">
        <f t="shared" si="36"/>
        <v>0.90600000000000003</v>
      </c>
      <c r="G120" s="3573">
        <f t="shared" si="36"/>
        <v>0.90600000000000003</v>
      </c>
      <c r="H120" s="3573">
        <f t="shared" si="36"/>
        <v>0.90600000000000003</v>
      </c>
      <c r="I120" s="3573">
        <f>ROUND(0.838-0.0182*B117,4)</f>
        <v>0.79249999999999998</v>
      </c>
      <c r="J120" s="3573">
        <f t="shared" si="35"/>
        <v>0.79249999999999998</v>
      </c>
      <c r="K120" s="3573">
        <f t="shared" si="35"/>
        <v>0.79249999999999998</v>
      </c>
      <c r="L120" s="3573">
        <f t="shared" si="35"/>
        <v>0.79249999999999998</v>
      </c>
      <c r="M120" s="3634">
        <f t="shared" si="35"/>
        <v>0.79249999999999998</v>
      </c>
    </row>
    <row r="121" spans="1:14" ht="12.75">
      <c r="A121" s="3631" t="s">
        <v>3240</v>
      </c>
      <c r="B121" s="3573">
        <f>ROUND(0.9448-0.0115*B117,4)</f>
        <v>0.91610000000000003</v>
      </c>
      <c r="C121" s="3573">
        <f>B121</f>
        <v>0.91610000000000003</v>
      </c>
      <c r="D121" s="3573">
        <f>ROUND(0.937-0.0145*B117,4)</f>
        <v>0.90080000000000005</v>
      </c>
      <c r="E121" s="3573">
        <f t="shared" si="36"/>
        <v>0.90080000000000005</v>
      </c>
      <c r="F121" s="3573">
        <f t="shared" si="36"/>
        <v>0.90080000000000005</v>
      </c>
      <c r="G121" s="3573">
        <f t="shared" si="36"/>
        <v>0.90080000000000005</v>
      </c>
      <c r="H121" s="3573">
        <f t="shared" si="36"/>
        <v>0.90080000000000005</v>
      </c>
      <c r="I121" s="3573">
        <f>ROUND(0.7965-0.0185*B117,4)</f>
        <v>0.75029999999999997</v>
      </c>
      <c r="J121" s="3573">
        <f t="shared" si="35"/>
        <v>0.75029999999999997</v>
      </c>
      <c r="K121" s="3573">
        <f t="shared" si="35"/>
        <v>0.75029999999999997</v>
      </c>
      <c r="L121" s="3573">
        <f t="shared" si="35"/>
        <v>0.75029999999999997</v>
      </c>
      <c r="M121" s="3634">
        <f t="shared" si="35"/>
        <v>0.75029999999999997</v>
      </c>
    </row>
    <row r="122" spans="1:14" ht="13.5" thickBot="1">
      <c r="A122" s="3632" t="s">
        <v>3241</v>
      </c>
      <c r="B122" s="3635">
        <f>ROUND(0.7836-0.012*B117,4)</f>
        <v>0.75360000000000005</v>
      </c>
      <c r="C122" s="3635">
        <f>B122</f>
        <v>0.75360000000000005</v>
      </c>
      <c r="D122" s="3635">
        <f>ROUND(0.753-0.015*B117,4)</f>
        <v>0.71550000000000002</v>
      </c>
      <c r="E122" s="3635">
        <f>D122</f>
        <v>0.71550000000000002</v>
      </c>
      <c r="F122" s="3635">
        <f>E122</f>
        <v>0.71550000000000002</v>
      </c>
      <c r="G122" s="3635">
        <f>ROUND(0.6612-0.018*B117,4)</f>
        <v>0.61619999999999997</v>
      </c>
      <c r="H122" s="3635">
        <f>G122</f>
        <v>0.61619999999999997</v>
      </c>
      <c r="I122" s="3635">
        <f>ROUND(0.5905-0.019*B117,4)</f>
        <v>0.54300000000000004</v>
      </c>
      <c r="J122" s="3635">
        <f t="shared" si="35"/>
        <v>0.54300000000000004</v>
      </c>
      <c r="K122" s="3635">
        <f t="shared" si="35"/>
        <v>0.54300000000000004</v>
      </c>
      <c r="L122" s="3635">
        <f t="shared" si="35"/>
        <v>0.54300000000000004</v>
      </c>
      <c r="M122" s="3636">
        <f t="shared" si="35"/>
        <v>0.54300000000000004</v>
      </c>
    </row>
    <row r="123" spans="1:14" ht="12.75">
      <c r="A123" s="3633" t="s">
        <v>3222</v>
      </c>
      <c r="B123" s="3573">
        <f>ROUND(0.9404-0.0106*B117,4)</f>
        <v>0.91390000000000005</v>
      </c>
      <c r="C123" s="3573">
        <f>B123</f>
        <v>0.91390000000000005</v>
      </c>
      <c r="D123" s="3573">
        <f>ROUND(0.8955-0.0135*B117,4)</f>
        <v>0.86180000000000001</v>
      </c>
      <c r="E123" s="3573">
        <f t="shared" ref="E123:H123" si="37">D123</f>
        <v>0.86180000000000001</v>
      </c>
      <c r="F123" s="3573">
        <f t="shared" si="37"/>
        <v>0.86180000000000001</v>
      </c>
      <c r="G123" s="3573">
        <f t="shared" si="37"/>
        <v>0.86180000000000001</v>
      </c>
      <c r="H123" s="3573">
        <f t="shared" si="37"/>
        <v>0.86180000000000001</v>
      </c>
      <c r="I123" s="3573">
        <f>ROUND(0.7632-0.0166*B117,4)</f>
        <v>0.72170000000000001</v>
      </c>
      <c r="J123" s="3573">
        <f t="shared" si="35"/>
        <v>0.72170000000000001</v>
      </c>
      <c r="K123" s="3573">
        <f t="shared" si="35"/>
        <v>0.72170000000000001</v>
      </c>
      <c r="L123" s="3573">
        <f t="shared" si="35"/>
        <v>0.72170000000000001</v>
      </c>
      <c r="M123" s="3634">
        <f t="shared" si="35"/>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7" t="s">
        <v>2768</v>
      </c>
      <c r="B8" s="3249">
        <v>80</v>
      </c>
      <c r="C8" s="3249">
        <v>80</v>
      </c>
      <c r="D8" s="3249">
        <v>70</v>
      </c>
      <c r="E8" s="3249">
        <v>70</v>
      </c>
      <c r="F8" s="3249">
        <v>70</v>
      </c>
      <c r="G8" s="3249">
        <v>70</v>
      </c>
      <c r="H8" s="3249">
        <v>70</v>
      </c>
      <c r="I8" s="3249">
        <v>60</v>
      </c>
      <c r="J8" s="3249">
        <v>60</v>
      </c>
      <c r="K8" s="3249">
        <v>60</v>
      </c>
      <c r="L8" s="3249">
        <v>60</v>
      </c>
      <c r="M8" s="3250">
        <v>60</v>
      </c>
    </row>
    <row r="9" spans="1:13">
      <c r="A9" s="1009" t="s">
        <v>2769</v>
      </c>
      <c r="B9" s="3251">
        <v>70</v>
      </c>
      <c r="C9" s="3251">
        <v>70</v>
      </c>
      <c r="D9" s="3251">
        <v>60</v>
      </c>
      <c r="E9" s="3251">
        <v>60</v>
      </c>
      <c r="F9" s="3251">
        <v>60</v>
      </c>
      <c r="G9" s="3251">
        <v>60</v>
      </c>
      <c r="H9" s="3251">
        <v>60</v>
      </c>
      <c r="I9" s="3251">
        <v>50</v>
      </c>
      <c r="J9" s="3251">
        <v>50</v>
      </c>
      <c r="K9" s="3251">
        <v>50</v>
      </c>
      <c r="L9" s="3251">
        <v>50</v>
      </c>
      <c r="M9" s="3252">
        <v>50</v>
      </c>
    </row>
    <row r="10" spans="1:13">
      <c r="A10" s="1009"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2458</v>
      </c>
      <c r="B19" s="3255" t="s">
        <v>2459</v>
      </c>
      <c r="C19" s="3256" t="s">
        <v>2460</v>
      </c>
      <c r="D19" s="3257"/>
      <c r="E19" s="3251" t="s">
        <v>2461</v>
      </c>
      <c r="F19" s="1033"/>
      <c r="G19" s="1033"/>
    </row>
    <row r="20" spans="1:13" s="1408" customFormat="1">
      <c r="A20" s="3902" t="s">
        <v>2452</v>
      </c>
      <c r="B20" s="3905" t="s">
        <v>2462</v>
      </c>
      <c r="C20" s="3258" t="s">
        <v>2463</v>
      </c>
      <c r="D20" s="3259"/>
      <c r="E20" s="3260">
        <v>1</v>
      </c>
      <c r="F20" s="3261" t="s">
        <v>2464</v>
      </c>
      <c r="G20" s="1035"/>
      <c r="H20" s="1025"/>
      <c r="I20" s="1025"/>
    </row>
    <row r="21" spans="1:13" s="1408" customFormat="1">
      <c r="A21" s="3903"/>
      <c r="B21" s="3906"/>
      <c r="C21" s="3262" t="s">
        <v>2465</v>
      </c>
      <c r="D21" s="3263"/>
      <c r="E21" s="3264">
        <v>1</v>
      </c>
      <c r="F21" s="3261" t="s">
        <v>2466</v>
      </c>
      <c r="G21" s="1035"/>
      <c r="H21" s="1025"/>
      <c r="I21" s="1025"/>
    </row>
    <row r="22" spans="1:13" s="1408" customFormat="1">
      <c r="A22" s="3903"/>
      <c r="B22" s="3906"/>
      <c r="C22" s="3262" t="s">
        <v>2467</v>
      </c>
      <c r="D22" s="3263"/>
      <c r="E22" s="3264">
        <v>0.9</v>
      </c>
      <c r="F22" s="3261" t="s">
        <v>2468</v>
      </c>
      <c r="G22" s="1035"/>
      <c r="H22" s="1025"/>
      <c r="I22" s="1025"/>
    </row>
    <row r="23" spans="1:13" s="1408" customFormat="1">
      <c r="A23" s="3903"/>
      <c r="B23" s="3906"/>
      <c r="C23" s="3262" t="s">
        <v>2469</v>
      </c>
      <c r="D23" s="3263"/>
      <c r="E23" s="3264">
        <v>0.9</v>
      </c>
      <c r="F23" s="3261" t="s">
        <v>2470</v>
      </c>
      <c r="G23" s="1035"/>
      <c r="H23" s="1025"/>
      <c r="I23" s="1025"/>
    </row>
    <row r="24" spans="1:13" s="1408" customFormat="1">
      <c r="A24" s="3903"/>
      <c r="B24" s="3906"/>
      <c r="C24" s="3262" t="s">
        <v>2471</v>
      </c>
      <c r="D24" s="3263"/>
      <c r="E24" s="3264">
        <v>0.8</v>
      </c>
      <c r="F24" s="3261" t="s">
        <v>2472</v>
      </c>
      <c r="G24" s="1035"/>
      <c r="H24" s="1025"/>
      <c r="I24" s="1025"/>
    </row>
    <row r="25" spans="1:13" s="1408" customFormat="1" ht="14.25" thickBot="1">
      <c r="A25" s="3904"/>
      <c r="B25" s="3907"/>
      <c r="C25" s="3265" t="s">
        <v>2473</v>
      </c>
      <c r="D25" s="3266"/>
      <c r="E25" s="3267">
        <v>0.8</v>
      </c>
      <c r="F25" s="3261" t="s">
        <v>2474</v>
      </c>
      <c r="G25" s="1035"/>
      <c r="H25" s="1025"/>
      <c r="I25" s="1025"/>
    </row>
    <row r="26" spans="1:13" s="1408" customFormat="1" ht="14.25" thickBot="1">
      <c r="A26" s="3268" t="s">
        <v>2453</v>
      </c>
      <c r="B26" s="3269" t="s">
        <v>2462</v>
      </c>
      <c r="C26" s="3270" t="s">
        <v>2475</v>
      </c>
      <c r="D26" s="3271"/>
      <c r="E26" s="3272">
        <v>1</v>
      </c>
      <c r="F26" s="3261" t="s">
        <v>2476</v>
      </c>
      <c r="G26" s="1035"/>
      <c r="H26" s="1025"/>
      <c r="I26" s="1025"/>
    </row>
    <row r="27" spans="1:13" s="1408" customFormat="1">
      <c r="A27" s="3908" t="s">
        <v>2457</v>
      </c>
      <c r="B27" s="3905" t="s">
        <v>2457</v>
      </c>
      <c r="C27" s="3258" t="s">
        <v>2477</v>
      </c>
      <c r="D27" s="3259"/>
      <c r="E27" s="3260">
        <v>1</v>
      </c>
      <c r="F27" s="3261" t="s">
        <v>2478</v>
      </c>
      <c r="G27" s="1035"/>
      <c r="H27" s="1025"/>
      <c r="I27" s="1025"/>
    </row>
    <row r="28" spans="1:13" s="1408" customFormat="1">
      <c r="A28" s="3909"/>
      <c r="B28" s="3906"/>
      <c r="C28" s="3262" t="s">
        <v>2479</v>
      </c>
      <c r="D28" s="3263"/>
      <c r="E28" s="3264">
        <v>1</v>
      </c>
      <c r="F28" s="3261" t="s">
        <v>2480</v>
      </c>
      <c r="G28" s="1035"/>
      <c r="H28" s="1025"/>
      <c r="I28" s="1025"/>
    </row>
    <row r="29" spans="1:13" s="1408" customFormat="1">
      <c r="A29" s="3909"/>
      <c r="B29" s="3906"/>
      <c r="C29" s="3262" t="s">
        <v>2481</v>
      </c>
      <c r="D29" s="3263"/>
      <c r="E29" s="3264">
        <v>0.8</v>
      </c>
      <c r="F29" s="3261" t="s">
        <v>2482</v>
      </c>
      <c r="G29" s="1035"/>
      <c r="H29" s="1025"/>
      <c r="I29" s="1025"/>
    </row>
    <row r="30" spans="1:13" s="1408" customFormat="1">
      <c r="A30" s="3909"/>
      <c r="B30" s="3906"/>
      <c r="C30" s="3262" t="s">
        <v>2483</v>
      </c>
      <c r="D30" s="3263"/>
      <c r="E30" s="3264">
        <v>0.8</v>
      </c>
      <c r="F30" s="3261" t="s">
        <v>2484</v>
      </c>
      <c r="G30" s="1035"/>
      <c r="H30" s="1025"/>
      <c r="I30" s="1025"/>
    </row>
    <row r="31" spans="1:13" s="1408" customFormat="1">
      <c r="A31" s="3909"/>
      <c r="B31" s="3906"/>
      <c r="C31" s="3262" t="s">
        <v>2485</v>
      </c>
      <c r="D31" s="3263"/>
      <c r="E31" s="3264">
        <v>0.8</v>
      </c>
      <c r="F31" s="3261" t="s">
        <v>2486</v>
      </c>
      <c r="G31" s="1035"/>
      <c r="H31" s="1025"/>
      <c r="I31" s="1025"/>
    </row>
    <row r="32" spans="1:13" s="1408" customFormat="1">
      <c r="A32" s="3909"/>
      <c r="B32" s="3906"/>
      <c r="C32" s="3262" t="s">
        <v>2487</v>
      </c>
      <c r="D32" s="3263"/>
      <c r="E32" s="3264">
        <v>0.7</v>
      </c>
      <c r="F32" s="3261" t="s">
        <v>2488</v>
      </c>
      <c r="G32" s="1035"/>
      <c r="H32" s="1025"/>
      <c r="I32" s="1025"/>
    </row>
    <row r="33" spans="1:9" s="1408" customFormat="1">
      <c r="A33" s="3909"/>
      <c r="B33" s="3906"/>
      <c r="C33" s="3262" t="s">
        <v>2489</v>
      </c>
      <c r="D33" s="3263"/>
      <c r="E33" s="3264">
        <v>0.8</v>
      </c>
      <c r="F33" s="3261" t="s">
        <v>2490</v>
      </c>
      <c r="G33" s="1035"/>
      <c r="H33" s="1025"/>
      <c r="I33" s="1025"/>
    </row>
    <row r="34" spans="1:9" s="1408" customFormat="1">
      <c r="A34" s="3909"/>
      <c r="B34" s="3906"/>
      <c r="C34" s="3262" t="s">
        <v>2491</v>
      </c>
      <c r="D34" s="3263"/>
      <c r="E34" s="3264">
        <v>0.6</v>
      </c>
      <c r="F34" s="3261" t="s">
        <v>2492</v>
      </c>
      <c r="G34" s="1035"/>
      <c r="H34" s="1025"/>
      <c r="I34" s="1025"/>
    </row>
    <row r="35" spans="1:9" s="1408" customFormat="1">
      <c r="A35" s="3909"/>
      <c r="B35" s="3906"/>
      <c r="C35" s="3262" t="s">
        <v>2493</v>
      </c>
      <c r="D35" s="3263"/>
      <c r="E35" s="3264">
        <v>0.2</v>
      </c>
      <c r="F35" s="3261" t="s">
        <v>2494</v>
      </c>
      <c r="G35" s="1035"/>
      <c r="H35" s="1025"/>
      <c r="I35" s="1025"/>
    </row>
    <row r="36" spans="1:9" s="1408" customFormat="1">
      <c r="A36" s="3909"/>
      <c r="B36" s="3906"/>
      <c r="C36" s="3262" t="s">
        <v>2495</v>
      </c>
      <c r="D36" s="3263"/>
      <c r="E36" s="3264">
        <v>0.2</v>
      </c>
      <c r="F36" s="3261" t="s">
        <v>2496</v>
      </c>
      <c r="G36" s="1035"/>
      <c r="H36" s="1025"/>
      <c r="I36" s="1025"/>
    </row>
    <row r="37" spans="1:9" s="1408" customFormat="1">
      <c r="A37" s="3909"/>
      <c r="B37" s="3911" t="s">
        <v>2497</v>
      </c>
      <c r="C37" s="3262" t="s">
        <v>2498</v>
      </c>
      <c r="D37" s="3263"/>
      <c r="E37" s="3264">
        <v>0.6</v>
      </c>
      <c r="F37" s="3261" t="s">
        <v>2499</v>
      </c>
      <c r="G37" s="1035"/>
      <c r="H37" s="1025"/>
      <c r="I37" s="1025"/>
    </row>
    <row r="38" spans="1:9" s="1408" customFormat="1">
      <c r="A38" s="3909"/>
      <c r="B38" s="3906"/>
      <c r="C38" s="3262" t="s">
        <v>2500</v>
      </c>
      <c r="D38" s="3263"/>
      <c r="E38" s="3264">
        <v>0.6</v>
      </c>
      <c r="F38" s="3261" t="s">
        <v>2501</v>
      </c>
      <c r="G38" s="1035"/>
      <c r="H38" s="1025"/>
      <c r="I38" s="1025"/>
    </row>
    <row r="39" spans="1:9" s="1408" customFormat="1" ht="14.25" thickBot="1">
      <c r="A39" s="3910"/>
      <c r="B39" s="3907"/>
      <c r="C39" s="3265" t="s">
        <v>2502</v>
      </c>
      <c r="D39" s="3266"/>
      <c r="E39" s="3267">
        <v>0.6</v>
      </c>
      <c r="F39" s="3261" t="s">
        <v>2503</v>
      </c>
      <c r="G39" s="1035"/>
      <c r="H39" s="1025"/>
      <c r="I39" s="1025"/>
    </row>
    <row r="40" spans="1:9" s="1408" customFormat="1" ht="14.25" thickBot="1">
      <c r="A40" s="3268" t="s">
        <v>2454</v>
      </c>
      <c r="B40" s="3269" t="s">
        <v>2454</v>
      </c>
      <c r="C40" s="3270" t="s">
        <v>2504</v>
      </c>
      <c r="D40" s="3271"/>
      <c r="E40" s="3272">
        <v>1</v>
      </c>
      <c r="F40" s="3261" t="s">
        <v>2505</v>
      </c>
      <c r="G40" s="1035"/>
      <c r="H40" s="1025"/>
      <c r="I40" s="1025"/>
    </row>
    <row r="41" spans="1:9" s="1408" customFormat="1">
      <c r="A41" s="3902" t="s">
        <v>2455</v>
      </c>
      <c r="B41" s="3905" t="s">
        <v>2506</v>
      </c>
      <c r="C41" s="3258" t="s">
        <v>2507</v>
      </c>
      <c r="D41" s="3259"/>
      <c r="E41" s="3260">
        <v>1</v>
      </c>
      <c r="F41" s="3261" t="s">
        <v>2508</v>
      </c>
      <c r="G41" s="1035"/>
      <c r="H41" s="1025"/>
      <c r="I41" s="1025"/>
    </row>
    <row r="42" spans="1:9" s="1408" customFormat="1">
      <c r="A42" s="3903"/>
      <c r="B42" s="3906"/>
      <c r="C42" s="3262" t="s">
        <v>2509</v>
      </c>
      <c r="D42" s="3263"/>
      <c r="E42" s="3264">
        <v>1</v>
      </c>
      <c r="F42" s="3261" t="s">
        <v>2510</v>
      </c>
      <c r="G42" s="1035"/>
      <c r="H42" s="1025"/>
      <c r="I42" s="1025"/>
    </row>
    <row r="43" spans="1:9" s="1408" customFormat="1">
      <c r="A43" s="3903"/>
      <c r="B43" s="3912"/>
      <c r="C43" s="3262" t="s">
        <v>2511</v>
      </c>
      <c r="D43" s="3263"/>
      <c r="E43" s="3264">
        <v>1.5</v>
      </c>
      <c r="F43" s="3261" t="s">
        <v>2512</v>
      </c>
      <c r="G43" s="1035"/>
      <c r="H43" s="1025"/>
      <c r="I43" s="1025"/>
    </row>
    <row r="44" spans="1:9" s="1408" customFormat="1">
      <c r="A44" s="3903"/>
      <c r="B44" s="3273" t="s">
        <v>2457</v>
      </c>
      <c r="C44" s="3262" t="s">
        <v>2456</v>
      </c>
      <c r="D44" s="3263"/>
      <c r="E44" s="3264">
        <v>2</v>
      </c>
      <c r="F44" s="3261" t="s">
        <v>2513</v>
      </c>
      <c r="G44" s="1035"/>
      <c r="H44" s="1025"/>
      <c r="I44" s="1025"/>
    </row>
    <row r="45" spans="1:9" s="1408" customFormat="1">
      <c r="A45" s="3903"/>
      <c r="B45" s="3911" t="s">
        <v>2514</v>
      </c>
      <c r="C45" s="3262" t="s">
        <v>2515</v>
      </c>
      <c r="D45" s="3263"/>
      <c r="E45" s="3264">
        <v>1</v>
      </c>
      <c r="F45" s="3261" t="s">
        <v>2516</v>
      </c>
      <c r="G45" s="1035"/>
      <c r="H45" s="1025"/>
      <c r="I45" s="1025"/>
    </row>
    <row r="46" spans="1:9" s="1408" customFormat="1">
      <c r="A46" s="3903"/>
      <c r="B46" s="3906"/>
      <c r="C46" s="3262" t="s">
        <v>2517</v>
      </c>
      <c r="D46" s="3263"/>
      <c r="E46" s="3264">
        <v>1</v>
      </c>
      <c r="F46" s="3261" t="s">
        <v>2518</v>
      </c>
      <c r="G46" s="1035"/>
      <c r="H46" s="1025"/>
      <c r="I46" s="1025"/>
    </row>
    <row r="47" spans="1:9" s="1408" customFormat="1">
      <c r="A47" s="3903"/>
      <c r="B47" s="3906"/>
      <c r="C47" s="3262" t="s">
        <v>2519</v>
      </c>
      <c r="D47" s="3263"/>
      <c r="E47" s="3264">
        <v>1</v>
      </c>
      <c r="F47" s="3261" t="s">
        <v>2520</v>
      </c>
      <c r="G47" s="1035"/>
      <c r="H47" s="1025"/>
      <c r="I47" s="1025"/>
    </row>
    <row r="48" spans="1:9" s="1408" customFormat="1">
      <c r="A48" s="3903"/>
      <c r="B48" s="3906"/>
      <c r="C48" s="3262" t="s">
        <v>2521</v>
      </c>
      <c r="D48" s="3263"/>
      <c r="E48" s="3264">
        <v>1</v>
      </c>
      <c r="F48" s="3261" t="s">
        <v>2522</v>
      </c>
      <c r="G48" s="1035"/>
      <c r="H48" s="1025"/>
      <c r="I48" s="1025"/>
    </row>
    <row r="49" spans="1:9" s="1408" customFormat="1">
      <c r="A49" s="3903"/>
      <c r="B49" s="3906"/>
      <c r="C49" s="3262" t="s">
        <v>2523</v>
      </c>
      <c r="D49" s="3263"/>
      <c r="E49" s="3264">
        <v>1</v>
      </c>
      <c r="F49" s="3261" t="s">
        <v>2524</v>
      </c>
      <c r="G49" s="1035"/>
      <c r="H49" s="1025"/>
      <c r="I49" s="1025"/>
    </row>
    <row r="50" spans="1:9" s="1408" customFormat="1">
      <c r="A50" s="3903"/>
      <c r="B50" s="3906"/>
      <c r="C50" s="3262" t="s">
        <v>2525</v>
      </c>
      <c r="D50" s="3263"/>
      <c r="E50" s="3264">
        <v>1</v>
      </c>
      <c r="F50" s="3261" t="s">
        <v>2526</v>
      </c>
      <c r="G50" s="1035"/>
      <c r="H50" s="1025"/>
      <c r="I50" s="1025"/>
    </row>
    <row r="51" spans="1:9" s="1408" customFormat="1" ht="14.25" thickBot="1">
      <c r="A51" s="3904"/>
      <c r="B51" s="3907"/>
      <c r="C51" s="3265" t="s">
        <v>2527</v>
      </c>
      <c r="D51" s="3266"/>
      <c r="E51" s="3267">
        <v>1</v>
      </c>
      <c r="F51" s="3261"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3">
        <v>1</v>
      </c>
      <c r="B73" s="3911" t="s">
        <v>2530</v>
      </c>
      <c r="C73" s="3251" t="s">
        <v>2531</v>
      </c>
      <c r="D73" s="3251" t="s">
        <v>2532</v>
      </c>
      <c r="E73" s="3274">
        <v>0.2</v>
      </c>
      <c r="F73" s="3273">
        <v>25</v>
      </c>
      <c r="H73" s="1025">
        <f>SUMIF(C71:C139,基准地价!C8,E71:E139)</f>
        <v>0</v>
      </c>
    </row>
    <row r="74" spans="1:8" s="1025" customFormat="1" ht="24">
      <c r="A74" s="3273">
        <v>2</v>
      </c>
      <c r="B74" s="3906"/>
      <c r="C74" s="3251" t="s">
        <v>2533</v>
      </c>
      <c r="D74" s="3251" t="s">
        <v>2534</v>
      </c>
      <c r="E74" s="3274">
        <v>0.2</v>
      </c>
      <c r="F74" s="3273">
        <v>25</v>
      </c>
    </row>
    <row r="75" spans="1:8" s="1025" customFormat="1" ht="24">
      <c r="A75" s="3273">
        <v>3</v>
      </c>
      <c r="B75" s="3906"/>
      <c r="C75" s="3251" t="s">
        <v>2535</v>
      </c>
      <c r="D75" s="3251" t="s">
        <v>2536</v>
      </c>
      <c r="E75" s="3274">
        <v>0.2</v>
      </c>
      <c r="F75" s="3273">
        <v>25</v>
      </c>
    </row>
    <row r="76" spans="1:8" s="1025" customFormat="1">
      <c r="A76" s="3273">
        <v>4</v>
      </c>
      <c r="B76" s="3906"/>
      <c r="C76" s="3251" t="s">
        <v>2537</v>
      </c>
      <c r="D76" s="3251" t="s">
        <v>2538</v>
      </c>
      <c r="E76" s="3274">
        <v>0.15</v>
      </c>
      <c r="F76" s="3273">
        <v>20</v>
      </c>
    </row>
    <row r="77" spans="1:8" s="1025" customFormat="1" ht="24">
      <c r="A77" s="3273">
        <v>5</v>
      </c>
      <c r="B77" s="3906"/>
      <c r="C77" s="3251" t="s">
        <v>2539</v>
      </c>
      <c r="D77" s="3251" t="s">
        <v>2540</v>
      </c>
      <c r="E77" s="3274">
        <v>0.15</v>
      </c>
      <c r="F77" s="3273">
        <v>20</v>
      </c>
    </row>
    <row r="78" spans="1:8" s="1025" customFormat="1" ht="24">
      <c r="A78" s="3273">
        <v>6</v>
      </c>
      <c r="B78" s="3906"/>
      <c r="C78" s="3251" t="s">
        <v>2541</v>
      </c>
      <c r="D78" s="3251" t="s">
        <v>2542</v>
      </c>
      <c r="E78" s="3274">
        <v>0.15</v>
      </c>
      <c r="F78" s="3273">
        <v>20</v>
      </c>
    </row>
    <row r="79" spans="1:8" s="1025" customFormat="1" ht="24">
      <c r="A79" s="3273">
        <v>7</v>
      </c>
      <c r="B79" s="3906"/>
      <c r="C79" s="3251" t="s">
        <v>2543</v>
      </c>
      <c r="D79" s="3251" t="s">
        <v>2544</v>
      </c>
      <c r="E79" s="3274">
        <v>0.15</v>
      </c>
      <c r="F79" s="3273">
        <v>20</v>
      </c>
    </row>
    <row r="80" spans="1:8" s="1025" customFormat="1" ht="24">
      <c r="A80" s="3273">
        <v>8</v>
      </c>
      <c r="B80" s="3906"/>
      <c r="C80" s="3251" t="s">
        <v>2545</v>
      </c>
      <c r="D80" s="3251" t="s">
        <v>2546</v>
      </c>
      <c r="E80" s="3274">
        <v>0.1</v>
      </c>
      <c r="F80" s="3273">
        <v>15</v>
      </c>
    </row>
    <row r="81" spans="1:6" s="1025" customFormat="1" ht="24">
      <c r="A81" s="3273">
        <v>9</v>
      </c>
      <c r="B81" s="3906"/>
      <c r="C81" s="3251" t="s">
        <v>2547</v>
      </c>
      <c r="D81" s="3251" t="s">
        <v>2548</v>
      </c>
      <c r="E81" s="3274">
        <v>0.1</v>
      </c>
      <c r="F81" s="3273">
        <v>15</v>
      </c>
    </row>
    <row r="82" spans="1:6" s="1025" customFormat="1" ht="24">
      <c r="A82" s="3273">
        <v>10</v>
      </c>
      <c r="B82" s="3906"/>
      <c r="C82" s="3251" t="s">
        <v>2549</v>
      </c>
      <c r="D82" s="3251" t="s">
        <v>2550</v>
      </c>
      <c r="E82" s="3274">
        <v>0.1</v>
      </c>
      <c r="F82" s="3273">
        <v>15</v>
      </c>
    </row>
    <row r="83" spans="1:6" s="1025" customFormat="1" ht="24">
      <c r="A83" s="3273">
        <v>11</v>
      </c>
      <c r="B83" s="3906"/>
      <c r="C83" s="3251" t="s">
        <v>2551</v>
      </c>
      <c r="D83" s="3251" t="s">
        <v>2552</v>
      </c>
      <c r="E83" s="3274">
        <v>0.1</v>
      </c>
      <c r="F83" s="3273">
        <v>15</v>
      </c>
    </row>
    <row r="84" spans="1:6" s="1025" customFormat="1" ht="24">
      <c r="A84" s="3273">
        <v>12</v>
      </c>
      <c r="B84" s="3906"/>
      <c r="C84" s="3251" t="s">
        <v>2553</v>
      </c>
      <c r="D84" s="3251" t="s">
        <v>2554</v>
      </c>
      <c r="E84" s="3274">
        <v>0.1</v>
      </c>
      <c r="F84" s="3273">
        <v>15</v>
      </c>
    </row>
    <row r="85" spans="1:6" s="1025" customFormat="1">
      <c r="A85" s="3273">
        <v>13</v>
      </c>
      <c r="B85" s="3906"/>
      <c r="C85" s="3251" t="s">
        <v>2555</v>
      </c>
      <c r="D85" s="3251" t="s">
        <v>2556</v>
      </c>
      <c r="E85" s="3274">
        <v>0.1</v>
      </c>
      <c r="F85" s="3273">
        <v>15</v>
      </c>
    </row>
    <row r="86" spans="1:6" s="1025" customFormat="1">
      <c r="A86" s="3273">
        <v>14</v>
      </c>
      <c r="B86" s="3906"/>
      <c r="C86" s="3251" t="s">
        <v>2557</v>
      </c>
      <c r="D86" s="3251" t="s">
        <v>2558</v>
      </c>
      <c r="E86" s="3274">
        <v>0.1</v>
      </c>
      <c r="F86" s="3273">
        <v>15</v>
      </c>
    </row>
    <row r="87" spans="1:6" s="1025" customFormat="1">
      <c r="A87" s="3273">
        <v>15</v>
      </c>
      <c r="B87" s="3906"/>
      <c r="C87" s="3251" t="s">
        <v>2559</v>
      </c>
      <c r="D87" s="3251" t="s">
        <v>2560</v>
      </c>
      <c r="E87" s="3274">
        <v>0.1</v>
      </c>
      <c r="F87" s="3273">
        <v>15</v>
      </c>
    </row>
    <row r="88" spans="1:6" s="1025" customFormat="1" ht="24">
      <c r="A88" s="3273">
        <v>16</v>
      </c>
      <c r="B88" s="3906"/>
      <c r="C88" s="3251" t="s">
        <v>2561</v>
      </c>
      <c r="D88" s="3251" t="s">
        <v>2562</v>
      </c>
      <c r="E88" s="3274">
        <v>0.1</v>
      </c>
      <c r="F88" s="3273">
        <v>15</v>
      </c>
    </row>
    <row r="89" spans="1:6" s="1025" customFormat="1" ht="24">
      <c r="A89" s="3273">
        <v>17</v>
      </c>
      <c r="B89" s="3912"/>
      <c r="C89" s="3251" t="s">
        <v>2563</v>
      </c>
      <c r="D89" s="3251" t="s">
        <v>2564</v>
      </c>
      <c r="E89" s="3274">
        <v>0.1</v>
      </c>
      <c r="F89" s="3273">
        <v>15</v>
      </c>
    </row>
    <row r="90" spans="1:6" s="1025" customFormat="1">
      <c r="A90" s="3273">
        <v>18</v>
      </c>
      <c r="B90" s="3911" t="s">
        <v>2565</v>
      </c>
      <c r="C90" s="3251" t="s">
        <v>2566</v>
      </c>
      <c r="D90" s="3251" t="s">
        <v>2567</v>
      </c>
      <c r="E90" s="3274">
        <v>0.2</v>
      </c>
      <c r="F90" s="3273">
        <v>25</v>
      </c>
    </row>
    <row r="91" spans="1:6" s="1025" customFormat="1" ht="24">
      <c r="A91" s="3273">
        <v>19</v>
      </c>
      <c r="B91" s="3906"/>
      <c r="C91" s="3251" t="s">
        <v>2568</v>
      </c>
      <c r="D91" s="3251" t="s">
        <v>2569</v>
      </c>
      <c r="E91" s="3274">
        <v>0.2</v>
      </c>
      <c r="F91" s="3273">
        <v>25</v>
      </c>
    </row>
    <row r="92" spans="1:6" s="1025" customFormat="1">
      <c r="A92" s="3273">
        <v>20</v>
      </c>
      <c r="B92" s="3906"/>
      <c r="C92" s="3251" t="s">
        <v>2570</v>
      </c>
      <c r="D92" s="3251" t="s">
        <v>2571</v>
      </c>
      <c r="E92" s="3274">
        <v>0.15</v>
      </c>
      <c r="F92" s="3273">
        <v>20</v>
      </c>
    </row>
    <row r="93" spans="1:6" s="1025" customFormat="1" ht="24">
      <c r="A93" s="3273">
        <v>21</v>
      </c>
      <c r="B93" s="3906"/>
      <c r="C93" s="3251" t="s">
        <v>2572</v>
      </c>
      <c r="D93" s="3251" t="s">
        <v>2573</v>
      </c>
      <c r="E93" s="3274">
        <v>0.15</v>
      </c>
      <c r="F93" s="3273">
        <v>20</v>
      </c>
    </row>
    <row r="94" spans="1:6" s="1025" customFormat="1" ht="24">
      <c r="A94" s="3273">
        <v>22</v>
      </c>
      <c r="B94" s="3906"/>
      <c r="C94" s="3251" t="s">
        <v>2574</v>
      </c>
      <c r="D94" s="3251" t="s">
        <v>2575</v>
      </c>
      <c r="E94" s="3274">
        <v>0.15</v>
      </c>
      <c r="F94" s="3273">
        <v>20</v>
      </c>
    </row>
    <row r="95" spans="1:6" s="1025" customFormat="1" ht="36">
      <c r="A95" s="3273">
        <v>23</v>
      </c>
      <c r="B95" s="3906"/>
      <c r="C95" s="3251" t="s">
        <v>2576</v>
      </c>
      <c r="D95" s="3251" t="s">
        <v>2577</v>
      </c>
      <c r="E95" s="3274">
        <v>0.15</v>
      </c>
      <c r="F95" s="3273">
        <v>20</v>
      </c>
    </row>
    <row r="96" spans="1:6" s="1025" customFormat="1">
      <c r="A96" s="3273">
        <v>24</v>
      </c>
      <c r="B96" s="3906"/>
      <c r="C96" s="3251" t="s">
        <v>2578</v>
      </c>
      <c r="D96" s="3251" t="s">
        <v>2579</v>
      </c>
      <c r="E96" s="3274">
        <v>0.1</v>
      </c>
      <c r="F96" s="3273">
        <v>15</v>
      </c>
    </row>
    <row r="97" spans="1:6" s="1025" customFormat="1" ht="24">
      <c r="A97" s="3273">
        <v>25</v>
      </c>
      <c r="B97" s="3906"/>
      <c r="C97" s="3251" t="s">
        <v>2580</v>
      </c>
      <c r="D97" s="3251" t="s">
        <v>2581</v>
      </c>
      <c r="E97" s="3274">
        <v>0.1</v>
      </c>
      <c r="F97" s="3273">
        <v>15</v>
      </c>
    </row>
    <row r="98" spans="1:6" s="1025" customFormat="1" ht="24">
      <c r="A98" s="3273">
        <v>26</v>
      </c>
      <c r="B98" s="3906"/>
      <c r="C98" s="3251" t="s">
        <v>2582</v>
      </c>
      <c r="D98" s="3251" t="s">
        <v>2583</v>
      </c>
      <c r="E98" s="3274">
        <v>0.1</v>
      </c>
      <c r="F98" s="3273">
        <v>15</v>
      </c>
    </row>
    <row r="99" spans="1:6" s="1025" customFormat="1" ht="24">
      <c r="A99" s="3273">
        <v>27</v>
      </c>
      <c r="B99" s="3906"/>
      <c r="C99" s="3251" t="s">
        <v>2584</v>
      </c>
      <c r="D99" s="3251" t="s">
        <v>2585</v>
      </c>
      <c r="E99" s="3274">
        <v>0.1</v>
      </c>
      <c r="F99" s="3273">
        <v>15</v>
      </c>
    </row>
    <row r="100" spans="1:6" s="1025" customFormat="1" ht="24">
      <c r="A100" s="3273">
        <v>28</v>
      </c>
      <c r="B100" s="3906"/>
      <c r="C100" s="3251" t="s">
        <v>2586</v>
      </c>
      <c r="D100" s="3251" t="s">
        <v>2587</v>
      </c>
      <c r="E100" s="3274">
        <v>0.1</v>
      </c>
      <c r="F100" s="3273">
        <v>15</v>
      </c>
    </row>
    <row r="101" spans="1:6" s="1025" customFormat="1" ht="24">
      <c r="A101" s="3273">
        <v>29</v>
      </c>
      <c r="B101" s="3906"/>
      <c r="C101" s="3251" t="s">
        <v>2588</v>
      </c>
      <c r="D101" s="3251" t="s">
        <v>2589</v>
      </c>
      <c r="E101" s="3274">
        <v>0.1</v>
      </c>
      <c r="F101" s="3273">
        <v>15</v>
      </c>
    </row>
    <row r="102" spans="1:6" s="1025" customFormat="1" ht="24">
      <c r="A102" s="3273">
        <v>30</v>
      </c>
      <c r="B102" s="3906"/>
      <c r="C102" s="3251" t="s">
        <v>2590</v>
      </c>
      <c r="D102" s="3251" t="s">
        <v>2591</v>
      </c>
      <c r="E102" s="3274">
        <v>0.1</v>
      </c>
      <c r="F102" s="3273">
        <v>15</v>
      </c>
    </row>
    <row r="103" spans="1:6" s="1025" customFormat="1" ht="24">
      <c r="A103" s="3273">
        <v>31</v>
      </c>
      <c r="B103" s="3906"/>
      <c r="C103" s="3251" t="s">
        <v>2592</v>
      </c>
      <c r="D103" s="3251" t="s">
        <v>2593</v>
      </c>
      <c r="E103" s="3274">
        <v>0.1</v>
      </c>
      <c r="F103" s="3273">
        <v>15</v>
      </c>
    </row>
    <row r="104" spans="1:6" s="1025" customFormat="1" ht="24">
      <c r="A104" s="3273">
        <v>32</v>
      </c>
      <c r="B104" s="3906"/>
      <c r="C104" s="3251" t="s">
        <v>2594</v>
      </c>
      <c r="D104" s="3251" t="s">
        <v>2595</v>
      </c>
      <c r="E104" s="3274">
        <v>0.1</v>
      </c>
      <c r="F104" s="3273">
        <v>15</v>
      </c>
    </row>
    <row r="105" spans="1:6" s="1025" customFormat="1" ht="24">
      <c r="A105" s="3273">
        <v>33</v>
      </c>
      <c r="B105" s="3906"/>
      <c r="C105" s="3251" t="s">
        <v>2596</v>
      </c>
      <c r="D105" s="3251" t="s">
        <v>2597</v>
      </c>
      <c r="E105" s="3274">
        <v>0.1</v>
      </c>
      <c r="F105" s="3273">
        <v>15</v>
      </c>
    </row>
    <row r="106" spans="1:6" s="1025" customFormat="1" ht="24">
      <c r="A106" s="3273">
        <v>34</v>
      </c>
      <c r="B106" s="3912"/>
      <c r="C106" s="3251" t="s">
        <v>2598</v>
      </c>
      <c r="D106" s="3251" t="s">
        <v>2599</v>
      </c>
      <c r="E106" s="3274">
        <v>0.1</v>
      </c>
      <c r="F106" s="3273">
        <v>15</v>
      </c>
    </row>
    <row r="107" spans="1:6" s="1025" customFormat="1" ht="24">
      <c r="A107" s="3273">
        <v>35</v>
      </c>
      <c r="B107" s="3911" t="s">
        <v>2600</v>
      </c>
      <c r="C107" s="3273" t="s">
        <v>2601</v>
      </c>
      <c r="D107" s="3251" t="s">
        <v>2602</v>
      </c>
      <c r="E107" s="3274">
        <v>0.15</v>
      </c>
      <c r="F107" s="3273">
        <v>20</v>
      </c>
    </row>
    <row r="108" spans="1:6" s="1025" customFormat="1" ht="24">
      <c r="A108" s="3273">
        <v>36</v>
      </c>
      <c r="B108" s="3906"/>
      <c r="C108" s="3273" t="s">
        <v>2603</v>
      </c>
      <c r="D108" s="3251" t="s">
        <v>2604</v>
      </c>
      <c r="E108" s="3274">
        <v>0.15</v>
      </c>
      <c r="F108" s="3273">
        <v>20</v>
      </c>
    </row>
    <row r="109" spans="1:6" s="1025" customFormat="1" ht="24">
      <c r="A109" s="3273">
        <v>37</v>
      </c>
      <c r="B109" s="3906"/>
      <c r="C109" s="3273" t="s">
        <v>2605</v>
      </c>
      <c r="D109" s="3251" t="s">
        <v>2606</v>
      </c>
      <c r="E109" s="3274">
        <v>0.15</v>
      </c>
      <c r="F109" s="3273">
        <v>20</v>
      </c>
    </row>
    <row r="110" spans="1:6" s="1025" customFormat="1">
      <c r="A110" s="3273">
        <v>38</v>
      </c>
      <c r="B110" s="3906"/>
      <c r="C110" s="3273" t="s">
        <v>2607</v>
      </c>
      <c r="D110" s="3251" t="s">
        <v>2608</v>
      </c>
      <c r="E110" s="3274">
        <v>0.1</v>
      </c>
      <c r="F110" s="3273">
        <v>15</v>
      </c>
    </row>
    <row r="111" spans="1:6" s="1025" customFormat="1" ht="24">
      <c r="A111" s="3273">
        <v>39</v>
      </c>
      <c r="B111" s="3906"/>
      <c r="C111" s="3273" t="s">
        <v>2609</v>
      </c>
      <c r="D111" s="3251" t="s">
        <v>2610</v>
      </c>
      <c r="E111" s="3274">
        <v>0.1</v>
      </c>
      <c r="F111" s="3273">
        <v>15</v>
      </c>
    </row>
    <row r="112" spans="1:6" s="1025" customFormat="1" ht="24">
      <c r="A112" s="3273">
        <v>40</v>
      </c>
      <c r="B112" s="3912"/>
      <c r="C112" s="3273" t="s">
        <v>2611</v>
      </c>
      <c r="D112" s="3251" t="s">
        <v>2612</v>
      </c>
      <c r="E112" s="3274">
        <v>0.1</v>
      </c>
      <c r="F112" s="3273">
        <v>15</v>
      </c>
    </row>
    <row r="113" spans="1:6" s="1025" customFormat="1" ht="24">
      <c r="A113" s="3273">
        <v>41</v>
      </c>
      <c r="B113" s="3913" t="s">
        <v>2613</v>
      </c>
      <c r="C113" s="3273" t="s">
        <v>2614</v>
      </c>
      <c r="D113" s="3251" t="s">
        <v>2615</v>
      </c>
      <c r="E113" s="3274">
        <v>0.1</v>
      </c>
      <c r="F113" s="3273">
        <v>15</v>
      </c>
    </row>
    <row r="114" spans="1:6" s="1025" customFormat="1">
      <c r="A114" s="3273">
        <v>42</v>
      </c>
      <c r="B114" s="3913"/>
      <c r="C114" s="3273" t="s">
        <v>2616</v>
      </c>
      <c r="D114" s="3251" t="s">
        <v>2617</v>
      </c>
      <c r="E114" s="3274">
        <v>0.1</v>
      </c>
      <c r="F114" s="3273">
        <v>15</v>
      </c>
    </row>
    <row r="115" spans="1:6" s="1025" customFormat="1" ht="24">
      <c r="A115" s="3273">
        <v>43</v>
      </c>
      <c r="B115" s="3913"/>
      <c r="C115" s="3273" t="s">
        <v>2618</v>
      </c>
      <c r="D115" s="3251" t="s">
        <v>2619</v>
      </c>
      <c r="E115" s="3274">
        <v>0.1</v>
      </c>
      <c r="F115" s="3273">
        <v>15</v>
      </c>
    </row>
    <row r="116" spans="1:6" s="1025" customFormat="1" ht="24">
      <c r="A116" s="3273">
        <v>44</v>
      </c>
      <c r="B116" s="3911" t="s">
        <v>2620</v>
      </c>
      <c r="C116" s="3273" t="s">
        <v>2621</v>
      </c>
      <c r="D116" s="3251" t="s">
        <v>2622</v>
      </c>
      <c r="E116" s="3274">
        <v>0.1</v>
      </c>
      <c r="F116" s="3273">
        <v>15</v>
      </c>
    </row>
    <row r="117" spans="1:6" s="1025" customFormat="1" ht="24">
      <c r="A117" s="3273">
        <v>45</v>
      </c>
      <c r="B117" s="3912"/>
      <c r="C117" s="3251" t="s">
        <v>2623</v>
      </c>
      <c r="D117" s="3251" t="s">
        <v>2624</v>
      </c>
      <c r="E117" s="3274">
        <v>0.1</v>
      </c>
      <c r="F117" s="3273">
        <v>15</v>
      </c>
    </row>
    <row r="118" spans="1:6" s="1025" customFormat="1" ht="24">
      <c r="A118" s="3273">
        <v>46</v>
      </c>
      <c r="B118" s="3911" t="s">
        <v>2625</v>
      </c>
      <c r="C118" s="3273" t="s">
        <v>2626</v>
      </c>
      <c r="D118" s="3251" t="s">
        <v>2627</v>
      </c>
      <c r="E118" s="3274">
        <v>0.1</v>
      </c>
      <c r="F118" s="3273">
        <v>15</v>
      </c>
    </row>
    <row r="119" spans="1:6" s="1025" customFormat="1" ht="24">
      <c r="A119" s="3273">
        <v>47</v>
      </c>
      <c r="B119" s="3912"/>
      <c r="C119" s="3273" t="s">
        <v>2628</v>
      </c>
      <c r="D119" s="3251" t="s">
        <v>2629</v>
      </c>
      <c r="E119" s="3274">
        <v>0.1</v>
      </c>
      <c r="F119" s="3273">
        <v>15</v>
      </c>
    </row>
    <row r="120" spans="1:6" s="1025" customFormat="1" ht="24">
      <c r="A120" s="3273">
        <v>48</v>
      </c>
      <c r="B120" s="3911" t="s">
        <v>2630</v>
      </c>
      <c r="C120" s="3273" t="s">
        <v>2631</v>
      </c>
      <c r="D120" s="3251" t="s">
        <v>2632</v>
      </c>
      <c r="E120" s="3274">
        <v>0.1</v>
      </c>
      <c r="F120" s="3273">
        <v>15</v>
      </c>
    </row>
    <row r="121" spans="1:6" s="1025" customFormat="1">
      <c r="A121" s="3273">
        <v>49</v>
      </c>
      <c r="B121" s="3912"/>
      <c r="C121" s="3273" t="s">
        <v>2633</v>
      </c>
      <c r="D121" s="3251" t="s">
        <v>2634</v>
      </c>
      <c r="E121" s="3274">
        <v>0.1</v>
      </c>
      <c r="F121" s="3273">
        <v>15</v>
      </c>
    </row>
    <row r="122" spans="1:6" s="1025" customFormat="1" ht="24">
      <c r="A122" s="3273">
        <v>50</v>
      </c>
      <c r="B122" s="3913" t="s">
        <v>2635</v>
      </c>
      <c r="C122" s="3273" t="s">
        <v>2636</v>
      </c>
      <c r="D122" s="3251" t="s">
        <v>2637</v>
      </c>
      <c r="E122" s="3274">
        <v>0.1</v>
      </c>
      <c r="F122" s="3273">
        <v>15</v>
      </c>
    </row>
    <row r="123" spans="1:6" s="1025" customFormat="1" ht="24">
      <c r="A123" s="3273">
        <v>51</v>
      </c>
      <c r="B123" s="3913"/>
      <c r="C123" s="3273" t="s">
        <v>2638</v>
      </c>
      <c r="D123" s="3251" t="s">
        <v>2639</v>
      </c>
      <c r="E123" s="3274">
        <v>0.1</v>
      </c>
      <c r="F123" s="3273">
        <v>15</v>
      </c>
    </row>
    <row r="124" spans="1:6" s="1025" customFormat="1" ht="24">
      <c r="A124" s="3273">
        <v>52</v>
      </c>
      <c r="B124" s="3913" t="s">
        <v>2640</v>
      </c>
      <c r="C124" s="3273" t="s">
        <v>2641</v>
      </c>
      <c r="D124" s="3251" t="s">
        <v>2642</v>
      </c>
      <c r="E124" s="3274">
        <v>0.1</v>
      </c>
      <c r="F124" s="3273">
        <v>15</v>
      </c>
    </row>
    <row r="125" spans="1:6" s="1025" customFormat="1" ht="24">
      <c r="A125" s="3273">
        <v>53</v>
      </c>
      <c r="B125" s="3913"/>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13" t="s">
        <v>2648</v>
      </c>
      <c r="C127" s="3273" t="s">
        <v>2649</v>
      </c>
      <c r="D127" s="3251" t="s">
        <v>2650</v>
      </c>
      <c r="E127" s="3274">
        <v>0.1</v>
      </c>
      <c r="F127" s="3273">
        <v>15</v>
      </c>
    </row>
    <row r="128" spans="1:6">
      <c r="A128" s="3273">
        <v>56</v>
      </c>
      <c r="B128" s="3913"/>
      <c r="C128" s="3273" t="s">
        <v>2651</v>
      </c>
      <c r="D128" s="3251" t="s">
        <v>2652</v>
      </c>
      <c r="E128" s="3274">
        <v>0.1</v>
      </c>
      <c r="F128" s="3273">
        <v>15</v>
      </c>
    </row>
    <row r="129" spans="1:14" ht="24">
      <c r="A129" s="3273">
        <v>57</v>
      </c>
      <c r="B129" s="3913"/>
      <c r="C129" s="3273" t="s">
        <v>2653</v>
      </c>
      <c r="D129" s="3251" t="s">
        <v>2654</v>
      </c>
      <c r="E129" s="3274">
        <v>0.1</v>
      </c>
      <c r="F129" s="3273">
        <v>15</v>
      </c>
    </row>
    <row r="130" spans="1:14" ht="24">
      <c r="A130" s="3273">
        <v>58</v>
      </c>
      <c r="B130" s="3913" t="s">
        <v>2655</v>
      </c>
      <c r="C130" s="3273" t="s">
        <v>2656</v>
      </c>
      <c r="D130" s="3251" t="s">
        <v>2657</v>
      </c>
      <c r="E130" s="3274">
        <v>0.1</v>
      </c>
      <c r="F130" s="3273">
        <v>15</v>
      </c>
    </row>
    <row r="131" spans="1:14" ht="24">
      <c r="A131" s="3273">
        <v>59</v>
      </c>
      <c r="B131" s="3913"/>
      <c r="C131" s="3273" t="s">
        <v>2658</v>
      </c>
      <c r="D131" s="3251" t="s">
        <v>2659</v>
      </c>
      <c r="E131" s="3274">
        <v>0.1</v>
      </c>
      <c r="F131" s="3273">
        <v>15</v>
      </c>
    </row>
    <row r="132" spans="1:14" ht="24">
      <c r="A132" s="3273">
        <v>60</v>
      </c>
      <c r="B132" s="3911" t="s">
        <v>2660</v>
      </c>
      <c r="C132" s="3273" t="s">
        <v>2661</v>
      </c>
      <c r="D132" s="3251" t="s">
        <v>2662</v>
      </c>
      <c r="E132" s="3274">
        <v>0.1</v>
      </c>
      <c r="F132" s="3273">
        <v>15</v>
      </c>
    </row>
    <row r="133" spans="1:14" ht="24">
      <c r="A133" s="3273">
        <v>61</v>
      </c>
      <c r="B133" s="3912"/>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13" t="s">
        <v>2668</v>
      </c>
      <c r="C135" s="3273" t="s">
        <v>2669</v>
      </c>
      <c r="D135" s="3251" t="s">
        <v>2670</v>
      </c>
      <c r="E135" s="3274">
        <v>0.1</v>
      </c>
      <c r="F135" s="3273">
        <v>15</v>
      </c>
    </row>
    <row r="136" spans="1:14">
      <c r="A136" s="3273">
        <v>64</v>
      </c>
      <c r="B136" s="3913"/>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14" t="s">
        <v>2817</v>
      </c>
      <c r="B1" s="3914"/>
      <c r="C1" s="3914"/>
      <c r="D1" s="3914"/>
      <c r="E1" s="3914"/>
      <c r="F1" s="3914"/>
      <c r="G1" s="3915"/>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2818</v>
      </c>
      <c r="B2" s="3418"/>
      <c r="C2" s="3418"/>
      <c r="D2" s="3418"/>
      <c r="E2" s="3418"/>
      <c r="F2" s="3418"/>
      <c r="G2" s="3413" t="s">
        <v>2819</v>
      </c>
      <c r="J2" s="3442" t="s">
        <v>2825</v>
      </c>
      <c r="K2" s="3422" t="s">
        <v>2827</v>
      </c>
      <c r="L2" s="3422" t="s">
        <v>2829</v>
      </c>
      <c r="M2" s="3422" t="s">
        <v>2835</v>
      </c>
      <c r="N2" s="3422" t="s">
        <v>2845</v>
      </c>
      <c r="O2" s="3422" t="s">
        <v>2860</v>
      </c>
      <c r="P2" s="3422" t="s">
        <v>2897</v>
      </c>
      <c r="Q2" s="3422" t="s">
        <v>2928</v>
      </c>
      <c r="R2" s="3422" t="s">
        <v>2956</v>
      </c>
      <c r="S2" s="3422" t="s">
        <v>2991</v>
      </c>
      <c r="T2" s="3422" t="s">
        <v>3011</v>
      </c>
      <c r="U2" s="3422" t="s">
        <v>3023</v>
      </c>
    </row>
    <row r="3" spans="1:21" s="1012" customFormat="1" ht="19.5" customHeight="1">
      <c r="A3" s="3916" t="s">
        <v>2820</v>
      </c>
      <c r="B3" s="3414"/>
      <c r="C3" s="3415" t="s">
        <v>2797</v>
      </c>
      <c r="D3" s="3415" t="s">
        <v>2821</v>
      </c>
      <c r="E3" s="3415" t="s">
        <v>2799</v>
      </c>
      <c r="F3" s="3415" t="s">
        <v>2822</v>
      </c>
      <c r="G3" s="3415" t="s">
        <v>2740</v>
      </c>
      <c r="H3" s="1015"/>
      <c r="J3" s="3442" t="s">
        <v>2826</v>
      </c>
      <c r="K3" s="3422" t="s">
        <v>973</v>
      </c>
      <c r="L3" s="3422" t="s">
        <v>974</v>
      </c>
      <c r="M3" s="3422" t="s">
        <v>975</v>
      </c>
      <c r="N3" s="3422" t="s">
        <v>976</v>
      </c>
      <c r="O3" s="3422" t="s">
        <v>977</v>
      </c>
      <c r="P3" s="3422" t="s">
        <v>978</v>
      </c>
      <c r="Q3" s="3422" t="s">
        <v>979</v>
      </c>
      <c r="R3" s="3422" t="s">
        <v>980</v>
      </c>
      <c r="S3" s="3422" t="s">
        <v>981</v>
      </c>
      <c r="T3" s="3422" t="s">
        <v>3012</v>
      </c>
      <c r="U3" s="3422" t="s">
        <v>3024</v>
      </c>
    </row>
    <row r="4" spans="1:21" s="1012" customFormat="1" ht="19.5" customHeight="1" thickBot="1">
      <c r="A4" s="3917"/>
      <c r="B4" s="3416" t="s">
        <v>2823</v>
      </c>
      <c r="C4" s="3416" t="s">
        <v>2824</v>
      </c>
      <c r="D4" s="3416" t="s">
        <v>2824</v>
      </c>
      <c r="E4" s="3416" t="s">
        <v>2824</v>
      </c>
      <c r="F4" s="3417" t="s">
        <v>2824</v>
      </c>
      <c r="G4" s="3417" t="s">
        <v>2824</v>
      </c>
      <c r="H4" s="1015"/>
      <c r="J4" s="3442" t="s">
        <v>982</v>
      </c>
      <c r="K4" s="3422" t="s">
        <v>983</v>
      </c>
      <c r="L4" s="3422" t="s">
        <v>984</v>
      </c>
      <c r="M4" s="3422" t="s">
        <v>985</v>
      </c>
      <c r="N4" s="3422" t="s">
        <v>986</v>
      </c>
      <c r="O4" s="3422" t="s">
        <v>987</v>
      </c>
      <c r="P4" s="3422" t="s">
        <v>988</v>
      </c>
      <c r="Q4" s="3422" t="s">
        <v>989</v>
      </c>
      <c r="R4" s="3422" t="s">
        <v>2957</v>
      </c>
      <c r="S4" s="3422" t="s">
        <v>2992</v>
      </c>
      <c r="T4" s="3422" t="s">
        <v>3013</v>
      </c>
      <c r="U4" s="3422" t="s">
        <v>3025</v>
      </c>
    </row>
    <row r="5" spans="1:21" ht="14.25" customHeight="1">
      <c r="A5" s="3419" t="s">
        <v>990</v>
      </c>
      <c r="B5" s="3420" t="s">
        <v>2825</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2958</v>
      </c>
      <c r="S5" s="3422" t="s">
        <v>2993</v>
      </c>
      <c r="T5" s="3422" t="s">
        <v>999</v>
      </c>
      <c r="U5" s="3422" t="s">
        <v>3026</v>
      </c>
    </row>
    <row r="6" spans="1:21" ht="14.25" customHeight="1">
      <c r="A6" s="3422" t="s">
        <v>990</v>
      </c>
      <c r="B6" s="3422" t="s">
        <v>2826</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2929</v>
      </c>
      <c r="R6" s="3422" t="s">
        <v>2959</v>
      </c>
      <c r="S6" s="3422" t="s">
        <v>1008</v>
      </c>
      <c r="T6" s="3422" t="s">
        <v>3014</v>
      </c>
      <c r="U6" s="3422" t="s">
        <v>3027</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21140</v>
      </c>
      <c r="K7" s="3422" t="s">
        <v>1009</v>
      </c>
      <c r="L7" s="3422" t="s">
        <v>1010</v>
      </c>
      <c r="M7" s="3422" t="s">
        <v>1011</v>
      </c>
      <c r="N7" s="3422" t="s">
        <v>1012</v>
      </c>
      <c r="O7" s="3422" t="s">
        <v>1013</v>
      </c>
      <c r="P7" s="3422" t="s">
        <v>1014</v>
      </c>
      <c r="Q7" s="3422" t="s">
        <v>2930</v>
      </c>
      <c r="R7" s="3422" t="s">
        <v>2960</v>
      </c>
      <c r="S7" s="3422" t="s">
        <v>2994</v>
      </c>
      <c r="T7" s="3422" t="s">
        <v>3015</v>
      </c>
      <c r="U7" s="1289" t="s">
        <v>3028</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0</v>
      </c>
      <c r="K8" s="3422" t="s">
        <v>1015</v>
      </c>
      <c r="L8" s="3422" t="s">
        <v>1016</v>
      </c>
      <c r="M8" s="3422" t="s">
        <v>1017</v>
      </c>
      <c r="N8" s="3422" t="s">
        <v>1018</v>
      </c>
      <c r="O8" s="3422" t="s">
        <v>1019</v>
      </c>
      <c r="P8" s="3422" t="s">
        <v>1020</v>
      </c>
      <c r="Q8" s="3422" t="s">
        <v>2931</v>
      </c>
      <c r="R8" s="3422" t="s">
        <v>1021</v>
      </c>
      <c r="S8" s="3422" t="s">
        <v>2995</v>
      </c>
      <c r="T8" s="3422" t="s">
        <v>3016</v>
      </c>
      <c r="U8" s="3422" t="s">
        <v>3029</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2932</v>
      </c>
      <c r="R9" s="3422" t="s">
        <v>1029</v>
      </c>
      <c r="S9" s="3422" t="s">
        <v>1030</v>
      </c>
      <c r="T9" s="3422" t="s">
        <v>1047</v>
      </c>
    </row>
    <row r="10" spans="1:21" ht="14.25" customHeight="1">
      <c r="A10" s="3419" t="s">
        <v>1031</v>
      </c>
      <c r="B10" s="3420" t="s">
        <v>2827</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3017</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2898</v>
      </c>
      <c r="Q11" s="3422" t="s">
        <v>1038</v>
      </c>
      <c r="R11" s="3422" t="s">
        <v>1046</v>
      </c>
      <c r="S11" s="3422" t="s">
        <v>2996</v>
      </c>
      <c r="T11" s="3422" t="s">
        <v>3018</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2899</v>
      </c>
      <c r="Q12" s="3422" t="s">
        <v>2933</v>
      </c>
      <c r="R12" s="3422" t="s">
        <v>2961</v>
      </c>
      <c r="S12" s="3422" t="s">
        <v>2997</v>
      </c>
      <c r="T12" s="3422" t="s">
        <v>3019</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2900</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2962</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2901</v>
      </c>
      <c r="Q15" s="3422" t="s">
        <v>2934</v>
      </c>
      <c r="R15" s="3422" t="s">
        <v>1090</v>
      </c>
      <c r="S15" s="3422" t="s">
        <v>2998</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2902</v>
      </c>
      <c r="Q16" s="3422" t="s">
        <v>1075</v>
      </c>
      <c r="R16" s="3422" t="s">
        <v>1098</v>
      </c>
      <c r="S16" s="3422" t="s">
        <v>1054</v>
      </c>
      <c r="T16" s="3422" t="s">
        <v>3020</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2903</v>
      </c>
      <c r="Q17" s="3422" t="s">
        <v>2935</v>
      </c>
      <c r="R17" s="3422" t="s">
        <v>1104</v>
      </c>
      <c r="S17" s="3422" t="s">
        <v>2999</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2904</v>
      </c>
      <c r="Q18" s="3422" t="s">
        <v>1089</v>
      </c>
      <c r="R18" s="3422" t="s">
        <v>2963</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2905</v>
      </c>
      <c r="Q19" s="3422" t="s">
        <v>1097</v>
      </c>
      <c r="R19" s="3422" t="s">
        <v>2964</v>
      </c>
      <c r="S19" s="3422" t="s">
        <v>1113</v>
      </c>
      <c r="T19" s="3422" t="s">
        <v>3021</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2906</v>
      </c>
      <c r="Q20" s="3422" t="s">
        <v>2936</v>
      </c>
      <c r="R20" s="3422" t="s">
        <v>1139</v>
      </c>
      <c r="S20" s="3422" t="s">
        <v>3000</v>
      </c>
      <c r="T20" s="3422" t="s">
        <v>1126</v>
      </c>
    </row>
    <row r="21" spans="1:20" ht="14.25" customHeight="1">
      <c r="A21" s="3422" t="s">
        <v>1031</v>
      </c>
      <c r="B21" s="1289" t="s">
        <v>1055</v>
      </c>
      <c r="C21" s="3422">
        <v>32370</v>
      </c>
      <c r="D21" s="3422">
        <v>26730</v>
      </c>
      <c r="E21" s="3422">
        <v>26640</v>
      </c>
      <c r="F21" s="3428"/>
      <c r="G21" s="3429">
        <v>19440</v>
      </c>
      <c r="K21" s="3431" t="s">
        <v>2828</v>
      </c>
      <c r="L21" s="3422" t="s">
        <v>1115</v>
      </c>
      <c r="M21" s="3422" t="s">
        <v>1116</v>
      </c>
      <c r="N21" s="3422" t="s">
        <v>1117</v>
      </c>
      <c r="O21" s="3422" t="s">
        <v>1118</v>
      </c>
      <c r="P21" s="3422" t="s">
        <v>1112</v>
      </c>
      <c r="Q21" s="3422" t="s">
        <v>1132</v>
      </c>
      <c r="R21" s="3422" t="s">
        <v>1142</v>
      </c>
      <c r="S21" s="3422" t="s">
        <v>3001</v>
      </c>
      <c r="T21" s="3422" t="s">
        <v>3022</v>
      </c>
    </row>
    <row r="22" spans="1:20" ht="14.25" customHeight="1">
      <c r="A22" s="3422" t="s">
        <v>1031</v>
      </c>
      <c r="B22" s="1289" t="s">
        <v>1062</v>
      </c>
      <c r="C22" s="3422">
        <v>29830</v>
      </c>
      <c r="D22" s="3422">
        <v>27600</v>
      </c>
      <c r="E22" s="3422">
        <v>28150</v>
      </c>
      <c r="F22" s="3428"/>
      <c r="G22" s="3429">
        <v>20080</v>
      </c>
      <c r="L22" s="3431" t="s">
        <v>2830</v>
      </c>
      <c r="M22" s="3422" t="s">
        <v>1120</v>
      </c>
      <c r="N22" s="3422" t="s">
        <v>1121</v>
      </c>
      <c r="O22" s="3422" t="s">
        <v>1122</v>
      </c>
      <c r="P22" s="3422" t="s">
        <v>2907</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2831</v>
      </c>
      <c r="M23" s="3422" t="s">
        <v>1127</v>
      </c>
      <c r="N23" s="3422" t="s">
        <v>1128</v>
      </c>
      <c r="O23" s="3422" t="s">
        <v>2861</v>
      </c>
      <c r="P23" s="3422" t="s">
        <v>2908</v>
      </c>
      <c r="Q23" s="3422" t="s">
        <v>1138</v>
      </c>
      <c r="R23" s="3422" t="s">
        <v>1147</v>
      </c>
      <c r="S23" s="3422" t="s">
        <v>3002</v>
      </c>
    </row>
    <row r="24" spans="1:20" ht="14.25" customHeight="1">
      <c r="A24" s="3422" t="s">
        <v>1031</v>
      </c>
      <c r="B24" s="1289" t="s">
        <v>1078</v>
      </c>
      <c r="C24" s="3422">
        <v>27930</v>
      </c>
      <c r="D24" s="3422">
        <v>32260</v>
      </c>
      <c r="E24" s="3422">
        <v>32120</v>
      </c>
      <c r="F24" s="3428"/>
      <c r="G24" s="3429">
        <v>23470</v>
      </c>
      <c r="L24" s="3431" t="s">
        <v>2832</v>
      </c>
      <c r="M24" s="3422" t="s">
        <v>1130</v>
      </c>
      <c r="N24" s="3422" t="s">
        <v>1131</v>
      </c>
      <c r="O24" s="3422" t="s">
        <v>2862</v>
      </c>
      <c r="P24" s="3422" t="s">
        <v>1134</v>
      </c>
      <c r="Q24" s="3422" t="s">
        <v>2937</v>
      </c>
      <c r="R24" s="3422" t="s">
        <v>2965</v>
      </c>
      <c r="S24" s="3422" t="s">
        <v>3003</v>
      </c>
    </row>
    <row r="25" spans="1:20" ht="14.25" customHeight="1">
      <c r="A25" s="3422" t="s">
        <v>1031</v>
      </c>
      <c r="B25" s="1289" t="s">
        <v>1083</v>
      </c>
      <c r="C25" s="3422">
        <v>32230</v>
      </c>
      <c r="D25" s="3422">
        <v>29640</v>
      </c>
      <c r="E25" s="3422">
        <v>29510</v>
      </c>
      <c r="F25" s="3428"/>
      <c r="G25" s="3429">
        <v>21560</v>
      </c>
      <c r="L25" s="3431" t="s">
        <v>2833</v>
      </c>
      <c r="M25" s="3422" t="s">
        <v>2836</v>
      </c>
      <c r="N25" s="3422" t="s">
        <v>1133</v>
      </c>
      <c r="O25" s="3422" t="s">
        <v>1141</v>
      </c>
      <c r="P25" s="3422" t="s">
        <v>1137</v>
      </c>
      <c r="Q25" s="3422" t="s">
        <v>1124</v>
      </c>
      <c r="R25" s="3422" t="s">
        <v>1119</v>
      </c>
      <c r="S25" s="3422" t="s">
        <v>3004</v>
      </c>
    </row>
    <row r="26" spans="1:20" ht="14.25" customHeight="1">
      <c r="A26" s="3422" t="s">
        <v>1031</v>
      </c>
      <c r="B26" s="1289" t="s">
        <v>1092</v>
      </c>
      <c r="C26" s="3422">
        <v>31690</v>
      </c>
      <c r="D26" s="3422">
        <v>27650</v>
      </c>
      <c r="E26" s="3422">
        <v>28200</v>
      </c>
      <c r="F26" s="3428"/>
      <c r="G26" s="3429">
        <v>20110</v>
      </c>
      <c r="L26" s="3431" t="s">
        <v>2834</v>
      </c>
      <c r="M26" s="3422" t="s">
        <v>2837</v>
      </c>
      <c r="N26" s="3422" t="s">
        <v>1136</v>
      </c>
      <c r="O26" s="3422" t="s">
        <v>1143</v>
      </c>
      <c r="P26" s="3422" t="s">
        <v>2909</v>
      </c>
      <c r="Q26" s="3422" t="s">
        <v>2938</v>
      </c>
      <c r="R26" s="3422" t="s">
        <v>1125</v>
      </c>
      <c r="S26" s="3422" t="s">
        <v>3005</v>
      </c>
    </row>
    <row r="27" spans="1:20" ht="14.25" customHeight="1">
      <c r="A27" s="3422" t="s">
        <v>1031</v>
      </c>
      <c r="B27" s="1289" t="s">
        <v>1099</v>
      </c>
      <c r="C27" s="3422">
        <v>29610</v>
      </c>
      <c r="D27" s="3422">
        <v>27770</v>
      </c>
      <c r="E27" s="3422">
        <v>28300</v>
      </c>
      <c r="F27" s="3428"/>
      <c r="G27" s="3429">
        <v>20210</v>
      </c>
      <c r="M27" s="3422" t="s">
        <v>2838</v>
      </c>
      <c r="N27" s="3422" t="s">
        <v>1140</v>
      </c>
      <c r="O27" s="3422" t="s">
        <v>1146</v>
      </c>
      <c r="P27" s="3422" t="s">
        <v>1123</v>
      </c>
      <c r="Q27" s="3422" t="s">
        <v>2939</v>
      </c>
      <c r="R27" s="3422" t="s">
        <v>2966</v>
      </c>
      <c r="S27" s="3422" t="s">
        <v>3006</v>
      </c>
    </row>
    <row r="28" spans="1:20" ht="14.25" customHeight="1">
      <c r="A28" s="3436" t="s">
        <v>1031</v>
      </c>
      <c r="B28" s="2601" t="s">
        <v>1107</v>
      </c>
      <c r="C28" s="1287"/>
      <c r="D28" s="1287">
        <v>31520</v>
      </c>
      <c r="E28" s="1287">
        <v>31410</v>
      </c>
      <c r="F28" s="3433"/>
      <c r="G28" s="3434">
        <v>22940</v>
      </c>
      <c r="M28" s="3422" t="s">
        <v>2839</v>
      </c>
      <c r="N28" s="3422" t="s">
        <v>2846</v>
      </c>
      <c r="O28" s="3422" t="s">
        <v>2863</v>
      </c>
      <c r="P28" s="3422" t="s">
        <v>2910</v>
      </c>
      <c r="Q28" s="3422" t="s">
        <v>2940</v>
      </c>
      <c r="R28" s="3422" t="s">
        <v>2967</v>
      </c>
      <c r="S28" s="3431" t="s">
        <v>3007</v>
      </c>
    </row>
    <row r="29" spans="1:20" ht="14.25" customHeight="1" thickBot="1">
      <c r="A29" s="3437" t="s">
        <v>1031</v>
      </c>
      <c r="B29" s="3425" t="s">
        <v>2828</v>
      </c>
      <c r="C29" s="3425"/>
      <c r="D29" s="3425">
        <v>29460</v>
      </c>
      <c r="E29" s="3425">
        <v>28640</v>
      </c>
      <c r="F29" s="3426"/>
      <c r="G29" s="3438">
        <v>21430</v>
      </c>
      <c r="M29" s="3431" t="s">
        <v>2840</v>
      </c>
      <c r="N29" s="3422" t="s">
        <v>2847</v>
      </c>
      <c r="O29" s="3422" t="s">
        <v>2864</v>
      </c>
      <c r="P29" s="3422" t="s">
        <v>2911</v>
      </c>
      <c r="Q29" s="3422" t="s">
        <v>2941</v>
      </c>
      <c r="R29" s="3422" t="s">
        <v>2968</v>
      </c>
      <c r="S29" s="3431" t="s">
        <v>1129</v>
      </c>
    </row>
    <row r="30" spans="1:20" ht="14.25" customHeight="1">
      <c r="A30" s="3436" t="s">
        <v>1145</v>
      </c>
      <c r="B30" s="1289" t="s">
        <v>2829</v>
      </c>
      <c r="C30" s="1289">
        <v>26890</v>
      </c>
      <c r="D30" s="1289">
        <v>26770</v>
      </c>
      <c r="E30" s="1289">
        <v>25700</v>
      </c>
      <c r="F30" s="3423">
        <v>8180</v>
      </c>
      <c r="G30" s="3423">
        <v>18740</v>
      </c>
      <c r="I30" s="1022"/>
      <c r="M30" s="3431" t="s">
        <v>2841</v>
      </c>
      <c r="N30" s="3422" t="s">
        <v>2848</v>
      </c>
      <c r="O30" s="3422" t="s">
        <v>2865</v>
      </c>
      <c r="P30" s="3422" t="s">
        <v>2912</v>
      </c>
      <c r="Q30" s="3422" t="s">
        <v>2942</v>
      </c>
      <c r="R30" s="3422" t="s">
        <v>2969</v>
      </c>
      <c r="S30" s="3431" t="s">
        <v>3008</v>
      </c>
    </row>
    <row r="31" spans="1:20" ht="14.25" customHeight="1">
      <c r="A31" s="3422" t="s">
        <v>1145</v>
      </c>
      <c r="B31" s="1289" t="s">
        <v>974</v>
      </c>
      <c r="C31" s="3422">
        <v>24550</v>
      </c>
      <c r="D31" s="3422">
        <v>23990</v>
      </c>
      <c r="E31" s="3422">
        <v>22930</v>
      </c>
      <c r="F31" s="3428">
        <v>7470</v>
      </c>
      <c r="G31" s="3428">
        <v>16790</v>
      </c>
      <c r="I31" s="1022"/>
      <c r="M31" s="3431" t="s">
        <v>2842</v>
      </c>
      <c r="N31" s="3422" t="s">
        <v>2849</v>
      </c>
      <c r="O31" s="3422" t="s">
        <v>2866</v>
      </c>
      <c r="P31" s="3422" t="s">
        <v>2913</v>
      </c>
      <c r="Q31" s="3422" t="s">
        <v>2943</v>
      </c>
      <c r="R31" s="3422" t="s">
        <v>2970</v>
      </c>
      <c r="S31" s="3431" t="s">
        <v>3009</v>
      </c>
    </row>
    <row r="32" spans="1:20" ht="14.25" customHeight="1">
      <c r="A32" s="3422" t="s">
        <v>1145</v>
      </c>
      <c r="B32" s="1289" t="s">
        <v>984</v>
      </c>
      <c r="C32" s="3422">
        <v>27210</v>
      </c>
      <c r="D32" s="3422">
        <v>23240</v>
      </c>
      <c r="E32" s="3422">
        <v>23260</v>
      </c>
      <c r="F32" s="3428">
        <v>7130</v>
      </c>
      <c r="G32" s="3428">
        <v>16270</v>
      </c>
      <c r="I32" s="1022"/>
      <c r="M32" s="3431" t="s">
        <v>2843</v>
      </c>
      <c r="N32" s="3422" t="s">
        <v>2850</v>
      </c>
      <c r="O32" s="3422" t="s">
        <v>1149</v>
      </c>
      <c r="P32" s="3422" t="s">
        <v>2914</v>
      </c>
      <c r="Q32" s="3422" t="s">
        <v>1148</v>
      </c>
      <c r="R32" s="3422" t="s">
        <v>2971</v>
      </c>
      <c r="S32" s="3431" t="s">
        <v>3010</v>
      </c>
    </row>
    <row r="33" spans="1:18" ht="14.25" customHeight="1">
      <c r="A33" s="3422" t="s">
        <v>1145</v>
      </c>
      <c r="B33" s="1289" t="s">
        <v>993</v>
      </c>
      <c r="C33" s="3422">
        <v>27300</v>
      </c>
      <c r="D33" s="3422">
        <v>22980</v>
      </c>
      <c r="E33" s="3422">
        <v>24260</v>
      </c>
      <c r="F33" s="3428">
        <v>5860</v>
      </c>
      <c r="G33" s="3428">
        <v>16090</v>
      </c>
      <c r="I33" s="1022"/>
      <c r="M33" s="3431" t="s">
        <v>2844</v>
      </c>
      <c r="N33" s="3422" t="s">
        <v>2851</v>
      </c>
      <c r="O33" s="3422" t="s">
        <v>1150</v>
      </c>
      <c r="P33" s="3422" t="s">
        <v>2915</v>
      </c>
      <c r="Q33" s="3422" t="s">
        <v>2944</v>
      </c>
      <c r="R33" s="3422" t="s">
        <v>2972</v>
      </c>
    </row>
    <row r="34" spans="1:18" ht="14.25" customHeight="1">
      <c r="A34" s="3422" t="s">
        <v>1145</v>
      </c>
      <c r="B34" s="1289" t="s">
        <v>1003</v>
      </c>
      <c r="C34" s="3422">
        <v>23090</v>
      </c>
      <c r="D34" s="3422">
        <v>23390</v>
      </c>
      <c r="E34" s="3422">
        <v>23510</v>
      </c>
      <c r="F34" s="3428">
        <v>6700</v>
      </c>
      <c r="G34" s="3428">
        <v>16370</v>
      </c>
      <c r="I34" s="1022"/>
      <c r="N34" s="3422" t="s">
        <v>2852</v>
      </c>
      <c r="O34" s="3422" t="s">
        <v>1151</v>
      </c>
      <c r="P34" s="3422" t="s">
        <v>2916</v>
      </c>
      <c r="Q34" s="3422" t="s">
        <v>2945</v>
      </c>
      <c r="R34" s="3422" t="s">
        <v>2973</v>
      </c>
    </row>
    <row r="35" spans="1:18" ht="14.25" customHeight="1">
      <c r="A35" s="3422" t="s">
        <v>1145</v>
      </c>
      <c r="B35" s="1289" t="s">
        <v>1010</v>
      </c>
      <c r="C35" s="3422">
        <v>27270</v>
      </c>
      <c r="D35" s="3422">
        <v>24270</v>
      </c>
      <c r="E35" s="3422">
        <v>24950</v>
      </c>
      <c r="F35" s="3428">
        <v>6600</v>
      </c>
      <c r="G35" s="3428">
        <v>16990</v>
      </c>
      <c r="I35" s="1022"/>
      <c r="N35" s="3422" t="s">
        <v>2853</v>
      </c>
      <c r="O35" s="3422" t="s">
        <v>2867</v>
      </c>
      <c r="P35" s="3422" t="s">
        <v>2917</v>
      </c>
      <c r="Q35" s="3422" t="s">
        <v>2946</v>
      </c>
      <c r="R35" s="3422" t="s">
        <v>2974</v>
      </c>
    </row>
    <row r="36" spans="1:18" ht="14.25" customHeight="1">
      <c r="A36" s="3422" t="s">
        <v>1145</v>
      </c>
      <c r="B36" s="1289" t="s">
        <v>1016</v>
      </c>
      <c r="C36" s="3422">
        <v>23490</v>
      </c>
      <c r="D36" s="3422">
        <v>23020</v>
      </c>
      <c r="E36" s="3422">
        <v>25230</v>
      </c>
      <c r="F36" s="3428">
        <v>6780</v>
      </c>
      <c r="G36" s="3428">
        <v>16120</v>
      </c>
      <c r="I36" s="1022"/>
      <c r="N36" s="3431" t="s">
        <v>2854</v>
      </c>
      <c r="O36" s="3459" t="s">
        <v>2868</v>
      </c>
      <c r="P36" s="3422" t="s">
        <v>2918</v>
      </c>
      <c r="Q36" s="3422" t="s">
        <v>2947</v>
      </c>
      <c r="R36" s="3422" t="s">
        <v>2975</v>
      </c>
    </row>
    <row r="37" spans="1:18" ht="14.25" customHeight="1">
      <c r="A37" s="3422" t="s">
        <v>1145</v>
      </c>
      <c r="B37" s="1289" t="s">
        <v>1023</v>
      </c>
      <c r="C37" s="3422">
        <v>24380</v>
      </c>
      <c r="D37" s="3422">
        <v>22240</v>
      </c>
      <c r="E37" s="3422">
        <v>25980</v>
      </c>
      <c r="F37" s="3428">
        <v>8160</v>
      </c>
      <c r="G37" s="3428">
        <v>15570</v>
      </c>
      <c r="I37" s="1023"/>
      <c r="N37" s="3431" t="s">
        <v>2855</v>
      </c>
      <c r="O37" s="3459" t="s">
        <v>2869</v>
      </c>
      <c r="P37" s="3422" t="s">
        <v>2919</v>
      </c>
      <c r="Q37" s="3422" t="s">
        <v>2948</v>
      </c>
      <c r="R37" s="3422" t="s">
        <v>2976</v>
      </c>
    </row>
    <row r="38" spans="1:18" ht="14.25" customHeight="1">
      <c r="A38" s="3422" t="s">
        <v>1145</v>
      </c>
      <c r="B38" s="1289" t="s">
        <v>1033</v>
      </c>
      <c r="C38" s="3422">
        <v>23120</v>
      </c>
      <c r="D38" s="3422">
        <v>24630</v>
      </c>
      <c r="E38" s="3422">
        <v>25030</v>
      </c>
      <c r="F38" s="3428">
        <v>7710</v>
      </c>
      <c r="G38" s="3428">
        <v>17240</v>
      </c>
      <c r="I38" s="1024"/>
      <c r="N38" s="3431" t="s">
        <v>2856</v>
      </c>
      <c r="O38" s="3459" t="s">
        <v>2870</v>
      </c>
      <c r="P38" s="3422" t="s">
        <v>2920</v>
      </c>
      <c r="Q38" s="3422" t="s">
        <v>2949</v>
      </c>
      <c r="R38" s="3422" t="s">
        <v>2977</v>
      </c>
    </row>
    <row r="39" spans="1:18" ht="14.25" customHeight="1">
      <c r="A39" s="3422" t="s">
        <v>1145</v>
      </c>
      <c r="B39" s="1289" t="s">
        <v>1042</v>
      </c>
      <c r="C39" s="3422">
        <v>22330</v>
      </c>
      <c r="D39" s="3422">
        <v>21140</v>
      </c>
      <c r="E39" s="3422">
        <v>23970</v>
      </c>
      <c r="F39" s="3428">
        <v>7940</v>
      </c>
      <c r="G39" s="3428">
        <v>14790</v>
      </c>
      <c r="I39" s="1024"/>
      <c r="N39" s="3431" t="s">
        <v>2857</v>
      </c>
      <c r="O39" s="3459" t="s">
        <v>2871</v>
      </c>
      <c r="P39" s="3422" t="s">
        <v>2921</v>
      </c>
      <c r="Q39" s="3422" t="s">
        <v>2950</v>
      </c>
      <c r="R39" s="3422" t="s">
        <v>2978</v>
      </c>
    </row>
    <row r="40" spans="1:18" ht="14.25" customHeight="1">
      <c r="A40" s="3422" t="s">
        <v>1145</v>
      </c>
      <c r="B40" s="1289" t="s">
        <v>1049</v>
      </c>
      <c r="C40" s="3422">
        <v>24740</v>
      </c>
      <c r="D40" s="3422">
        <v>24690</v>
      </c>
      <c r="E40" s="3422">
        <v>22610</v>
      </c>
      <c r="F40" s="3428"/>
      <c r="G40" s="3428">
        <v>17280</v>
      </c>
      <c r="I40" s="1024"/>
      <c r="N40" s="3431" t="s">
        <v>2858</v>
      </c>
      <c r="O40" s="3459" t="s">
        <v>2872</v>
      </c>
      <c r="P40" s="3422" t="s">
        <v>2922</v>
      </c>
      <c r="Q40" s="3422" t="s">
        <v>2951</v>
      </c>
      <c r="R40" s="3422" t="s">
        <v>2979</v>
      </c>
    </row>
    <row r="41" spans="1:18" ht="14.25" customHeight="1">
      <c r="A41" s="3422" t="s">
        <v>1145</v>
      </c>
      <c r="B41" s="1289" t="s">
        <v>1056</v>
      </c>
      <c r="C41" s="3422">
        <v>21220</v>
      </c>
      <c r="D41" s="3422">
        <v>21120</v>
      </c>
      <c r="E41" s="3422">
        <v>22590</v>
      </c>
      <c r="F41" s="3428"/>
      <c r="G41" s="3428">
        <v>14780</v>
      </c>
      <c r="I41" s="1024"/>
      <c r="N41" s="3431" t="s">
        <v>2859</v>
      </c>
      <c r="O41" s="3460" t="s">
        <v>2873</v>
      </c>
      <c r="P41" s="1289" t="s">
        <v>2923</v>
      </c>
      <c r="Q41" s="3431" t="s">
        <v>2952</v>
      </c>
      <c r="R41" s="1289" t="s">
        <v>2980</v>
      </c>
    </row>
    <row r="42" spans="1:18" ht="14.25" customHeight="1">
      <c r="A42" s="3422" t="s">
        <v>1145</v>
      </c>
      <c r="B42" s="1289" t="s">
        <v>1063</v>
      </c>
      <c r="C42" s="3422">
        <v>24800</v>
      </c>
      <c r="D42" s="3422">
        <v>22280</v>
      </c>
      <c r="E42" s="3422">
        <v>24350</v>
      </c>
      <c r="F42" s="3428"/>
      <c r="G42" s="3428">
        <v>15590</v>
      </c>
      <c r="I42" s="1024"/>
      <c r="O42" s="3422" t="s">
        <v>2874</v>
      </c>
      <c r="P42" s="3422" t="s">
        <v>2924</v>
      </c>
      <c r="Q42" s="3431" t="s">
        <v>2953</v>
      </c>
      <c r="R42" s="3422" t="s">
        <v>2981</v>
      </c>
    </row>
    <row r="43" spans="1:18" ht="14.25" customHeight="1">
      <c r="A43" s="3422" t="s">
        <v>1145</v>
      </c>
      <c r="B43" s="1289" t="s">
        <v>1071</v>
      </c>
      <c r="C43" s="3422">
        <v>21210</v>
      </c>
      <c r="D43" s="3422">
        <v>21160</v>
      </c>
      <c r="E43" s="3422">
        <v>22650</v>
      </c>
      <c r="F43" s="3428"/>
      <c r="G43" s="3428">
        <v>14800</v>
      </c>
      <c r="I43" s="1024"/>
      <c r="O43" s="3422" t="s">
        <v>2875</v>
      </c>
      <c r="P43" s="3422" t="s">
        <v>2925</v>
      </c>
      <c r="Q43" s="3431" t="s">
        <v>2954</v>
      </c>
      <c r="R43" s="3422" t="s">
        <v>2982</v>
      </c>
    </row>
    <row r="44" spans="1:18" ht="14.25" customHeight="1">
      <c r="A44" s="3422" t="s">
        <v>1145</v>
      </c>
      <c r="B44" s="1289" t="s">
        <v>1079</v>
      </c>
      <c r="C44" s="3422">
        <v>22370</v>
      </c>
      <c r="D44" s="3422">
        <v>23140</v>
      </c>
      <c r="E44" s="3422">
        <v>25090</v>
      </c>
      <c r="F44" s="3428"/>
      <c r="G44" s="3428">
        <v>16190</v>
      </c>
      <c r="I44" s="1024"/>
      <c r="O44" s="3422" t="s">
        <v>2876</v>
      </c>
      <c r="P44" s="3422" t="s">
        <v>2926</v>
      </c>
      <c r="Q44" s="3431" t="s">
        <v>2955</v>
      </c>
      <c r="R44" s="3422" t="s">
        <v>2983</v>
      </c>
    </row>
    <row r="45" spans="1:18" ht="14.25" customHeight="1">
      <c r="A45" s="3422" t="s">
        <v>1145</v>
      </c>
      <c r="B45" s="1289" t="s">
        <v>1084</v>
      </c>
      <c r="C45" s="3422">
        <v>21240</v>
      </c>
      <c r="D45" s="3422">
        <v>27050</v>
      </c>
      <c r="E45" s="3422">
        <v>28000</v>
      </c>
      <c r="F45" s="3428"/>
      <c r="G45" s="3428">
        <v>18940</v>
      </c>
      <c r="I45" s="1022"/>
      <c r="O45" s="3422" t="s">
        <v>2877</v>
      </c>
      <c r="P45" s="3422" t="s">
        <v>2927</v>
      </c>
      <c r="R45" s="3422" t="s">
        <v>2984</v>
      </c>
    </row>
    <row r="46" spans="1:18" ht="14.25" customHeight="1">
      <c r="A46" s="3422" t="s">
        <v>1145</v>
      </c>
      <c r="B46" s="1289" t="s">
        <v>1093</v>
      </c>
      <c r="C46" s="3422">
        <v>23240</v>
      </c>
      <c r="D46" s="3422">
        <v>23000</v>
      </c>
      <c r="E46" s="3422">
        <v>24980</v>
      </c>
      <c r="F46" s="3428"/>
      <c r="G46" s="3428">
        <v>16100</v>
      </c>
      <c r="I46" s="1024"/>
      <c r="O46" s="3422" t="s">
        <v>2878</v>
      </c>
      <c r="P46" s="3422"/>
      <c r="R46" s="3422" t="s">
        <v>2985</v>
      </c>
    </row>
    <row r="47" spans="1:18" ht="14.25" customHeight="1">
      <c r="A47" s="3422" t="s">
        <v>1145</v>
      </c>
      <c r="B47" s="2601" t="s">
        <v>1100</v>
      </c>
      <c r="C47" s="1287">
        <v>27150</v>
      </c>
      <c r="D47" s="1287">
        <v>23310</v>
      </c>
      <c r="E47" s="1287">
        <v>25150</v>
      </c>
      <c r="F47" s="3433"/>
      <c r="G47" s="3433">
        <v>16310</v>
      </c>
      <c r="I47" s="1024"/>
      <c r="O47" s="3422" t="s">
        <v>2879</v>
      </c>
      <c r="P47" s="3422"/>
      <c r="R47" s="3431" t="s">
        <v>2986</v>
      </c>
    </row>
    <row r="48" spans="1:18" ht="14.25" customHeight="1">
      <c r="A48" s="3422" t="s">
        <v>1145</v>
      </c>
      <c r="B48" s="3422" t="s">
        <v>1108</v>
      </c>
      <c r="C48" s="3422">
        <v>23100</v>
      </c>
      <c r="D48" s="3422">
        <v>21110</v>
      </c>
      <c r="E48" s="3422">
        <v>23080</v>
      </c>
      <c r="F48" s="3428"/>
      <c r="G48" s="3435">
        <v>14780</v>
      </c>
      <c r="I48" s="1022"/>
      <c r="O48" s="3422" t="s">
        <v>2880</v>
      </c>
      <c r="P48" s="3422"/>
      <c r="R48" s="3431" t="s">
        <v>2987</v>
      </c>
    </row>
    <row r="49" spans="1:18" ht="14.25" customHeight="1">
      <c r="A49" s="3422" t="s">
        <v>1145</v>
      </c>
      <c r="B49" s="1289" t="s">
        <v>1115</v>
      </c>
      <c r="C49" s="1289">
        <v>23400</v>
      </c>
      <c r="D49" s="1289">
        <v>22920</v>
      </c>
      <c r="E49" s="1289">
        <v>24900</v>
      </c>
      <c r="F49" s="3423"/>
      <c r="G49" s="3423">
        <v>16040</v>
      </c>
      <c r="I49" s="1024"/>
      <c r="O49" s="3422" t="s">
        <v>2881</v>
      </c>
      <c r="P49" s="3422"/>
      <c r="R49" s="3431" t="s">
        <v>2988</v>
      </c>
    </row>
    <row r="50" spans="1:18" ht="14.25" customHeight="1">
      <c r="A50" s="3422" t="s">
        <v>1145</v>
      </c>
      <c r="B50" s="3422" t="s">
        <v>2830</v>
      </c>
      <c r="C50" s="3422">
        <v>21200</v>
      </c>
      <c r="D50" s="3422">
        <v>26540</v>
      </c>
      <c r="E50" s="3422">
        <v>23200</v>
      </c>
      <c r="F50" s="3428"/>
      <c r="G50" s="3428">
        <v>18580</v>
      </c>
      <c r="I50" s="1024"/>
      <c r="O50" s="3431" t="s">
        <v>2882</v>
      </c>
      <c r="R50" s="3431" t="s">
        <v>2989</v>
      </c>
    </row>
    <row r="51" spans="1:18" ht="14.25" customHeight="1">
      <c r="A51" s="3422" t="s">
        <v>1145</v>
      </c>
      <c r="B51" s="3422" t="s">
        <v>2831</v>
      </c>
      <c r="C51" s="3422">
        <v>23000</v>
      </c>
      <c r="D51" s="3422">
        <v>23460</v>
      </c>
      <c r="E51" s="3422">
        <v>25290</v>
      </c>
      <c r="F51" s="3428"/>
      <c r="G51" s="3428">
        <v>16420</v>
      </c>
      <c r="I51" s="1024"/>
      <c r="O51" s="3431" t="s">
        <v>2883</v>
      </c>
      <c r="R51" s="3431" t="s">
        <v>2990</v>
      </c>
    </row>
    <row r="52" spans="1:18" ht="14.25" customHeight="1">
      <c r="A52" s="3422" t="s">
        <v>1145</v>
      </c>
      <c r="B52" s="3422" t="s">
        <v>2832</v>
      </c>
      <c r="C52" s="3422">
        <v>26660</v>
      </c>
      <c r="D52" s="3422">
        <v>22350</v>
      </c>
      <c r="E52" s="3422">
        <v>22920</v>
      </c>
      <c r="F52" s="3428"/>
      <c r="G52" s="3428">
        <v>15640</v>
      </c>
      <c r="I52" s="1024"/>
      <c r="O52" s="3431" t="s">
        <v>2884</v>
      </c>
    </row>
    <row r="53" spans="1:18" ht="14.25" customHeight="1">
      <c r="A53" s="3422" t="s">
        <v>1145</v>
      </c>
      <c r="B53" s="3422" t="s">
        <v>2833</v>
      </c>
      <c r="C53" s="3422">
        <v>23580</v>
      </c>
      <c r="D53" s="3422"/>
      <c r="E53" s="3422">
        <v>24280</v>
      </c>
      <c r="F53" s="3428"/>
      <c r="G53" s="3428"/>
      <c r="I53" s="1024"/>
      <c r="O53" s="3431" t="s">
        <v>2885</v>
      </c>
    </row>
    <row r="54" spans="1:18" ht="14.25" customHeight="1" thickBot="1">
      <c r="A54" s="3437" t="s">
        <v>1145</v>
      </c>
      <c r="B54" s="3425" t="s">
        <v>2834</v>
      </c>
      <c r="C54" s="3425">
        <v>22460</v>
      </c>
      <c r="D54" s="3425"/>
      <c r="E54" s="3425"/>
      <c r="F54" s="3426"/>
      <c r="G54" s="3438"/>
      <c r="I54" s="1024"/>
      <c r="O54" s="3431" t="s">
        <v>2886</v>
      </c>
    </row>
    <row r="55" spans="1:18" ht="14.25" customHeight="1">
      <c r="A55" s="3436" t="s">
        <v>853</v>
      </c>
      <c r="B55" s="1289" t="s">
        <v>2835</v>
      </c>
      <c r="C55" s="1289">
        <v>21970</v>
      </c>
      <c r="D55" s="1289">
        <v>20370</v>
      </c>
      <c r="E55" s="1289">
        <v>20180</v>
      </c>
      <c r="F55" s="3423">
        <v>5730</v>
      </c>
      <c r="G55" s="3423">
        <v>13820</v>
      </c>
      <c r="I55" s="1024"/>
      <c r="O55" s="3431" t="s">
        <v>2887</v>
      </c>
    </row>
    <row r="56" spans="1:18" ht="14.25" customHeight="1">
      <c r="A56" s="3422" t="s">
        <v>853</v>
      </c>
      <c r="B56" s="3422" t="s">
        <v>975</v>
      </c>
      <c r="C56" s="3422">
        <v>20470</v>
      </c>
      <c r="D56" s="3422">
        <v>20700</v>
      </c>
      <c r="E56" s="3422">
        <v>20380</v>
      </c>
      <c r="F56" s="3428">
        <v>4760</v>
      </c>
      <c r="G56" s="3428">
        <v>14050</v>
      </c>
      <c r="I56" s="1024"/>
      <c r="O56" s="3431" t="s">
        <v>2888</v>
      </c>
    </row>
    <row r="57" spans="1:18" ht="14.25" customHeight="1">
      <c r="A57" s="3422" t="s">
        <v>853</v>
      </c>
      <c r="B57" s="3422" t="s">
        <v>985</v>
      </c>
      <c r="C57" s="3422">
        <v>20790</v>
      </c>
      <c r="D57" s="3422">
        <v>21370</v>
      </c>
      <c r="E57" s="3422">
        <v>20890</v>
      </c>
      <c r="F57" s="3428">
        <v>4910</v>
      </c>
      <c r="G57" s="3428">
        <v>14510</v>
      </c>
      <c r="I57" s="1024"/>
      <c r="O57" s="3431" t="s">
        <v>2889</v>
      </c>
    </row>
    <row r="58" spans="1:18" ht="14.25" customHeight="1">
      <c r="A58" s="3422" t="s">
        <v>853</v>
      </c>
      <c r="B58" s="3422" t="s">
        <v>994</v>
      </c>
      <c r="C58" s="3422">
        <v>21460</v>
      </c>
      <c r="D58" s="3422">
        <v>20920</v>
      </c>
      <c r="E58" s="3422">
        <v>23410</v>
      </c>
      <c r="F58" s="3428">
        <v>5100</v>
      </c>
      <c r="G58" s="3428">
        <v>14200</v>
      </c>
      <c r="I58" s="1024"/>
      <c r="O58" s="3431" t="s">
        <v>2890</v>
      </c>
    </row>
    <row r="59" spans="1:18" ht="14.25" customHeight="1">
      <c r="A59" s="3422" t="s">
        <v>853</v>
      </c>
      <c r="B59" s="3422" t="s">
        <v>1004</v>
      </c>
      <c r="C59" s="3422">
        <v>21000</v>
      </c>
      <c r="D59" s="3422">
        <v>21550</v>
      </c>
      <c r="E59" s="3422">
        <v>21150</v>
      </c>
      <c r="F59" s="3428">
        <v>5250</v>
      </c>
      <c r="G59" s="3428">
        <v>14630</v>
      </c>
      <c r="I59" s="1024"/>
      <c r="O59" s="3431" t="s">
        <v>2891</v>
      </c>
    </row>
    <row r="60" spans="1:18" ht="14.25" customHeight="1">
      <c r="A60" s="3422" t="s">
        <v>853</v>
      </c>
      <c r="B60" s="3422" t="s">
        <v>1011</v>
      </c>
      <c r="C60" s="3422">
        <v>21640</v>
      </c>
      <c r="D60" s="3422">
        <v>21260</v>
      </c>
      <c r="E60" s="3422">
        <v>24040</v>
      </c>
      <c r="F60" s="3428">
        <v>4470</v>
      </c>
      <c r="G60" s="3428">
        <v>14430</v>
      </c>
      <c r="I60" s="1024"/>
      <c r="O60" s="3431" t="s">
        <v>2892</v>
      </c>
    </row>
    <row r="61" spans="1:18" ht="14.25" customHeight="1">
      <c r="A61" s="3422" t="s">
        <v>853</v>
      </c>
      <c r="B61" s="3422" t="s">
        <v>1017</v>
      </c>
      <c r="C61" s="3422">
        <v>21330</v>
      </c>
      <c r="D61" s="3422">
        <v>18640</v>
      </c>
      <c r="E61" s="3422">
        <v>21190</v>
      </c>
      <c r="F61" s="3428">
        <v>4180</v>
      </c>
      <c r="G61" s="3430">
        <v>12650</v>
      </c>
      <c r="I61" s="1024"/>
      <c r="O61" s="3431" t="s">
        <v>2893</v>
      </c>
    </row>
    <row r="62" spans="1:18" ht="14.25" customHeight="1">
      <c r="A62" s="3422" t="s">
        <v>853</v>
      </c>
      <c r="B62" s="3422" t="s">
        <v>1024</v>
      </c>
      <c r="C62" s="3422">
        <v>18710</v>
      </c>
      <c r="D62" s="3422">
        <v>19400</v>
      </c>
      <c r="E62" s="3422">
        <v>23750</v>
      </c>
      <c r="F62" s="3428">
        <v>4860</v>
      </c>
      <c r="G62" s="3430">
        <v>13170</v>
      </c>
      <c r="I62" s="1024"/>
      <c r="O62" s="3431" t="s">
        <v>2894</v>
      </c>
    </row>
    <row r="63" spans="1:18" ht="14.25" customHeight="1">
      <c r="A63" s="3422" t="s">
        <v>853</v>
      </c>
      <c r="B63" s="3422" t="s">
        <v>1034</v>
      </c>
      <c r="C63" s="3422">
        <v>19480</v>
      </c>
      <c r="D63" s="3422">
        <v>16830</v>
      </c>
      <c r="E63" s="3422">
        <v>21590</v>
      </c>
      <c r="F63" s="3428">
        <v>4560</v>
      </c>
      <c r="G63" s="3430">
        <v>11420</v>
      </c>
      <c r="I63" s="1024"/>
      <c r="O63" s="3431" t="s">
        <v>2895</v>
      </c>
    </row>
    <row r="64" spans="1:18" ht="14.25" customHeight="1">
      <c r="A64" s="3422" t="s">
        <v>853</v>
      </c>
      <c r="B64" s="3422" t="s">
        <v>1043</v>
      </c>
      <c r="C64" s="3422">
        <v>16920</v>
      </c>
      <c r="D64" s="3422">
        <v>19190</v>
      </c>
      <c r="E64" s="3422">
        <v>22200</v>
      </c>
      <c r="F64" s="3428">
        <v>4390</v>
      </c>
      <c r="G64" s="3430">
        <v>13030</v>
      </c>
      <c r="I64" s="1024"/>
      <c r="O64" s="3431" t="s">
        <v>2896</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2836</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2837</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2838</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2839</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2840</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2841</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2842</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2843</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2844</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2845</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2846</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2847</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2848</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2849</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2850</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2851</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2852</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2853</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2854</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2855</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2856</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2857</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2858</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2859</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2860</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2861</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2862</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2863</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2864</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2865</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2866</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2867</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2868</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2869</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2870</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2871</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2872</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2873</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2874</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2875</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2876</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2877</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2878</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2879</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2880</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2881</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2882</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2883</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2884</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2885</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2886</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2887</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2888</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2889</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2890</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2891</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2892</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2893</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2894</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2895</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2896</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2897</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2898</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2899</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2900</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2901</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2902</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2903</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2904</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2905</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2906</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2907</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2908</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2909</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2910</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2911</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2912</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2913</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2914</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2915</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2916</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2917</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2918</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2919</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2920</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2921</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2922</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2923</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2924</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2925</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2926</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2927</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2928</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2929</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2930</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2931</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2932</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2933</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2934</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2935</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2936</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2937</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2938</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2939</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2940</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2941</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2942</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2943</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2944</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2945</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2946</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2947</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2948</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2949</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2950</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2951</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2952</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2953</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2954</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2955</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2956</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2957</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2958</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2959</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2960</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2961</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2962</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2963</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2964</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2965</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2966</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2967</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2968</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2969</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2970</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2971</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2972</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2973</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2974</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2975</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2976</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2977</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2978</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2979</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2980</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2981</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2982</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2983</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2984</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2985</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2986</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2987</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2988</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2989</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2990</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2991</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2992</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2993</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2994</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2995</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2996</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2997</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2998</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2999</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3000</v>
      </c>
      <c r="C345" s="3431">
        <v>3190</v>
      </c>
      <c r="D345" s="3431">
        <v>3140</v>
      </c>
      <c r="E345" s="3431">
        <v>3450</v>
      </c>
      <c r="F345" s="3431">
        <v>720</v>
      </c>
      <c r="G345" s="3431">
        <v>1880</v>
      </c>
      <c r="H345" s="3444"/>
    </row>
    <row r="346" spans="1:21">
      <c r="A346" s="3431" t="s">
        <v>1157</v>
      </c>
      <c r="B346" s="3431" t="s">
        <v>3001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3002</v>
      </c>
      <c r="C348" s="3431">
        <v>4000</v>
      </c>
      <c r="D348" s="3431">
        <v>3950</v>
      </c>
      <c r="E348" s="3431">
        <v>4430</v>
      </c>
      <c r="F348" s="3431">
        <v>760</v>
      </c>
      <c r="G348" s="3431">
        <v>2360</v>
      </c>
      <c r="H348" s="3444"/>
    </row>
    <row r="349" spans="1:21">
      <c r="A349" s="3431" t="s">
        <v>1157</v>
      </c>
      <c r="B349" s="3431" t="s">
        <v>3003</v>
      </c>
      <c r="C349" s="3431">
        <v>3820</v>
      </c>
      <c r="D349" s="3431">
        <v>3780</v>
      </c>
      <c r="E349" s="3431">
        <v>4170</v>
      </c>
      <c r="F349" s="3431">
        <v>710</v>
      </c>
      <c r="G349" s="3431">
        <v>2260</v>
      </c>
      <c r="H349" s="3444"/>
    </row>
    <row r="350" spans="1:21">
      <c r="A350" s="3431" t="s">
        <v>1157</v>
      </c>
      <c r="B350" s="3431" t="s">
        <v>3004</v>
      </c>
      <c r="C350" s="3431">
        <v>3760</v>
      </c>
      <c r="D350" s="3431">
        <v>3730</v>
      </c>
      <c r="E350" s="3431">
        <v>4100</v>
      </c>
      <c r="F350" s="3431">
        <v>800</v>
      </c>
      <c r="G350" s="3431">
        <v>2230</v>
      </c>
      <c r="H350" s="3444"/>
    </row>
    <row r="351" spans="1:21">
      <c r="A351" s="3431" t="s">
        <v>1157</v>
      </c>
      <c r="B351" s="3431" t="s">
        <v>3005</v>
      </c>
      <c r="C351" s="3431">
        <v>3610</v>
      </c>
      <c r="D351" s="3431">
        <v>3580</v>
      </c>
      <c r="E351" s="3431">
        <v>3930</v>
      </c>
      <c r="F351" s="3431">
        <v>700</v>
      </c>
      <c r="G351" s="3431">
        <v>2140</v>
      </c>
      <c r="H351" s="3444"/>
    </row>
    <row r="352" spans="1:21">
      <c r="A352" s="3431" t="s">
        <v>1157</v>
      </c>
      <c r="B352" s="3431" t="s">
        <v>3006</v>
      </c>
      <c r="C352" s="3431">
        <v>3670</v>
      </c>
      <c r="D352" s="3431">
        <v>3630</v>
      </c>
      <c r="E352" s="3431">
        <v>4000</v>
      </c>
      <c r="F352" s="3431">
        <v>750</v>
      </c>
      <c r="G352" s="3431">
        <v>2180</v>
      </c>
      <c r="H352" s="3444"/>
    </row>
    <row r="353" spans="1:8">
      <c r="A353" s="3431" t="s">
        <v>1157</v>
      </c>
      <c r="B353" s="3431" t="s">
        <v>3007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3008</v>
      </c>
      <c r="C355" s="3431">
        <v>3650</v>
      </c>
      <c r="D355" s="3431">
        <v>3610</v>
      </c>
      <c r="E355" s="3431">
        <v>4200</v>
      </c>
      <c r="F355" s="3431">
        <v>640</v>
      </c>
      <c r="G355" s="3431">
        <v>2160</v>
      </c>
      <c r="H355" s="3444"/>
    </row>
    <row r="356" spans="1:8">
      <c r="A356" s="3431" t="s">
        <v>1157</v>
      </c>
      <c r="B356" s="3431" t="s">
        <v>3009</v>
      </c>
      <c r="C356" s="3431">
        <v>3260</v>
      </c>
      <c r="D356" s="3431">
        <v>3230</v>
      </c>
      <c r="E356" s="3431">
        <v>3740</v>
      </c>
      <c r="F356" s="3431">
        <v>600</v>
      </c>
      <c r="G356" s="3431">
        <v>1930</v>
      </c>
      <c r="H356" s="3444"/>
    </row>
    <row r="357" spans="1:8" ht="14.25" thickBot="1">
      <c r="A357" s="3447" t="s">
        <v>1157</v>
      </c>
      <c r="B357" s="3447" t="s">
        <v>3010</v>
      </c>
      <c r="C357" s="3447">
        <v>3690</v>
      </c>
      <c r="D357" s="3447">
        <v>3650</v>
      </c>
      <c r="E357" s="3447">
        <v>4020</v>
      </c>
      <c r="F357" s="3447">
        <v>700</v>
      </c>
      <c r="G357" s="3447">
        <v>2190</v>
      </c>
      <c r="H357" s="3444"/>
    </row>
    <row r="358" spans="1:8">
      <c r="A358" s="3448" t="s">
        <v>2765</v>
      </c>
      <c r="B358" s="3449" t="s">
        <v>3011</v>
      </c>
      <c r="C358" s="3449">
        <v>2080</v>
      </c>
      <c r="D358" s="3449">
        <v>2040</v>
      </c>
      <c r="E358" s="3449">
        <v>2010</v>
      </c>
      <c r="F358" s="3449">
        <v>530</v>
      </c>
      <c r="G358" s="3450">
        <v>1230</v>
      </c>
      <c r="H358" s="3444"/>
    </row>
    <row r="359" spans="1:8">
      <c r="A359" s="3451" t="s">
        <v>2765</v>
      </c>
      <c r="B359" s="3431" t="s">
        <v>3012</v>
      </c>
      <c r="C359" s="3431">
        <v>1850</v>
      </c>
      <c r="D359" s="3431">
        <v>1820</v>
      </c>
      <c r="E359" s="3431">
        <v>1780</v>
      </c>
      <c r="F359" s="3431">
        <v>520</v>
      </c>
      <c r="G359" s="3443">
        <v>1100</v>
      </c>
      <c r="H359" s="3444"/>
    </row>
    <row r="360" spans="1:8">
      <c r="A360" s="3451" t="s">
        <v>2765</v>
      </c>
      <c r="B360" s="3431" t="s">
        <v>3013</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3014</v>
      </c>
      <c r="C362" s="3431">
        <v>2650</v>
      </c>
      <c r="D362" s="3431">
        <v>2610</v>
      </c>
      <c r="E362" s="3431">
        <v>2570</v>
      </c>
      <c r="F362" s="3431">
        <v>630</v>
      </c>
      <c r="G362" s="3443">
        <v>1570</v>
      </c>
      <c r="H362" s="3444"/>
    </row>
    <row r="363" spans="1:8">
      <c r="A363" s="3451" t="s">
        <v>2765</v>
      </c>
      <c r="B363" s="3431" t="s">
        <v>3015</v>
      </c>
      <c r="C363" s="3431">
        <v>2390</v>
      </c>
      <c r="D363" s="3431">
        <v>2360</v>
      </c>
      <c r="E363" s="3431">
        <v>2320</v>
      </c>
      <c r="F363" s="3431">
        <v>600</v>
      </c>
      <c r="G363" s="3443">
        <v>1420</v>
      </c>
      <c r="H363" s="3444"/>
    </row>
    <row r="364" spans="1:8">
      <c r="A364" s="3451" t="s">
        <v>2765</v>
      </c>
      <c r="B364" s="3431" t="s">
        <v>3016</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3017</v>
      </c>
      <c r="C366" s="3431">
        <v>2410</v>
      </c>
      <c r="D366" s="3431">
        <v>2370</v>
      </c>
      <c r="E366" s="3431">
        <v>2330</v>
      </c>
      <c r="F366" s="3431">
        <v>570</v>
      </c>
      <c r="G366" s="3443">
        <v>1440</v>
      </c>
      <c r="H366" s="3444"/>
    </row>
    <row r="367" spans="1:8">
      <c r="A367" s="3451" t="s">
        <v>2765</v>
      </c>
      <c r="B367" s="3431" t="s">
        <v>3018</v>
      </c>
      <c r="C367" s="3431">
        <v>2300</v>
      </c>
      <c r="D367" s="3431">
        <v>2260</v>
      </c>
      <c r="E367" s="3431">
        <v>2220</v>
      </c>
      <c r="F367" s="3431">
        <v>560</v>
      </c>
      <c r="G367" s="3443">
        <v>1370</v>
      </c>
      <c r="H367" s="3444"/>
    </row>
    <row r="368" spans="1:8">
      <c r="A368" s="3451" t="s">
        <v>2765</v>
      </c>
      <c r="B368" s="3431" t="s">
        <v>3019</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3020</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3021</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3022</v>
      </c>
      <c r="C377" s="3447">
        <v>1930</v>
      </c>
      <c r="D377" s="3447">
        <v>1890</v>
      </c>
      <c r="E377" s="3447">
        <v>1860</v>
      </c>
      <c r="F377" s="3447">
        <v>530</v>
      </c>
      <c r="G377" s="3454">
        <v>1150</v>
      </c>
      <c r="H377" s="3444"/>
    </row>
    <row r="378" spans="1:8">
      <c r="A378" s="3448" t="s">
        <v>2766</v>
      </c>
      <c r="B378" s="3449" t="s">
        <v>3023</v>
      </c>
      <c r="C378" s="3449">
        <v>1520</v>
      </c>
      <c r="D378" s="3449">
        <v>1490</v>
      </c>
      <c r="E378" s="3449">
        <v>1460</v>
      </c>
      <c r="F378" s="3449">
        <v>460</v>
      </c>
      <c r="G378" s="3450">
        <v>940</v>
      </c>
      <c r="H378" s="3444"/>
    </row>
    <row r="379" spans="1:8">
      <c r="A379" s="3451" t="s">
        <v>2766</v>
      </c>
      <c r="B379" s="3431" t="s">
        <v>3024</v>
      </c>
      <c r="C379" s="3431">
        <v>1500</v>
      </c>
      <c r="D379" s="3431">
        <v>1470</v>
      </c>
      <c r="E379" s="3431">
        <v>1430</v>
      </c>
      <c r="F379" s="3431">
        <v>460</v>
      </c>
      <c r="G379" s="3443">
        <v>920</v>
      </c>
      <c r="H379" s="3444"/>
    </row>
    <row r="380" spans="1:8">
      <c r="A380" s="3451" t="s">
        <v>2766</v>
      </c>
      <c r="B380" s="3431" t="s">
        <v>3025</v>
      </c>
      <c r="C380" s="3431">
        <v>1620</v>
      </c>
      <c r="D380" s="3431">
        <v>1590</v>
      </c>
      <c r="E380" s="3431">
        <v>1560</v>
      </c>
      <c r="F380" s="3431">
        <v>480</v>
      </c>
      <c r="G380" s="3443">
        <v>1000</v>
      </c>
      <c r="H380" s="3444"/>
    </row>
    <row r="381" spans="1:8">
      <c r="A381" s="3451" t="s">
        <v>2766</v>
      </c>
      <c r="B381" s="3431" t="s">
        <v>3026</v>
      </c>
      <c r="C381" s="3431">
        <v>1460</v>
      </c>
      <c r="D381" s="3431">
        <v>1430</v>
      </c>
      <c r="E381" s="3431">
        <v>1390</v>
      </c>
      <c r="F381" s="3431">
        <v>450</v>
      </c>
      <c r="G381" s="3443">
        <v>900</v>
      </c>
      <c r="H381" s="3444"/>
    </row>
    <row r="382" spans="1:8">
      <c r="A382" s="3451" t="s">
        <v>2766</v>
      </c>
      <c r="B382" s="3431" t="s">
        <v>3027</v>
      </c>
      <c r="C382" s="3431">
        <v>1310</v>
      </c>
      <c r="D382" s="3431">
        <v>1280</v>
      </c>
      <c r="E382" s="3431">
        <v>1250</v>
      </c>
      <c r="F382" s="3431">
        <v>440</v>
      </c>
      <c r="G382" s="3443">
        <v>800</v>
      </c>
      <c r="H382" s="3444"/>
    </row>
    <row r="383" spans="1:8">
      <c r="A383" s="3451" t="s">
        <v>2766</v>
      </c>
      <c r="B383" s="3431" t="s">
        <v>3028</v>
      </c>
      <c r="C383" s="3431">
        <v>1260</v>
      </c>
      <c r="D383" s="3431">
        <v>1230</v>
      </c>
      <c r="E383" s="3431">
        <v>1200</v>
      </c>
      <c r="F383" s="3431">
        <v>420</v>
      </c>
      <c r="G383" s="3443">
        <v>770</v>
      </c>
      <c r="H383" s="3444"/>
    </row>
    <row r="384" spans="1:8" ht="14.25" thickBot="1">
      <c r="A384" s="3452" t="s">
        <v>2766</v>
      </c>
      <c r="B384" s="3446" t="s">
        <v>3029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18" t="s">
        <v>3192</v>
      </c>
      <c r="B1" s="3918"/>
      <c r="C1" s="3918"/>
      <c r="D1" s="3918"/>
      <c r="E1" s="3918"/>
      <c r="F1" s="3919"/>
    </row>
    <row r="2" spans="1:6">
      <c r="A2" s="3498" t="s">
        <v>3193</v>
      </c>
      <c r="B2" s="3499"/>
      <c r="C2" s="3499"/>
      <c r="D2" s="3499"/>
      <c r="E2" s="3499"/>
      <c r="F2" s="3499"/>
    </row>
    <row r="3" spans="1:6">
      <c r="A3" s="3498" t="s">
        <v>3194</v>
      </c>
      <c r="B3" s="3499"/>
      <c r="C3" s="3499"/>
      <c r="D3" s="3499"/>
      <c r="E3" s="3499"/>
      <c r="F3" s="3500" t="s">
        <v>3195</v>
      </c>
    </row>
    <row r="4" spans="1:6">
      <c r="A4" s="3501" t="s">
        <v>3190</v>
      </c>
      <c r="B4" s="3501" t="s">
        <v>2741</v>
      </c>
      <c r="C4" s="3501" t="s">
        <v>1212</v>
      </c>
      <c r="D4" s="3501" t="s">
        <v>3191</v>
      </c>
      <c r="E4" s="3501" t="s">
        <v>905</v>
      </c>
      <c r="F4" s="3501" t="s">
        <v>3196</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20" t="s">
        <v>3030</v>
      </c>
      <c r="B1" s="3920"/>
    </row>
    <row r="2" spans="1:7" ht="14.25" thickBot="1">
      <c r="A2" s="3463"/>
      <c r="B2" s="3463"/>
    </row>
    <row r="3" spans="1:7" ht="14.25" thickBot="1">
      <c r="A3" s="3463"/>
      <c r="B3" s="3463"/>
      <c r="C3" s="3464" t="s">
        <v>3031</v>
      </c>
      <c r="D3" s="3464" t="s">
        <v>3032</v>
      </c>
      <c r="E3" s="3464" t="s">
        <v>3033</v>
      </c>
      <c r="F3" s="3464" t="s">
        <v>3034</v>
      </c>
      <c r="G3" s="3464" t="s">
        <v>3035</v>
      </c>
    </row>
    <row r="4" spans="1:7" ht="14.25" thickBot="1">
      <c r="A4" s="3465" t="s">
        <v>3036</v>
      </c>
      <c r="B4" s="3466" t="s">
        <v>3037</v>
      </c>
      <c r="C4" s="3464"/>
      <c r="D4" s="3464"/>
      <c r="E4" s="3464"/>
      <c r="F4" s="3464"/>
      <c r="G4" s="3464"/>
    </row>
    <row r="5" spans="1:7">
      <c r="A5" s="3467" t="s">
        <v>3038</v>
      </c>
      <c r="B5" s="3468" t="s">
        <v>3039</v>
      </c>
      <c r="C5" s="3469">
        <v>9.8000000000000004E-2</v>
      </c>
      <c r="D5" s="3469">
        <v>8.6999999999999994E-2</v>
      </c>
      <c r="E5" s="3469">
        <v>8.6999999999999994E-2</v>
      </c>
      <c r="F5" s="3469">
        <v>9.8000000000000004E-2</v>
      </c>
      <c r="G5" s="3470">
        <v>9.5000000000000001E-2</v>
      </c>
    </row>
    <row r="6" spans="1:7">
      <c r="A6" s="3471" t="s">
        <v>990</v>
      </c>
      <c r="B6" s="3472" t="s">
        <v>3040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2828</v>
      </c>
      <c r="C29" s="3481"/>
      <c r="D29" s="3477">
        <v>5.1999999999999998E-2</v>
      </c>
      <c r="E29" s="3477">
        <v>7.0000000000000007E-2</v>
      </c>
      <c r="F29" s="3481"/>
      <c r="G29" s="3479">
        <v>7.0999999999999994E-2</v>
      </c>
    </row>
    <row r="30" spans="1:7">
      <c r="A30" s="3482" t="s">
        <v>1145</v>
      </c>
      <c r="B30" s="3468" t="s">
        <v>3043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2830</v>
      </c>
      <c r="C50" s="3473">
        <v>9.8000000000000004E-2</v>
      </c>
      <c r="D50" s="3473">
        <v>7.2999999999999995E-2</v>
      </c>
      <c r="E50" s="3473">
        <v>7.0999999999999994E-2</v>
      </c>
      <c r="F50" s="3484"/>
      <c r="G50" s="3474">
        <v>7.2999999999999995E-2</v>
      </c>
    </row>
    <row r="51" spans="1:7">
      <c r="A51" s="3483" t="s">
        <v>1145</v>
      </c>
      <c r="B51" s="3472" t="s">
        <v>2831</v>
      </c>
      <c r="C51" s="3473">
        <v>9.9000000000000005E-2</v>
      </c>
      <c r="D51" s="3473">
        <v>8.5000000000000006E-2</v>
      </c>
      <c r="E51" s="3473">
        <v>6.3E-2</v>
      </c>
      <c r="F51" s="3484"/>
      <c r="G51" s="3474">
        <v>9.6000000000000002E-2</v>
      </c>
    </row>
    <row r="52" spans="1:7">
      <c r="A52" s="3483" t="s">
        <v>1145</v>
      </c>
      <c r="B52" s="3472" t="s">
        <v>2832</v>
      </c>
      <c r="C52" s="3473">
        <v>7.3999999999999996E-2</v>
      </c>
      <c r="D52" s="3473">
        <v>9.6000000000000002E-2</v>
      </c>
      <c r="E52" s="3473">
        <v>0.05</v>
      </c>
      <c r="F52" s="3484"/>
      <c r="G52" s="3474">
        <v>9.8000000000000004E-2</v>
      </c>
    </row>
    <row r="53" spans="1:7">
      <c r="A53" s="3483" t="s">
        <v>1145</v>
      </c>
      <c r="B53" s="3472" t="s">
        <v>2833</v>
      </c>
      <c r="C53" s="3473">
        <v>8.5999999999999993E-2</v>
      </c>
      <c r="D53" s="3484"/>
      <c r="E53" s="3473">
        <v>9.1999999999999998E-2</v>
      </c>
      <c r="F53" s="3484"/>
      <c r="G53" s="3485"/>
    </row>
    <row r="54" spans="1:7" ht="14.25" thickBot="1">
      <c r="A54" s="3486" t="s">
        <v>1145</v>
      </c>
      <c r="B54" s="3476" t="s">
        <v>2834</v>
      </c>
      <c r="C54" s="3477">
        <v>9.6000000000000002E-2</v>
      </c>
      <c r="D54" s="3478"/>
      <c r="E54" s="3487"/>
      <c r="F54" s="3478"/>
      <c r="G54" s="3488"/>
    </row>
    <row r="55" spans="1:7">
      <c r="A55" s="3482" t="s">
        <v>853</v>
      </c>
      <c r="B55" s="3468" t="s">
        <v>3045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2836</v>
      </c>
      <c r="C78" s="3473">
        <v>0.1</v>
      </c>
      <c r="D78" s="3473">
        <v>8.5000000000000006E-2</v>
      </c>
      <c r="E78" s="3473">
        <v>9.6000000000000002E-2</v>
      </c>
      <c r="F78" s="3484"/>
      <c r="G78" s="3474">
        <v>9.6000000000000002E-2</v>
      </c>
    </row>
    <row r="79" spans="1:7">
      <c r="A79" s="3483" t="s">
        <v>853</v>
      </c>
      <c r="B79" s="3472" t="s">
        <v>2837</v>
      </c>
      <c r="C79" s="3473">
        <v>0.05</v>
      </c>
      <c r="D79" s="3473">
        <v>9.6000000000000002E-2</v>
      </c>
      <c r="E79" s="3473">
        <v>9.5000000000000001E-2</v>
      </c>
      <c r="F79" s="3484"/>
      <c r="G79" s="3474">
        <v>9.8000000000000004E-2</v>
      </c>
    </row>
    <row r="80" spans="1:7">
      <c r="A80" s="3483" t="s">
        <v>853</v>
      </c>
      <c r="B80" s="3472" t="s">
        <v>2838</v>
      </c>
      <c r="C80" s="3473">
        <v>8.5999999999999993E-2</v>
      </c>
      <c r="D80" s="3489"/>
      <c r="E80" s="3473">
        <v>0.1</v>
      </c>
      <c r="F80" s="3484"/>
      <c r="G80" s="3485"/>
    </row>
    <row r="81" spans="1:7">
      <c r="A81" s="3483" t="s">
        <v>853</v>
      </c>
      <c r="B81" s="3472" t="s">
        <v>2839</v>
      </c>
      <c r="C81" s="3473">
        <v>9.6000000000000002E-2</v>
      </c>
      <c r="D81" s="3484"/>
      <c r="E81" s="3473">
        <v>9.8000000000000004E-2</v>
      </c>
      <c r="F81" s="3484"/>
      <c r="G81" s="3485"/>
    </row>
    <row r="82" spans="1:7">
      <c r="A82" s="3483" t="s">
        <v>853</v>
      </c>
      <c r="B82" s="3472" t="s">
        <v>2840</v>
      </c>
      <c r="C82" s="3489"/>
      <c r="D82" s="3484"/>
      <c r="E82" s="3473">
        <v>7.6999999999999999E-2</v>
      </c>
      <c r="F82" s="3484"/>
      <c r="G82" s="3485"/>
    </row>
    <row r="83" spans="1:7">
      <c r="A83" s="3483" t="s">
        <v>853</v>
      </c>
      <c r="B83" s="3472" t="s">
        <v>3046</v>
      </c>
      <c r="C83" s="3484"/>
      <c r="D83" s="3484"/>
      <c r="E83" s="3484"/>
      <c r="F83" s="3473">
        <v>0.1</v>
      </c>
      <c r="G83" s="3490"/>
    </row>
    <row r="84" spans="1:7">
      <c r="A84" s="3483" t="s">
        <v>853</v>
      </c>
      <c r="B84" s="3472" t="s">
        <v>3047</v>
      </c>
      <c r="C84" s="3484"/>
      <c r="D84" s="3484"/>
      <c r="E84" s="3484"/>
      <c r="F84" s="3473">
        <v>0.1</v>
      </c>
      <c r="G84" s="3490"/>
    </row>
    <row r="85" spans="1:7">
      <c r="A85" s="3483" t="s">
        <v>853</v>
      </c>
      <c r="B85" s="3472" t="s">
        <v>3048</v>
      </c>
      <c r="C85" s="3484"/>
      <c r="D85" s="3484"/>
      <c r="E85" s="3484"/>
      <c r="F85" s="3473">
        <v>0.1</v>
      </c>
      <c r="G85" s="3490"/>
    </row>
    <row r="86" spans="1:7" ht="14.25" thickBot="1">
      <c r="A86" s="3486" t="s">
        <v>853</v>
      </c>
      <c r="B86" s="3476" t="s">
        <v>3049</v>
      </c>
      <c r="C86" s="3477">
        <v>9.8000000000000004E-2</v>
      </c>
      <c r="D86" s="3477">
        <v>9.8000000000000004E-2</v>
      </c>
      <c r="E86" s="3477">
        <v>9.6000000000000002E-2</v>
      </c>
      <c r="F86" s="3487"/>
      <c r="G86" s="3479">
        <v>0.1</v>
      </c>
    </row>
    <row r="87" spans="1:7">
      <c r="A87" s="3482" t="s">
        <v>1152</v>
      </c>
      <c r="B87" s="3468" t="s">
        <v>3050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2846</v>
      </c>
      <c r="C113" s="3473">
        <v>0.1</v>
      </c>
      <c r="D113" s="3473">
        <v>0.1</v>
      </c>
      <c r="E113" s="3484"/>
      <c r="F113" s="3484"/>
      <c r="G113" s="3474">
        <v>0.1</v>
      </c>
    </row>
    <row r="114" spans="1:7">
      <c r="A114" s="3483" t="s">
        <v>1152</v>
      </c>
      <c r="B114" s="3472" t="s">
        <v>2847</v>
      </c>
      <c r="C114" s="3473">
        <v>9.7000000000000003E-2</v>
      </c>
      <c r="D114" s="3473">
        <v>9.7000000000000003E-2</v>
      </c>
      <c r="E114" s="3484"/>
      <c r="F114" s="3484"/>
      <c r="G114" s="3474">
        <v>9.9000000000000005E-2</v>
      </c>
    </row>
    <row r="115" spans="1:7">
      <c r="A115" s="3483" t="s">
        <v>1152</v>
      </c>
      <c r="B115" s="3472" t="s">
        <v>2848</v>
      </c>
      <c r="C115" s="3473">
        <v>0.1</v>
      </c>
      <c r="D115" s="3473">
        <v>0.1</v>
      </c>
      <c r="E115" s="3484"/>
      <c r="F115" s="3484"/>
      <c r="G115" s="3474">
        <v>0.1</v>
      </c>
    </row>
    <row r="116" spans="1:7">
      <c r="A116" s="3483" t="s">
        <v>1152</v>
      </c>
      <c r="B116" s="3472" t="s">
        <v>2849</v>
      </c>
      <c r="C116" s="3473">
        <v>0.1</v>
      </c>
      <c r="D116" s="3473">
        <v>0.1</v>
      </c>
      <c r="E116" s="3484"/>
      <c r="F116" s="3484"/>
      <c r="G116" s="3474">
        <v>0.1</v>
      </c>
    </row>
    <row r="117" spans="1:7">
      <c r="A117" s="3483" t="s">
        <v>1152</v>
      </c>
      <c r="B117" s="3472" t="s">
        <v>2850</v>
      </c>
      <c r="C117" s="3473">
        <v>9.7000000000000003E-2</v>
      </c>
      <c r="D117" s="3473">
        <v>9.7000000000000003E-2</v>
      </c>
      <c r="E117" s="3484"/>
      <c r="F117" s="3484"/>
      <c r="G117" s="3474">
        <v>9.7000000000000003E-2</v>
      </c>
    </row>
    <row r="118" spans="1:7">
      <c r="A118" s="3483" t="s">
        <v>1152</v>
      </c>
      <c r="B118" s="3472" t="s">
        <v>2851</v>
      </c>
      <c r="C118" s="3473">
        <v>0.1</v>
      </c>
      <c r="D118" s="3473">
        <v>0.1</v>
      </c>
      <c r="E118" s="3484"/>
      <c r="F118" s="3484"/>
      <c r="G118" s="3474">
        <v>0.1</v>
      </c>
    </row>
    <row r="119" spans="1:7">
      <c r="A119" s="3483" t="s">
        <v>1152</v>
      </c>
      <c r="B119" s="3472" t="s">
        <v>2852</v>
      </c>
      <c r="C119" s="3473">
        <v>5.0999999999999997E-2</v>
      </c>
      <c r="D119" s="3473">
        <v>5.1999999999999998E-2</v>
      </c>
      <c r="E119" s="3484"/>
      <c r="F119" s="3489"/>
      <c r="G119" s="3474">
        <v>0.06</v>
      </c>
    </row>
    <row r="120" spans="1:7">
      <c r="A120" s="3483" t="s">
        <v>1152</v>
      </c>
      <c r="B120" s="3472" t="s">
        <v>3051</v>
      </c>
      <c r="C120" s="3484"/>
      <c r="D120" s="3484"/>
      <c r="E120" s="3484"/>
      <c r="F120" s="3473">
        <v>0.1</v>
      </c>
      <c r="G120" s="3490"/>
    </row>
    <row r="121" spans="1:7">
      <c r="A121" s="3483" t="s">
        <v>1152</v>
      </c>
      <c r="B121" s="3472" t="s">
        <v>3052</v>
      </c>
      <c r="C121" s="3484"/>
      <c r="D121" s="3484"/>
      <c r="E121" s="3484"/>
      <c r="F121" s="3473">
        <v>0.1</v>
      </c>
      <c r="G121" s="3490"/>
    </row>
    <row r="122" spans="1:7">
      <c r="A122" s="3483" t="s">
        <v>1152</v>
      </c>
      <c r="B122" s="3472" t="s">
        <v>3053</v>
      </c>
      <c r="C122" s="3473">
        <v>0.1</v>
      </c>
      <c r="D122" s="3473">
        <v>0.1</v>
      </c>
      <c r="E122" s="3473">
        <v>9.8000000000000004E-2</v>
      </c>
      <c r="F122" s="3473">
        <v>0.1</v>
      </c>
      <c r="G122" s="3474">
        <v>0.1</v>
      </c>
    </row>
    <row r="123" spans="1:7">
      <c r="A123" s="3483" t="s">
        <v>1152</v>
      </c>
      <c r="B123" s="3472" t="s">
        <v>2856</v>
      </c>
      <c r="C123" s="3473">
        <v>0.1</v>
      </c>
      <c r="D123" s="3473">
        <v>0.1</v>
      </c>
      <c r="E123" s="3473">
        <v>9.8000000000000004E-2</v>
      </c>
      <c r="F123" s="3473">
        <v>0.1</v>
      </c>
      <c r="G123" s="3474">
        <v>0.1</v>
      </c>
    </row>
    <row r="124" spans="1:7">
      <c r="A124" s="3483" t="s">
        <v>1152</v>
      </c>
      <c r="B124" s="3472" t="s">
        <v>2857</v>
      </c>
      <c r="C124" s="3473">
        <v>0.1</v>
      </c>
      <c r="D124" s="3473">
        <v>0.1</v>
      </c>
      <c r="E124" s="3473">
        <v>9.8000000000000004E-2</v>
      </c>
      <c r="F124" s="3489"/>
      <c r="G124" s="3474">
        <v>0.1</v>
      </c>
    </row>
    <row r="125" spans="1:7">
      <c r="A125" s="3483" t="s">
        <v>1152</v>
      </c>
      <c r="B125" s="3472" t="s">
        <v>2858</v>
      </c>
      <c r="C125" s="3473">
        <v>9.8000000000000004E-2</v>
      </c>
      <c r="D125" s="3473">
        <v>9.8000000000000004E-2</v>
      </c>
      <c r="E125" s="3473">
        <v>9.6000000000000002E-2</v>
      </c>
      <c r="F125" s="3489"/>
      <c r="G125" s="3474">
        <v>0.1</v>
      </c>
    </row>
    <row r="126" spans="1:7" ht="14.25" thickBot="1">
      <c r="A126" s="3486" t="s">
        <v>1152</v>
      </c>
      <c r="B126" s="3476" t="s">
        <v>3054</v>
      </c>
      <c r="C126" s="3477">
        <v>0.1</v>
      </c>
      <c r="D126" s="3477">
        <v>0.1</v>
      </c>
      <c r="E126" s="3477">
        <v>9.8000000000000004E-2</v>
      </c>
      <c r="F126" s="3477">
        <v>0.1</v>
      </c>
      <c r="G126" s="3479">
        <v>0.1</v>
      </c>
    </row>
    <row r="127" spans="1:7">
      <c r="A127" s="3482" t="s">
        <v>1153</v>
      </c>
      <c r="B127" s="3468" t="s">
        <v>3055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3056</v>
      </c>
      <c r="C148" s="3473">
        <v>0.13</v>
      </c>
      <c r="D148" s="3473">
        <v>0.13</v>
      </c>
      <c r="E148" s="3473">
        <v>0.13</v>
      </c>
      <c r="F148" s="3484"/>
      <c r="G148" s="3474">
        <v>0.13</v>
      </c>
    </row>
    <row r="149" spans="1:7">
      <c r="A149" s="3483" t="s">
        <v>1153</v>
      </c>
      <c r="B149" s="3472" t="s">
        <v>3057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2863</v>
      </c>
      <c r="C153" s="3473">
        <v>0.13</v>
      </c>
      <c r="D153" s="3473">
        <v>0.13</v>
      </c>
      <c r="E153" s="3473">
        <v>0.13</v>
      </c>
      <c r="F153" s="3473">
        <v>0.13</v>
      </c>
      <c r="G153" s="3474">
        <v>0.13</v>
      </c>
    </row>
    <row r="154" spans="1:7">
      <c r="A154" s="3483" t="s">
        <v>1153</v>
      </c>
      <c r="B154" s="3472" t="s">
        <v>3058</v>
      </c>
      <c r="C154" s="3473">
        <v>0.121</v>
      </c>
      <c r="D154" s="3473">
        <v>0.121</v>
      </c>
      <c r="E154" s="3473">
        <v>0.105</v>
      </c>
      <c r="F154" s="3473">
        <v>0.121</v>
      </c>
      <c r="G154" s="3474">
        <v>0.123</v>
      </c>
    </row>
    <row r="155" spans="1:7">
      <c r="A155" s="3483" t="s">
        <v>1153</v>
      </c>
      <c r="B155" s="3472" t="s">
        <v>2865</v>
      </c>
      <c r="C155" s="3473">
        <v>0.1</v>
      </c>
      <c r="D155" s="3473">
        <v>0.1</v>
      </c>
      <c r="E155" s="3473">
        <v>0.1</v>
      </c>
      <c r="F155" s="3473">
        <v>0.1</v>
      </c>
      <c r="G155" s="3474">
        <v>0.1</v>
      </c>
    </row>
    <row r="156" spans="1:7">
      <c r="A156" s="3483" t="s">
        <v>1153</v>
      </c>
      <c r="B156" s="3472" t="s">
        <v>3059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3060</v>
      </c>
      <c r="C160" s="3473">
        <v>0.13</v>
      </c>
      <c r="D160" s="3473">
        <v>0.13</v>
      </c>
      <c r="E160" s="3473">
        <v>0.124</v>
      </c>
      <c r="F160" s="3473">
        <v>0.126</v>
      </c>
      <c r="G160" s="3474">
        <v>0.13</v>
      </c>
    </row>
    <row r="161" spans="1:7">
      <c r="A161" s="3483" t="s">
        <v>1153</v>
      </c>
      <c r="B161" s="3472" t="s">
        <v>2868</v>
      </c>
      <c r="C161" s="3473">
        <v>0.13</v>
      </c>
      <c r="D161" s="3473">
        <v>0.13</v>
      </c>
      <c r="E161" s="3473">
        <v>0.124</v>
      </c>
      <c r="F161" s="3473">
        <v>0.127</v>
      </c>
      <c r="G161" s="3474">
        <v>0.13</v>
      </c>
    </row>
    <row r="162" spans="1:7">
      <c r="A162" s="3483" t="s">
        <v>1153</v>
      </c>
      <c r="B162" s="3472" t="s">
        <v>2869</v>
      </c>
      <c r="C162" s="3473">
        <v>0.1</v>
      </c>
      <c r="D162" s="3473">
        <v>0.1</v>
      </c>
      <c r="E162" s="3473">
        <v>0.1</v>
      </c>
      <c r="F162" s="3473">
        <v>0.121</v>
      </c>
      <c r="G162" s="3474">
        <v>0.105</v>
      </c>
    </row>
    <row r="163" spans="1:7">
      <c r="A163" s="3483" t="s">
        <v>1153</v>
      </c>
      <c r="B163" s="3472" t="s">
        <v>2870</v>
      </c>
      <c r="C163" s="3473">
        <v>0.1</v>
      </c>
      <c r="D163" s="3473">
        <v>0.1</v>
      </c>
      <c r="E163" s="3473">
        <v>0.1</v>
      </c>
      <c r="F163" s="3473">
        <v>0.1</v>
      </c>
      <c r="G163" s="3474">
        <v>0.1</v>
      </c>
    </row>
    <row r="164" spans="1:7">
      <c r="A164" s="3483" t="s">
        <v>1153</v>
      </c>
      <c r="B164" s="3472" t="s">
        <v>2871</v>
      </c>
      <c r="C164" s="3489"/>
      <c r="D164" s="3489"/>
      <c r="E164" s="3489"/>
      <c r="F164" s="3473">
        <v>0.1</v>
      </c>
      <c r="G164" s="3485"/>
    </row>
    <row r="165" spans="1:7">
      <c r="A165" s="3483" t="s">
        <v>1153</v>
      </c>
      <c r="B165" s="3472" t="s">
        <v>3061</v>
      </c>
      <c r="C165" s="3473">
        <v>0.126</v>
      </c>
      <c r="D165" s="3473">
        <v>0.126</v>
      </c>
      <c r="E165" s="3473">
        <v>0.11899999999999999</v>
      </c>
      <c r="F165" s="3473">
        <v>0.13</v>
      </c>
      <c r="G165" s="3474">
        <v>0.128</v>
      </c>
    </row>
    <row r="166" spans="1:7">
      <c r="A166" s="3483" t="s">
        <v>1153</v>
      </c>
      <c r="B166" s="3472" t="s">
        <v>2873</v>
      </c>
      <c r="C166" s="3473">
        <v>0.129</v>
      </c>
      <c r="D166" s="3473">
        <v>0.129</v>
      </c>
      <c r="E166" s="3473">
        <v>0.123</v>
      </c>
      <c r="F166" s="3473">
        <v>0.128</v>
      </c>
      <c r="G166" s="3474">
        <v>0.13</v>
      </c>
    </row>
    <row r="167" spans="1:7">
      <c r="A167" s="3483" t="s">
        <v>1153</v>
      </c>
      <c r="B167" s="3472" t="s">
        <v>2874</v>
      </c>
      <c r="C167" s="3473">
        <v>0.125</v>
      </c>
      <c r="D167" s="3473">
        <v>0.125</v>
      </c>
      <c r="E167" s="3473">
        <v>0.11700000000000001</v>
      </c>
      <c r="F167" s="3473">
        <v>0.13</v>
      </c>
      <c r="G167" s="3474">
        <v>0.126</v>
      </c>
    </row>
    <row r="168" spans="1:7">
      <c r="A168" s="3483" t="s">
        <v>1153</v>
      </c>
      <c r="B168" s="3472" t="s">
        <v>2875</v>
      </c>
      <c r="C168" s="3473">
        <v>0.128</v>
      </c>
      <c r="D168" s="3473">
        <v>0.128</v>
      </c>
      <c r="E168" s="3473">
        <v>0.123</v>
      </c>
      <c r="F168" s="3484"/>
      <c r="G168" s="3474">
        <v>0.13</v>
      </c>
    </row>
    <row r="169" spans="1:7">
      <c r="A169" s="3483" t="s">
        <v>1153</v>
      </c>
      <c r="B169" s="3472" t="s">
        <v>3062</v>
      </c>
      <c r="C169" s="3489"/>
      <c r="D169" s="3489"/>
      <c r="E169" s="3489"/>
      <c r="F169" s="3473">
        <v>0.05</v>
      </c>
      <c r="G169" s="3485"/>
    </row>
    <row r="170" spans="1:7">
      <c r="A170" s="3483" t="s">
        <v>1153</v>
      </c>
      <c r="B170" s="3472" t="s">
        <v>3063</v>
      </c>
      <c r="C170" s="3489"/>
      <c r="D170" s="3489"/>
      <c r="E170" s="3489"/>
      <c r="F170" s="3473">
        <v>0.05</v>
      </c>
      <c r="G170" s="3485"/>
    </row>
    <row r="171" spans="1:7">
      <c r="A171" s="3483" t="s">
        <v>1153</v>
      </c>
      <c r="B171" s="3472" t="s">
        <v>3064</v>
      </c>
      <c r="C171" s="3489"/>
      <c r="D171" s="3489"/>
      <c r="E171" s="3489"/>
      <c r="F171" s="3473">
        <v>0.05</v>
      </c>
      <c r="G171" s="3490"/>
    </row>
    <row r="172" spans="1:7">
      <c r="A172" s="3483" t="s">
        <v>1153</v>
      </c>
      <c r="B172" s="3472" t="s">
        <v>3065</v>
      </c>
      <c r="C172" s="3489"/>
      <c r="D172" s="3489"/>
      <c r="E172" s="3489"/>
      <c r="F172" s="3473">
        <v>0.05</v>
      </c>
      <c r="G172" s="3490"/>
    </row>
    <row r="173" spans="1:7">
      <c r="A173" s="3483" t="s">
        <v>1153</v>
      </c>
      <c r="B173" s="3472" t="s">
        <v>3066</v>
      </c>
      <c r="C173" s="3489"/>
      <c r="D173" s="3489"/>
      <c r="E173" s="3489"/>
      <c r="F173" s="3473">
        <v>0.05</v>
      </c>
      <c r="G173" s="3485"/>
    </row>
    <row r="174" spans="1:7">
      <c r="A174" s="3483" t="s">
        <v>1153</v>
      </c>
      <c r="B174" s="3472" t="s">
        <v>3067</v>
      </c>
      <c r="C174" s="3489"/>
      <c r="D174" s="3489"/>
      <c r="E174" s="3489"/>
      <c r="F174" s="3473">
        <v>0.05</v>
      </c>
      <c r="G174" s="3485"/>
    </row>
    <row r="175" spans="1:7">
      <c r="A175" s="3483" t="s">
        <v>1153</v>
      </c>
      <c r="B175" s="3472" t="s">
        <v>3068</v>
      </c>
      <c r="C175" s="3489"/>
      <c r="D175" s="3489"/>
      <c r="E175" s="3489"/>
      <c r="F175" s="3473">
        <v>0.05</v>
      </c>
      <c r="G175" s="3485"/>
    </row>
    <row r="176" spans="1:7">
      <c r="A176" s="3483" t="s">
        <v>1153</v>
      </c>
      <c r="B176" s="3472" t="s">
        <v>3069</v>
      </c>
      <c r="C176" s="3489"/>
      <c r="D176" s="3489"/>
      <c r="E176" s="3489"/>
      <c r="F176" s="3473">
        <v>0.05</v>
      </c>
      <c r="G176" s="3485"/>
    </row>
    <row r="177" spans="1:7">
      <c r="A177" s="3483" t="s">
        <v>1153</v>
      </c>
      <c r="B177" s="3472" t="s">
        <v>3070</v>
      </c>
      <c r="C177" s="3484"/>
      <c r="D177" s="3484"/>
      <c r="E177" s="3484"/>
      <c r="F177" s="3473">
        <v>0.05</v>
      </c>
      <c r="G177" s="3490"/>
    </row>
    <row r="178" spans="1:7">
      <c r="A178" s="3483" t="s">
        <v>1153</v>
      </c>
      <c r="B178" s="3472" t="s">
        <v>3071</v>
      </c>
      <c r="C178" s="3484"/>
      <c r="D178" s="3484"/>
      <c r="E178" s="3484"/>
      <c r="F178" s="3473">
        <v>0.05</v>
      </c>
      <c r="G178" s="3490"/>
    </row>
    <row r="179" spans="1:7">
      <c r="A179" s="3483" t="s">
        <v>1153</v>
      </c>
      <c r="B179" s="3472" t="s">
        <v>3072</v>
      </c>
      <c r="C179" s="3484"/>
      <c r="D179" s="3484"/>
      <c r="E179" s="3484"/>
      <c r="F179" s="3473">
        <v>0.05</v>
      </c>
      <c r="G179" s="3490"/>
    </row>
    <row r="180" spans="1:7">
      <c r="A180" s="3483" t="s">
        <v>1153</v>
      </c>
      <c r="B180" s="3472" t="s">
        <v>3073</v>
      </c>
      <c r="C180" s="3484"/>
      <c r="D180" s="3484"/>
      <c r="E180" s="3484"/>
      <c r="F180" s="3473">
        <v>0.05</v>
      </c>
      <c r="G180" s="3490"/>
    </row>
    <row r="181" spans="1:7">
      <c r="A181" s="3483" t="s">
        <v>1153</v>
      </c>
      <c r="B181" s="3472" t="s">
        <v>3074</v>
      </c>
      <c r="C181" s="3484"/>
      <c r="D181" s="3484"/>
      <c r="E181" s="3484"/>
      <c r="F181" s="3473">
        <v>0.05</v>
      </c>
      <c r="G181" s="3490"/>
    </row>
    <row r="182" spans="1:7">
      <c r="A182" s="3483" t="s">
        <v>1153</v>
      </c>
      <c r="B182" s="3472" t="s">
        <v>3075</v>
      </c>
      <c r="C182" s="3484"/>
      <c r="D182" s="3484"/>
      <c r="E182" s="3484"/>
      <c r="F182" s="3473">
        <v>0.05</v>
      </c>
      <c r="G182" s="3490"/>
    </row>
    <row r="183" spans="1:7">
      <c r="A183" s="3483" t="s">
        <v>1153</v>
      </c>
      <c r="B183" s="3472" t="s">
        <v>3076</v>
      </c>
      <c r="C183" s="3484"/>
      <c r="D183" s="3484"/>
      <c r="E183" s="3484"/>
      <c r="F183" s="3473">
        <v>0.05</v>
      </c>
      <c r="G183" s="3490"/>
    </row>
    <row r="184" spans="1:7">
      <c r="A184" s="3483" t="s">
        <v>1153</v>
      </c>
      <c r="B184" s="3472" t="s">
        <v>3077</v>
      </c>
      <c r="C184" s="3484"/>
      <c r="D184" s="3484"/>
      <c r="E184" s="3484"/>
      <c r="F184" s="3473">
        <v>0.05</v>
      </c>
      <c r="G184" s="3490"/>
    </row>
    <row r="185" spans="1:7">
      <c r="A185" s="3483" t="s">
        <v>1153</v>
      </c>
      <c r="B185" s="3472" t="s">
        <v>3078</v>
      </c>
      <c r="C185" s="3484"/>
      <c r="D185" s="3484"/>
      <c r="E185" s="3484"/>
      <c r="F185" s="3473">
        <v>0.05</v>
      </c>
      <c r="G185" s="3490"/>
    </row>
    <row r="186" spans="1:7">
      <c r="A186" s="3483" t="s">
        <v>1153</v>
      </c>
      <c r="B186" s="3472" t="s">
        <v>3079</v>
      </c>
      <c r="C186" s="3484"/>
      <c r="D186" s="3484"/>
      <c r="E186" s="3484"/>
      <c r="F186" s="3473">
        <v>0.05</v>
      </c>
      <c r="G186" s="3490"/>
    </row>
    <row r="187" spans="1:7">
      <c r="A187" s="3483" t="s">
        <v>1153</v>
      </c>
      <c r="B187" s="3472" t="s">
        <v>3080</v>
      </c>
      <c r="C187" s="3484"/>
      <c r="D187" s="3484"/>
      <c r="E187" s="3484"/>
      <c r="F187" s="3473">
        <v>0.05</v>
      </c>
      <c r="G187" s="3490"/>
    </row>
    <row r="188" spans="1:7">
      <c r="A188" s="3483" t="s">
        <v>1153</v>
      </c>
      <c r="B188" s="3472" t="s">
        <v>3081</v>
      </c>
      <c r="C188" s="3484"/>
      <c r="D188" s="3484"/>
      <c r="E188" s="3484"/>
      <c r="F188" s="3473">
        <v>0.05</v>
      </c>
      <c r="G188" s="3490"/>
    </row>
    <row r="189" spans="1:7" ht="14.25" thickBot="1">
      <c r="A189" s="3486" t="s">
        <v>1153</v>
      </c>
      <c r="B189" s="3476" t="s">
        <v>3082</v>
      </c>
      <c r="C189" s="3478"/>
      <c r="D189" s="3478"/>
      <c r="E189" s="3478"/>
      <c r="F189" s="3477">
        <v>0.05</v>
      </c>
      <c r="G189" s="3491"/>
    </row>
    <row r="190" spans="1:7">
      <c r="A190" s="3482" t="s">
        <v>1154</v>
      </c>
      <c r="B190" s="3468" t="s">
        <v>3083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3084</v>
      </c>
      <c r="C199" s="3473">
        <v>0.13</v>
      </c>
      <c r="D199" s="3473">
        <v>0.13</v>
      </c>
      <c r="E199" s="3473">
        <v>0.13</v>
      </c>
      <c r="F199" s="3473">
        <v>0.13</v>
      </c>
      <c r="G199" s="3474">
        <v>0.13</v>
      </c>
    </row>
    <row r="200" spans="1:7">
      <c r="A200" s="3483" t="s">
        <v>1154</v>
      </c>
      <c r="B200" s="3472" t="s">
        <v>2899</v>
      </c>
      <c r="C200" s="3489"/>
      <c r="D200" s="3489"/>
      <c r="E200" s="3489"/>
      <c r="F200" s="3473">
        <v>0.13</v>
      </c>
      <c r="G200" s="3485"/>
    </row>
    <row r="201" spans="1:7">
      <c r="A201" s="3483" t="s">
        <v>1154</v>
      </c>
      <c r="B201" s="3472" t="s">
        <v>3085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3086</v>
      </c>
      <c r="C203" s="3473">
        <v>0.129</v>
      </c>
      <c r="D203" s="3473">
        <v>0.129</v>
      </c>
      <c r="E203" s="3473">
        <v>0.13</v>
      </c>
      <c r="F203" s="3473">
        <v>0.13</v>
      </c>
      <c r="G203" s="3474">
        <v>0.13</v>
      </c>
    </row>
    <row r="204" spans="1:7">
      <c r="A204" s="3483" t="s">
        <v>1154</v>
      </c>
      <c r="B204" s="3472" t="s">
        <v>2902</v>
      </c>
      <c r="C204" s="3473">
        <v>0.129</v>
      </c>
      <c r="D204" s="3473">
        <v>0.129</v>
      </c>
      <c r="E204" s="3473">
        <v>0.123</v>
      </c>
      <c r="F204" s="3473">
        <v>0.13</v>
      </c>
      <c r="G204" s="3474">
        <v>0.13</v>
      </c>
    </row>
    <row r="205" spans="1:7">
      <c r="A205" s="3483" t="s">
        <v>1154</v>
      </c>
      <c r="B205" s="3472" t="s">
        <v>2903</v>
      </c>
      <c r="C205" s="3473">
        <v>0.13</v>
      </c>
      <c r="D205" s="3473">
        <v>0.13</v>
      </c>
      <c r="E205" s="3473">
        <v>0.13</v>
      </c>
      <c r="F205" s="3473">
        <v>0.13</v>
      </c>
      <c r="G205" s="3474">
        <v>0.13</v>
      </c>
    </row>
    <row r="206" spans="1:7">
      <c r="A206" s="3483" t="s">
        <v>1154</v>
      </c>
      <c r="B206" s="3472" t="s">
        <v>2904</v>
      </c>
      <c r="C206" s="3473">
        <v>0.13</v>
      </c>
      <c r="D206" s="3473">
        <v>0.13</v>
      </c>
      <c r="E206" s="3473">
        <v>0.13</v>
      </c>
      <c r="F206" s="3473">
        <v>0.128</v>
      </c>
      <c r="G206" s="3474">
        <v>0.13</v>
      </c>
    </row>
    <row r="207" spans="1:7">
      <c r="A207" s="3483" t="s">
        <v>1154</v>
      </c>
      <c r="B207" s="3472" t="s">
        <v>2905</v>
      </c>
      <c r="C207" s="3473">
        <v>0.13</v>
      </c>
      <c r="D207" s="3473">
        <v>0.13</v>
      </c>
      <c r="E207" s="3473">
        <v>0.13</v>
      </c>
      <c r="F207" s="3473">
        <v>0.13</v>
      </c>
      <c r="G207" s="3474">
        <v>0.13</v>
      </c>
    </row>
    <row r="208" spans="1:7">
      <c r="A208" s="3483" t="s">
        <v>1154</v>
      </c>
      <c r="B208" s="3472" t="s">
        <v>3087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2907</v>
      </c>
      <c r="C210" s="3473">
        <v>0.121</v>
      </c>
      <c r="D210" s="3473">
        <v>0.121</v>
      </c>
      <c r="E210" s="3473">
        <v>0.125</v>
      </c>
      <c r="F210" s="3473">
        <v>0.13</v>
      </c>
      <c r="G210" s="3474">
        <v>0.123</v>
      </c>
    </row>
    <row r="211" spans="1:7">
      <c r="A211" s="3483" t="s">
        <v>1154</v>
      </c>
      <c r="B211" s="3472" t="s">
        <v>3088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3089</v>
      </c>
      <c r="C214" s="3473">
        <v>0.128</v>
      </c>
      <c r="D214" s="3473">
        <v>0.128</v>
      </c>
      <c r="E214" s="3473">
        <v>0.13</v>
      </c>
      <c r="F214" s="3473">
        <v>0.13</v>
      </c>
      <c r="G214" s="3474">
        <v>0.13</v>
      </c>
    </row>
    <row r="215" spans="1:7">
      <c r="A215" s="3483" t="s">
        <v>1154</v>
      </c>
      <c r="B215" s="3472" t="s">
        <v>3090</v>
      </c>
      <c r="C215" s="3473">
        <v>0.13</v>
      </c>
      <c r="D215" s="3473">
        <v>0.13</v>
      </c>
      <c r="E215" s="3473">
        <v>0.13</v>
      </c>
      <c r="F215" s="3473">
        <v>0.129</v>
      </c>
      <c r="G215" s="3474">
        <v>0.13</v>
      </c>
    </row>
    <row r="216" spans="1:7">
      <c r="A216" s="3483" t="s">
        <v>1154</v>
      </c>
      <c r="B216" s="3472" t="s">
        <v>3091</v>
      </c>
      <c r="C216" s="3473">
        <v>0.13</v>
      </c>
      <c r="D216" s="3473">
        <v>0.13</v>
      </c>
      <c r="E216" s="3473">
        <v>0.13</v>
      </c>
      <c r="F216" s="3473">
        <v>0.13</v>
      </c>
      <c r="G216" s="3474">
        <v>0.13</v>
      </c>
    </row>
    <row r="217" spans="1:7">
      <c r="A217" s="3483" t="s">
        <v>1154</v>
      </c>
      <c r="B217" s="3472" t="s">
        <v>2911</v>
      </c>
      <c r="C217" s="3473">
        <v>0.129</v>
      </c>
      <c r="D217" s="3473">
        <v>0.129</v>
      </c>
      <c r="E217" s="3473">
        <v>0.13</v>
      </c>
      <c r="F217" s="3473">
        <v>0.13</v>
      </c>
      <c r="G217" s="3474">
        <v>0.13</v>
      </c>
    </row>
    <row r="218" spans="1:7">
      <c r="A218" s="3483" t="s">
        <v>1154</v>
      </c>
      <c r="B218" s="3472" t="s">
        <v>3092</v>
      </c>
      <c r="C218" s="3484"/>
      <c r="D218" s="3484"/>
      <c r="E218" s="3484"/>
      <c r="F218" s="3473">
        <v>0.05</v>
      </c>
      <c r="G218" s="3490"/>
    </row>
    <row r="219" spans="1:7">
      <c r="A219" s="3483" t="s">
        <v>1154</v>
      </c>
      <c r="B219" s="3472" t="s">
        <v>3093</v>
      </c>
      <c r="C219" s="3484"/>
      <c r="D219" s="3484"/>
      <c r="E219" s="3484"/>
      <c r="F219" s="3473">
        <v>0.05</v>
      </c>
      <c r="G219" s="3490"/>
    </row>
    <row r="220" spans="1:7">
      <c r="A220" s="3483" t="s">
        <v>1154</v>
      </c>
      <c r="B220" s="3472" t="s">
        <v>3094</v>
      </c>
      <c r="C220" s="3484"/>
      <c r="D220" s="3484"/>
      <c r="E220" s="3484"/>
      <c r="F220" s="3473">
        <v>0.05</v>
      </c>
      <c r="G220" s="3490"/>
    </row>
    <row r="221" spans="1:7">
      <c r="A221" s="3483" t="s">
        <v>1154</v>
      </c>
      <c r="B221" s="3472" t="s">
        <v>3095</v>
      </c>
      <c r="C221" s="3484"/>
      <c r="D221" s="3484"/>
      <c r="E221" s="3484"/>
      <c r="F221" s="3473">
        <v>0.05</v>
      </c>
      <c r="G221" s="3490"/>
    </row>
    <row r="222" spans="1:7">
      <c r="A222" s="3483" t="s">
        <v>1154</v>
      </c>
      <c r="B222" s="3472" t="s">
        <v>3096</v>
      </c>
      <c r="C222" s="3484"/>
      <c r="D222" s="3484"/>
      <c r="E222" s="3484"/>
      <c r="F222" s="3473">
        <v>0.05</v>
      </c>
      <c r="G222" s="3490"/>
    </row>
    <row r="223" spans="1:7">
      <c r="A223" s="3483" t="s">
        <v>1154</v>
      </c>
      <c r="B223" s="3472" t="s">
        <v>3097</v>
      </c>
      <c r="C223" s="3484"/>
      <c r="D223" s="3484"/>
      <c r="E223" s="3484"/>
      <c r="F223" s="3473">
        <v>0.05</v>
      </c>
      <c r="G223" s="3490"/>
    </row>
    <row r="224" spans="1:7">
      <c r="A224" s="3483" t="s">
        <v>1154</v>
      </c>
      <c r="B224" s="3472" t="s">
        <v>3098</v>
      </c>
      <c r="C224" s="3484"/>
      <c r="D224" s="3484"/>
      <c r="E224" s="3484"/>
      <c r="F224" s="3473">
        <v>0.05</v>
      </c>
      <c r="G224" s="3490"/>
    </row>
    <row r="225" spans="1:7">
      <c r="A225" s="3483" t="s">
        <v>1154</v>
      </c>
      <c r="B225" s="3472" t="s">
        <v>3099</v>
      </c>
      <c r="C225" s="3484"/>
      <c r="D225" s="3484"/>
      <c r="E225" s="3484"/>
      <c r="F225" s="3473">
        <v>0.05</v>
      </c>
      <c r="G225" s="3490"/>
    </row>
    <row r="226" spans="1:7">
      <c r="A226" s="3483" t="s">
        <v>1154</v>
      </c>
      <c r="B226" s="3472" t="s">
        <v>3100</v>
      </c>
      <c r="C226" s="3484"/>
      <c r="D226" s="3484"/>
      <c r="E226" s="3484"/>
      <c r="F226" s="3473">
        <v>0.05</v>
      </c>
      <c r="G226" s="3490"/>
    </row>
    <row r="227" spans="1:7">
      <c r="A227" s="3483" t="s">
        <v>1154</v>
      </c>
      <c r="B227" s="3472" t="s">
        <v>3101</v>
      </c>
      <c r="C227" s="3484"/>
      <c r="D227" s="3484"/>
      <c r="E227" s="3484"/>
      <c r="F227" s="3473">
        <v>0.05</v>
      </c>
      <c r="G227" s="3490"/>
    </row>
    <row r="228" spans="1:7">
      <c r="A228" s="3483" t="s">
        <v>1154</v>
      </c>
      <c r="B228" s="3472" t="s">
        <v>3102</v>
      </c>
      <c r="C228" s="3484"/>
      <c r="D228" s="3484"/>
      <c r="E228" s="3484"/>
      <c r="F228" s="3473">
        <v>0.05</v>
      </c>
      <c r="G228" s="3490"/>
    </row>
    <row r="229" spans="1:7">
      <c r="A229" s="3483" t="s">
        <v>1154</v>
      </c>
      <c r="B229" s="3472" t="s">
        <v>3103</v>
      </c>
      <c r="C229" s="3484"/>
      <c r="D229" s="3484"/>
      <c r="E229" s="3484"/>
      <c r="F229" s="3473">
        <v>0.05</v>
      </c>
      <c r="G229" s="3490"/>
    </row>
    <row r="230" spans="1:7">
      <c r="A230" s="3483" t="s">
        <v>1154</v>
      </c>
      <c r="B230" s="3472" t="s">
        <v>3104</v>
      </c>
      <c r="C230" s="3484"/>
      <c r="D230" s="3484"/>
      <c r="E230" s="3484"/>
      <c r="F230" s="3473">
        <v>0.05</v>
      </c>
      <c r="G230" s="3490"/>
    </row>
    <row r="231" spans="1:7">
      <c r="A231" s="3483" t="s">
        <v>1154</v>
      </c>
      <c r="B231" s="3472" t="s">
        <v>3105</v>
      </c>
      <c r="C231" s="3484"/>
      <c r="D231" s="3484"/>
      <c r="E231" s="3484"/>
      <c r="F231" s="3473">
        <v>0.05</v>
      </c>
      <c r="G231" s="3490"/>
    </row>
    <row r="232" spans="1:7">
      <c r="A232" s="3483" t="s">
        <v>1154</v>
      </c>
      <c r="B232" s="3472" t="s">
        <v>3106</v>
      </c>
      <c r="C232" s="3484"/>
      <c r="D232" s="3484"/>
      <c r="E232" s="3484"/>
      <c r="F232" s="3473">
        <v>0.05</v>
      </c>
      <c r="G232" s="3490"/>
    </row>
    <row r="233" spans="1:7" ht="14.25" thickBot="1">
      <c r="A233" s="3486" t="s">
        <v>1154</v>
      </c>
      <c r="B233" s="3476" t="s">
        <v>3107</v>
      </c>
      <c r="C233" s="3478"/>
      <c r="D233" s="3478"/>
      <c r="E233" s="3478"/>
      <c r="F233" s="3477">
        <v>0.05</v>
      </c>
      <c r="G233" s="3491"/>
    </row>
    <row r="234" spans="1:7">
      <c r="A234" s="3482" t="s">
        <v>1155</v>
      </c>
      <c r="B234" s="3468" t="s">
        <v>3108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2929</v>
      </c>
      <c r="C238" s="3473">
        <v>0.14899999999999999</v>
      </c>
      <c r="D238" s="3473">
        <v>0.14899999999999999</v>
      </c>
      <c r="E238" s="3473">
        <v>0.15</v>
      </c>
      <c r="F238" s="3473">
        <v>0.15</v>
      </c>
      <c r="G238" s="3474">
        <v>0.15</v>
      </c>
    </row>
    <row r="239" spans="1:7">
      <c r="A239" s="3483" t="s">
        <v>1155</v>
      </c>
      <c r="B239" s="3472" t="s">
        <v>3109</v>
      </c>
      <c r="C239" s="3473">
        <v>0.15</v>
      </c>
      <c r="D239" s="3473">
        <v>0.15</v>
      </c>
      <c r="E239" s="3473">
        <v>0.15</v>
      </c>
      <c r="F239" s="3473">
        <v>0.15</v>
      </c>
      <c r="G239" s="3474">
        <v>0.15</v>
      </c>
    </row>
    <row r="240" spans="1:7">
      <c r="A240" s="3483" t="s">
        <v>1155</v>
      </c>
      <c r="B240" s="3472" t="s">
        <v>3110</v>
      </c>
      <c r="C240" s="3473">
        <v>0.15</v>
      </c>
      <c r="D240" s="3473">
        <v>0.15</v>
      </c>
      <c r="E240" s="3473">
        <v>0.15</v>
      </c>
      <c r="F240" s="3473">
        <v>0.15</v>
      </c>
      <c r="G240" s="3474">
        <v>0.15</v>
      </c>
    </row>
    <row r="241" spans="1:7">
      <c r="A241" s="3483" t="s">
        <v>1155</v>
      </c>
      <c r="B241" s="3472" t="s">
        <v>3111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2938</v>
      </c>
      <c r="C258" s="3473">
        <v>0.14299999999999999</v>
      </c>
      <c r="D258" s="3473">
        <v>0.14299999999999999</v>
      </c>
      <c r="E258" s="3473">
        <v>0.15</v>
      </c>
      <c r="F258" s="3473">
        <v>0.14799999999999999</v>
      </c>
      <c r="G258" s="3474">
        <v>0.14599999999999999</v>
      </c>
    </row>
    <row r="259" spans="1:7">
      <c r="A259" s="3483" t="s">
        <v>1155</v>
      </c>
      <c r="B259" s="3472" t="s">
        <v>3117</v>
      </c>
      <c r="C259" s="3473">
        <v>0.14399999999999999</v>
      </c>
      <c r="D259" s="3473">
        <v>0.14399999999999999</v>
      </c>
      <c r="E259" s="3473">
        <v>0.14899999999999999</v>
      </c>
      <c r="F259" s="3473">
        <v>0.14699999999999999</v>
      </c>
      <c r="G259" s="3474">
        <v>0.14599999999999999</v>
      </c>
    </row>
    <row r="260" spans="1:7">
      <c r="A260" s="3483" t="s">
        <v>1155</v>
      </c>
      <c r="B260" s="3472" t="s">
        <v>3118</v>
      </c>
      <c r="C260" s="3473">
        <v>0.109</v>
      </c>
      <c r="D260" s="3473">
        <v>0.111</v>
      </c>
      <c r="E260" s="3473">
        <v>0.13100000000000001</v>
      </c>
      <c r="F260" s="3473">
        <v>0.126</v>
      </c>
      <c r="G260" s="3474">
        <v>0.11899999999999999</v>
      </c>
    </row>
    <row r="261" spans="1:7">
      <c r="A261" s="3483" t="s">
        <v>1155</v>
      </c>
      <c r="B261" s="3472" t="s">
        <v>3119</v>
      </c>
      <c r="C261" s="3473">
        <v>0.1</v>
      </c>
      <c r="D261" s="3473">
        <v>0.1</v>
      </c>
      <c r="E261" s="3473">
        <v>0.11799999999999999</v>
      </c>
      <c r="F261" s="3473">
        <v>0.108</v>
      </c>
      <c r="G261" s="3474">
        <v>0.107</v>
      </c>
    </row>
    <row r="262" spans="1:7">
      <c r="A262" s="3483" t="s">
        <v>1155</v>
      </c>
      <c r="B262" s="3472" t="s">
        <v>3120</v>
      </c>
      <c r="C262" s="3473">
        <v>0.1</v>
      </c>
      <c r="D262" s="3473">
        <v>0.1</v>
      </c>
      <c r="E262" s="3473">
        <v>0.1</v>
      </c>
      <c r="F262" s="3473">
        <v>0.14099999999999999</v>
      </c>
      <c r="G262" s="3474">
        <v>0.1</v>
      </c>
    </row>
    <row r="263" spans="1:7">
      <c r="A263" s="3483" t="s">
        <v>1155</v>
      </c>
      <c r="B263" s="3472" t="s">
        <v>3121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3122</v>
      </c>
      <c r="C265" s="3484"/>
      <c r="D265" s="3484"/>
      <c r="E265" s="3484"/>
      <c r="F265" s="3473">
        <v>0.05</v>
      </c>
      <c r="G265" s="3490"/>
    </row>
    <row r="266" spans="1:7">
      <c r="A266" s="3483" t="s">
        <v>1155</v>
      </c>
      <c r="B266" s="3472" t="s">
        <v>3123</v>
      </c>
      <c r="C266" s="3484"/>
      <c r="D266" s="3484"/>
      <c r="E266" s="3484"/>
      <c r="F266" s="3473">
        <v>0.05</v>
      </c>
      <c r="G266" s="3490"/>
    </row>
    <row r="267" spans="1:7">
      <c r="A267" s="3483" t="s">
        <v>1155</v>
      </c>
      <c r="B267" s="3472" t="s">
        <v>3124</v>
      </c>
      <c r="C267" s="3484"/>
      <c r="D267" s="3484"/>
      <c r="E267" s="3484"/>
      <c r="F267" s="3473">
        <v>0.05</v>
      </c>
      <c r="G267" s="3490"/>
    </row>
    <row r="268" spans="1:7">
      <c r="A268" s="3483" t="s">
        <v>1155</v>
      </c>
      <c r="B268" s="3472" t="s">
        <v>3125</v>
      </c>
      <c r="C268" s="3484"/>
      <c r="D268" s="3484"/>
      <c r="E268" s="3484"/>
      <c r="F268" s="3473">
        <v>0.05</v>
      </c>
      <c r="G268" s="3490"/>
    </row>
    <row r="269" spans="1:7">
      <c r="A269" s="3483" t="s">
        <v>1155</v>
      </c>
      <c r="B269" s="3472" t="s">
        <v>3126</v>
      </c>
      <c r="C269" s="3484"/>
      <c r="D269" s="3484"/>
      <c r="E269" s="3484"/>
      <c r="F269" s="3473">
        <v>0.05</v>
      </c>
      <c r="G269" s="3490"/>
    </row>
    <row r="270" spans="1:7">
      <c r="A270" s="3483" t="s">
        <v>1155</v>
      </c>
      <c r="B270" s="3472" t="s">
        <v>3127</v>
      </c>
      <c r="C270" s="3484"/>
      <c r="D270" s="3484"/>
      <c r="E270" s="3484"/>
      <c r="F270" s="3473">
        <v>0.05</v>
      </c>
      <c r="G270" s="3490"/>
    </row>
    <row r="271" spans="1:7">
      <c r="A271" s="3483" t="s">
        <v>1155</v>
      </c>
      <c r="B271" s="3472" t="s">
        <v>3128</v>
      </c>
      <c r="C271" s="3484"/>
      <c r="D271" s="3484"/>
      <c r="E271" s="3484"/>
      <c r="F271" s="3473">
        <v>0.05</v>
      </c>
      <c r="G271" s="3490"/>
    </row>
    <row r="272" spans="1:7">
      <c r="A272" s="3483" t="s">
        <v>1155</v>
      </c>
      <c r="B272" s="3472" t="s">
        <v>3129</v>
      </c>
      <c r="C272" s="3484"/>
      <c r="D272" s="3484"/>
      <c r="E272" s="3484"/>
      <c r="F272" s="3473">
        <v>0.05</v>
      </c>
      <c r="G272" s="3490"/>
    </row>
    <row r="273" spans="1:7">
      <c r="A273" s="3483" t="s">
        <v>1155</v>
      </c>
      <c r="B273" s="3472" t="s">
        <v>3130</v>
      </c>
      <c r="C273" s="3484"/>
      <c r="D273" s="3484"/>
      <c r="E273" s="3484"/>
      <c r="F273" s="3473">
        <v>0.05</v>
      </c>
      <c r="G273" s="3490"/>
    </row>
    <row r="274" spans="1:7">
      <c r="A274" s="3483" t="s">
        <v>1155</v>
      </c>
      <c r="B274" s="3472" t="s">
        <v>3131</v>
      </c>
      <c r="C274" s="3484"/>
      <c r="D274" s="3484"/>
      <c r="E274" s="3484"/>
      <c r="F274" s="3473">
        <v>0.05</v>
      </c>
      <c r="G274" s="3490"/>
    </row>
    <row r="275" spans="1:7">
      <c r="A275" s="3483" t="s">
        <v>1155</v>
      </c>
      <c r="B275" s="3472" t="s">
        <v>3132</v>
      </c>
      <c r="C275" s="3484"/>
      <c r="D275" s="3484"/>
      <c r="E275" s="3484"/>
      <c r="F275" s="3473">
        <v>0.05</v>
      </c>
      <c r="G275" s="3490"/>
    </row>
    <row r="276" spans="1:7" ht="14.25" thickBot="1">
      <c r="A276" s="3486" t="s">
        <v>1155</v>
      </c>
      <c r="B276" s="3476" t="s">
        <v>3133</v>
      </c>
      <c r="C276" s="3478"/>
      <c r="D276" s="3478"/>
      <c r="E276" s="3478"/>
      <c r="F276" s="3477">
        <v>0.05</v>
      </c>
      <c r="G276" s="3491"/>
    </row>
    <row r="277" spans="1:7">
      <c r="A277" s="3482" t="s">
        <v>1156</v>
      </c>
      <c r="B277" s="3468" t="s">
        <v>3134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3135</v>
      </c>
      <c r="C279" s="3473">
        <v>0.15</v>
      </c>
      <c r="D279" s="3473">
        <v>0.15</v>
      </c>
      <c r="E279" s="3473">
        <v>0.15</v>
      </c>
      <c r="F279" s="3473">
        <v>0.15</v>
      </c>
      <c r="G279" s="3474">
        <v>0.15</v>
      </c>
    </row>
    <row r="280" spans="1:7">
      <c r="A280" s="3483" t="s">
        <v>1156</v>
      </c>
      <c r="B280" s="3472" t="s">
        <v>3136</v>
      </c>
      <c r="C280" s="3473">
        <v>0.15</v>
      </c>
      <c r="D280" s="3473">
        <v>0.15</v>
      </c>
      <c r="E280" s="3473">
        <v>0.15</v>
      </c>
      <c r="F280" s="3473">
        <v>0.15</v>
      </c>
      <c r="G280" s="3474">
        <v>0.15</v>
      </c>
    </row>
    <row r="281" spans="1:7">
      <c r="A281" s="3483" t="s">
        <v>1156</v>
      </c>
      <c r="B281" s="3472" t="s">
        <v>3137</v>
      </c>
      <c r="C281" s="3473">
        <v>0.15</v>
      </c>
      <c r="D281" s="3473">
        <v>0.15</v>
      </c>
      <c r="E281" s="3473">
        <v>0.15</v>
      </c>
      <c r="F281" s="3473">
        <v>0.15</v>
      </c>
      <c r="G281" s="3474">
        <v>0.15</v>
      </c>
    </row>
    <row r="282" spans="1:7">
      <c r="A282" s="3483" t="s">
        <v>1156</v>
      </c>
      <c r="B282" s="3472" t="s">
        <v>3138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2963</v>
      </c>
      <c r="C293" s="3473">
        <v>0.15</v>
      </c>
      <c r="D293" s="3473">
        <v>0.15</v>
      </c>
      <c r="E293" s="3473">
        <v>0.15</v>
      </c>
      <c r="F293" s="3473">
        <v>0.14499999999999999</v>
      </c>
      <c r="G293" s="3474">
        <v>0.15</v>
      </c>
    </row>
    <row r="294" spans="1:7">
      <c r="A294" s="3483" t="s">
        <v>1156</v>
      </c>
      <c r="B294" s="3472" t="s">
        <v>3141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3142</v>
      </c>
      <c r="C302" s="3473">
        <v>0.15</v>
      </c>
      <c r="D302" s="3473">
        <v>0.15</v>
      </c>
      <c r="E302" s="3473">
        <v>0.15</v>
      </c>
      <c r="F302" s="3473">
        <v>0.14699999999999999</v>
      </c>
      <c r="G302" s="3474">
        <v>0.15</v>
      </c>
    </row>
    <row r="303" spans="1:7">
      <c r="A303" s="3483" t="s">
        <v>1156</v>
      </c>
      <c r="B303" s="3472" t="s">
        <v>2967</v>
      </c>
      <c r="C303" s="3473">
        <v>0.15</v>
      </c>
      <c r="D303" s="3473">
        <v>0.15</v>
      </c>
      <c r="E303" s="3473">
        <v>0.15</v>
      </c>
      <c r="F303" s="3473">
        <v>0.14199999999999999</v>
      </c>
      <c r="G303" s="3474">
        <v>0.15</v>
      </c>
    </row>
    <row r="304" spans="1:7">
      <c r="A304" s="3483" t="s">
        <v>1156</v>
      </c>
      <c r="B304" s="3472" t="s">
        <v>2968</v>
      </c>
      <c r="C304" s="3473">
        <v>0.15</v>
      </c>
      <c r="D304" s="3473">
        <v>0.15</v>
      </c>
      <c r="E304" s="3473">
        <v>0.15</v>
      </c>
      <c r="F304" s="3473">
        <v>0.14499999999999999</v>
      </c>
      <c r="G304" s="3474">
        <v>0.15</v>
      </c>
    </row>
    <row r="305" spans="1:7">
      <c r="A305" s="3483" t="s">
        <v>1156</v>
      </c>
      <c r="B305" s="3472" t="s">
        <v>2969</v>
      </c>
      <c r="C305" s="3473">
        <v>0.15</v>
      </c>
      <c r="D305" s="3473">
        <v>0.15</v>
      </c>
      <c r="E305" s="3473">
        <v>0.15</v>
      </c>
      <c r="F305" s="3473">
        <v>0.111</v>
      </c>
      <c r="G305" s="3474">
        <v>0.15</v>
      </c>
    </row>
    <row r="306" spans="1:7">
      <c r="A306" s="3483" t="s">
        <v>1156</v>
      </c>
      <c r="B306" s="3472" t="s">
        <v>3143</v>
      </c>
      <c r="C306" s="3473">
        <v>0.15</v>
      </c>
      <c r="D306" s="3473">
        <v>0.15</v>
      </c>
      <c r="E306" s="3473">
        <v>0.15</v>
      </c>
      <c r="F306" s="3473">
        <v>0.126</v>
      </c>
      <c r="G306" s="3474">
        <v>0.15</v>
      </c>
    </row>
    <row r="307" spans="1:7">
      <c r="A307" s="3483" t="s">
        <v>1156</v>
      </c>
      <c r="B307" s="3472" t="s">
        <v>2971</v>
      </c>
      <c r="C307" s="3473">
        <v>0.15</v>
      </c>
      <c r="D307" s="3473">
        <v>0.15</v>
      </c>
      <c r="E307" s="3473">
        <v>0.15</v>
      </c>
      <c r="F307" s="3473">
        <v>0.12</v>
      </c>
      <c r="G307" s="3474">
        <v>0.15</v>
      </c>
    </row>
    <row r="308" spans="1:7">
      <c r="A308" s="3483" t="s">
        <v>1156</v>
      </c>
      <c r="B308" s="3472" t="s">
        <v>3144</v>
      </c>
      <c r="C308" s="3473">
        <v>0.15</v>
      </c>
      <c r="D308" s="3473">
        <v>0.15</v>
      </c>
      <c r="E308" s="3473">
        <v>0.15</v>
      </c>
      <c r="F308" s="3473">
        <v>0.13</v>
      </c>
      <c r="G308" s="3474">
        <v>0.15</v>
      </c>
    </row>
    <row r="309" spans="1:7">
      <c r="A309" s="3483" t="s">
        <v>1156</v>
      </c>
      <c r="B309" s="3472" t="s">
        <v>3145</v>
      </c>
      <c r="C309" s="3473">
        <v>0.15</v>
      </c>
      <c r="D309" s="3473">
        <v>0.15</v>
      </c>
      <c r="E309" s="3473">
        <v>0.15</v>
      </c>
      <c r="F309" s="3473">
        <v>0.14099999999999999</v>
      </c>
      <c r="G309" s="3474">
        <v>0.15</v>
      </c>
    </row>
    <row r="310" spans="1:7">
      <c r="A310" s="3483" t="s">
        <v>1156</v>
      </c>
      <c r="B310" s="3472" t="s">
        <v>2974</v>
      </c>
      <c r="C310" s="3473">
        <v>0.15</v>
      </c>
      <c r="D310" s="3473">
        <v>0.15</v>
      </c>
      <c r="E310" s="3473">
        <v>0.15</v>
      </c>
      <c r="F310" s="3473">
        <v>0.15</v>
      </c>
      <c r="G310" s="3474">
        <v>0.15</v>
      </c>
    </row>
    <row r="311" spans="1:7">
      <c r="A311" s="3483" t="s">
        <v>1156</v>
      </c>
      <c r="B311" s="3472" t="s">
        <v>3146</v>
      </c>
      <c r="C311" s="3473">
        <v>0.13200000000000001</v>
      </c>
      <c r="D311" s="3473">
        <v>0.13300000000000001</v>
      </c>
      <c r="E311" s="3473">
        <v>0.14499999999999999</v>
      </c>
      <c r="F311" s="3473">
        <v>0.14199999999999999</v>
      </c>
      <c r="G311" s="3474">
        <v>0.14000000000000001</v>
      </c>
    </row>
    <row r="312" spans="1:7">
      <c r="A312" s="3483" t="s">
        <v>1156</v>
      </c>
      <c r="B312" s="3472" t="s">
        <v>2976</v>
      </c>
      <c r="C312" s="3473">
        <v>0.13800000000000001</v>
      </c>
      <c r="D312" s="3473">
        <v>0.14000000000000001</v>
      </c>
      <c r="E312" s="3473">
        <v>0.14599999999999999</v>
      </c>
      <c r="F312" s="3473">
        <v>0.14899999999999999</v>
      </c>
      <c r="G312" s="3474">
        <v>0.14199999999999999</v>
      </c>
    </row>
    <row r="313" spans="1:7">
      <c r="A313" s="3483" t="s">
        <v>1156</v>
      </c>
      <c r="B313" s="3472" t="s">
        <v>2977</v>
      </c>
      <c r="C313" s="3473">
        <v>0.125</v>
      </c>
      <c r="D313" s="3473">
        <v>0.127</v>
      </c>
      <c r="E313" s="3473">
        <v>0.14399999999999999</v>
      </c>
      <c r="F313" s="3473">
        <v>0.115</v>
      </c>
      <c r="G313" s="3474">
        <v>0.13600000000000001</v>
      </c>
    </row>
    <row r="314" spans="1:7">
      <c r="A314" s="3483" t="s">
        <v>1156</v>
      </c>
      <c r="B314" s="3472" t="s">
        <v>3147</v>
      </c>
      <c r="C314" s="3489"/>
      <c r="D314" s="3489"/>
      <c r="E314" s="3489"/>
      <c r="F314" s="3473">
        <v>0.05</v>
      </c>
      <c r="G314" s="3490"/>
    </row>
    <row r="315" spans="1:7">
      <c r="A315" s="3483" t="s">
        <v>1156</v>
      </c>
      <c r="B315" s="3472" t="s">
        <v>3148</v>
      </c>
      <c r="C315" s="3489"/>
      <c r="D315" s="3489"/>
      <c r="E315" s="3489"/>
      <c r="F315" s="3473">
        <v>0.05</v>
      </c>
      <c r="G315" s="3490"/>
    </row>
    <row r="316" spans="1:7">
      <c r="A316" s="3483" t="s">
        <v>1156</v>
      </c>
      <c r="B316" s="3472" t="s">
        <v>3149</v>
      </c>
      <c r="C316" s="3484"/>
      <c r="D316" s="3484"/>
      <c r="E316" s="3484"/>
      <c r="F316" s="3473">
        <v>0.05</v>
      </c>
      <c r="G316" s="3490"/>
    </row>
    <row r="317" spans="1:7">
      <c r="A317" s="3483" t="s">
        <v>1156</v>
      </c>
      <c r="B317" s="3472" t="s">
        <v>3150</v>
      </c>
      <c r="C317" s="3484"/>
      <c r="D317" s="3484"/>
      <c r="E317" s="3484"/>
      <c r="F317" s="3473">
        <v>0.05</v>
      </c>
      <c r="G317" s="3490"/>
    </row>
    <row r="318" spans="1:7">
      <c r="A318" s="3483" t="s">
        <v>1156</v>
      </c>
      <c r="B318" s="3472" t="s">
        <v>3151</v>
      </c>
      <c r="C318" s="3484"/>
      <c r="D318" s="3484"/>
      <c r="E318" s="3484"/>
      <c r="F318" s="3473">
        <v>0.05</v>
      </c>
      <c r="G318" s="3490"/>
    </row>
    <row r="319" spans="1:7">
      <c r="A319" s="3483" t="s">
        <v>1156</v>
      </c>
      <c r="B319" s="3472" t="s">
        <v>3152</v>
      </c>
      <c r="C319" s="3484"/>
      <c r="D319" s="3484"/>
      <c r="E319" s="3484"/>
      <c r="F319" s="3473">
        <v>0.05</v>
      </c>
      <c r="G319" s="3490"/>
    </row>
    <row r="320" spans="1:7">
      <c r="A320" s="3483" t="s">
        <v>1156</v>
      </c>
      <c r="B320" s="3472" t="s">
        <v>3153</v>
      </c>
      <c r="C320" s="3484"/>
      <c r="D320" s="3484"/>
      <c r="E320" s="3484"/>
      <c r="F320" s="3473">
        <v>0.05</v>
      </c>
      <c r="G320" s="3490"/>
    </row>
    <row r="321" spans="1:7">
      <c r="A321" s="3483" t="s">
        <v>1156</v>
      </c>
      <c r="B321" s="3472" t="s">
        <v>3154</v>
      </c>
      <c r="C321" s="3484"/>
      <c r="D321" s="3484"/>
      <c r="E321" s="3484"/>
      <c r="F321" s="3473">
        <v>0.05</v>
      </c>
      <c r="G321" s="3490"/>
    </row>
    <row r="322" spans="1:7">
      <c r="A322" s="3483" t="s">
        <v>1156</v>
      </c>
      <c r="B322" s="3472" t="s">
        <v>3155</v>
      </c>
      <c r="C322" s="3484"/>
      <c r="D322" s="3484"/>
      <c r="E322" s="3484"/>
      <c r="F322" s="3473">
        <v>0.05</v>
      </c>
      <c r="G322" s="3490"/>
    </row>
    <row r="323" spans="1:7">
      <c r="A323" s="3483" t="s">
        <v>1156</v>
      </c>
      <c r="B323" s="3472" t="s">
        <v>3156</v>
      </c>
      <c r="C323" s="3484"/>
      <c r="D323" s="3484"/>
      <c r="E323" s="3484"/>
      <c r="F323" s="3473">
        <v>0.05</v>
      </c>
      <c r="G323" s="3490"/>
    </row>
    <row r="324" spans="1:7">
      <c r="A324" s="3483" t="s">
        <v>1156</v>
      </c>
      <c r="B324" s="3472" t="s">
        <v>3157</v>
      </c>
      <c r="C324" s="3484"/>
      <c r="D324" s="3484"/>
      <c r="E324" s="3484"/>
      <c r="F324" s="3473">
        <v>0.05</v>
      </c>
      <c r="G324" s="3490"/>
    </row>
    <row r="325" spans="1:7">
      <c r="A325" s="3483" t="s">
        <v>1156</v>
      </c>
      <c r="B325" s="3472" t="s">
        <v>3158</v>
      </c>
      <c r="C325" s="3484"/>
      <c r="D325" s="3484"/>
      <c r="E325" s="3484"/>
      <c r="F325" s="3473">
        <v>0.05</v>
      </c>
      <c r="G325" s="3490"/>
    </row>
    <row r="326" spans="1:7" ht="14.25" thickBot="1">
      <c r="A326" s="3486" t="s">
        <v>1156</v>
      </c>
      <c r="B326" s="3476" t="s">
        <v>3159</v>
      </c>
      <c r="C326" s="3478"/>
      <c r="D326" s="3478"/>
      <c r="E326" s="3478"/>
      <c r="F326" s="3477">
        <v>0.05</v>
      </c>
      <c r="G326" s="3491"/>
    </row>
    <row r="327" spans="1:7">
      <c r="A327" s="3482" t="s">
        <v>1157</v>
      </c>
      <c r="B327" s="3468" t="s">
        <v>3160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3161</v>
      </c>
      <c r="C329" s="3473">
        <v>0.15</v>
      </c>
      <c r="D329" s="3473">
        <v>0.15</v>
      </c>
      <c r="E329" s="3473">
        <v>0.15</v>
      </c>
      <c r="F329" s="3473">
        <v>0.15</v>
      </c>
      <c r="G329" s="3474">
        <v>0.15</v>
      </c>
    </row>
    <row r="330" spans="1:7">
      <c r="A330" s="3483" t="s">
        <v>1157</v>
      </c>
      <c r="B330" s="3472" t="s">
        <v>3162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2994</v>
      </c>
      <c r="C332" s="3473">
        <v>0.15</v>
      </c>
      <c r="D332" s="3473">
        <v>0.15</v>
      </c>
      <c r="E332" s="3473">
        <v>0.15</v>
      </c>
      <c r="F332" s="3473">
        <v>0.15</v>
      </c>
      <c r="G332" s="3474">
        <v>0.15</v>
      </c>
    </row>
    <row r="333" spans="1:7">
      <c r="A333" s="3483" t="s">
        <v>1157</v>
      </c>
      <c r="B333" s="3472" t="s">
        <v>3163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2996</v>
      </c>
      <c r="C336" s="3473">
        <v>0.15</v>
      </c>
      <c r="D336" s="3473">
        <v>0.15</v>
      </c>
      <c r="E336" s="3473">
        <v>0.15</v>
      </c>
      <c r="F336" s="3473">
        <v>0.14199999999999999</v>
      </c>
      <c r="G336" s="3474">
        <v>0.15</v>
      </c>
    </row>
    <row r="337" spans="1:7">
      <c r="A337" s="3483" t="s">
        <v>1157</v>
      </c>
      <c r="B337" s="3472" t="s">
        <v>3164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3000</v>
      </c>
      <c r="C345" s="3473">
        <v>0.15</v>
      </c>
      <c r="D345" s="3473">
        <v>0.15</v>
      </c>
      <c r="E345" s="3473">
        <v>0.15</v>
      </c>
      <c r="F345" s="3473">
        <v>0.13800000000000001</v>
      </c>
      <c r="G345" s="3474">
        <v>0.15</v>
      </c>
    </row>
    <row r="346" spans="1:7">
      <c r="A346" s="3483" t="s">
        <v>1157</v>
      </c>
      <c r="B346" s="3472" t="s">
        <v>3167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3002</v>
      </c>
      <c r="C348" s="3473">
        <v>0.15</v>
      </c>
      <c r="D348" s="3473">
        <v>0.15</v>
      </c>
      <c r="E348" s="3473">
        <v>0.15</v>
      </c>
      <c r="F348" s="3473">
        <v>0.14399999999999999</v>
      </c>
      <c r="G348" s="3474">
        <v>0.15</v>
      </c>
    </row>
    <row r="349" spans="1:7">
      <c r="A349" s="3483" t="s">
        <v>1157</v>
      </c>
      <c r="B349" s="3472" t="s">
        <v>3003</v>
      </c>
      <c r="C349" s="3473">
        <v>0.15</v>
      </c>
      <c r="D349" s="3473">
        <v>0.15</v>
      </c>
      <c r="E349" s="3473">
        <v>0.15</v>
      </c>
      <c r="F349" s="3473">
        <v>0.15</v>
      </c>
      <c r="G349" s="3474">
        <v>0.15</v>
      </c>
    </row>
    <row r="350" spans="1:7">
      <c r="A350" s="3483" t="s">
        <v>1157</v>
      </c>
      <c r="B350" s="3472" t="s">
        <v>3168</v>
      </c>
      <c r="C350" s="3473">
        <v>0.15</v>
      </c>
      <c r="D350" s="3473">
        <v>0.15</v>
      </c>
      <c r="E350" s="3473">
        <v>0.15</v>
      </c>
      <c r="F350" s="3473">
        <v>0.14699999999999999</v>
      </c>
      <c r="G350" s="3474">
        <v>0.15</v>
      </c>
    </row>
    <row r="351" spans="1:7">
      <c r="A351" s="3483" t="s">
        <v>1157</v>
      </c>
      <c r="B351" s="3472" t="s">
        <v>3005</v>
      </c>
      <c r="C351" s="3473">
        <v>0.15</v>
      </c>
      <c r="D351" s="3473">
        <v>0.15</v>
      </c>
      <c r="E351" s="3473">
        <v>0.15</v>
      </c>
      <c r="F351" s="3473">
        <v>0.13</v>
      </c>
      <c r="G351" s="3474">
        <v>0.15</v>
      </c>
    </row>
    <row r="352" spans="1:7">
      <c r="A352" s="3483" t="s">
        <v>1157</v>
      </c>
      <c r="B352" s="3472" t="s">
        <v>3006</v>
      </c>
      <c r="C352" s="3473">
        <v>0.15</v>
      </c>
      <c r="D352" s="3473">
        <v>0.15</v>
      </c>
      <c r="E352" s="3473">
        <v>0.15</v>
      </c>
      <c r="F352" s="3473">
        <v>0.14599999999999999</v>
      </c>
      <c r="G352" s="3474">
        <v>0.15</v>
      </c>
    </row>
    <row r="353" spans="1:7">
      <c r="A353" s="3483" t="s">
        <v>1157</v>
      </c>
      <c r="B353" s="3472" t="s">
        <v>3169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3008</v>
      </c>
      <c r="C355" s="3473">
        <v>0.15</v>
      </c>
      <c r="D355" s="3473">
        <v>0.15</v>
      </c>
      <c r="E355" s="3473">
        <v>0.15</v>
      </c>
      <c r="F355" s="3473">
        <v>0.15</v>
      </c>
      <c r="G355" s="3474">
        <v>0.15</v>
      </c>
    </row>
    <row r="356" spans="1:7">
      <c r="A356" s="3483" t="s">
        <v>1157</v>
      </c>
      <c r="B356" s="3472" t="s">
        <v>3009</v>
      </c>
      <c r="C356" s="3473">
        <v>0.15</v>
      </c>
      <c r="D356" s="3473">
        <v>0.15</v>
      </c>
      <c r="E356" s="3473">
        <v>0.15</v>
      </c>
      <c r="F356" s="3473">
        <v>0.15</v>
      </c>
      <c r="G356" s="3474">
        <v>0.15</v>
      </c>
    </row>
    <row r="357" spans="1:7" ht="14.25" thickBot="1">
      <c r="A357" s="3486" t="s">
        <v>1157</v>
      </c>
      <c r="B357" s="3476" t="s">
        <v>3170</v>
      </c>
      <c r="C357" s="3477">
        <v>0.126</v>
      </c>
      <c r="D357" s="3477">
        <v>0.127</v>
      </c>
      <c r="E357" s="3477">
        <v>0.14299999999999999</v>
      </c>
      <c r="F357" s="3477">
        <v>0.125</v>
      </c>
      <c r="G357" s="3479">
        <v>0.129</v>
      </c>
    </row>
    <row r="358" spans="1:7">
      <c r="A358" s="3482" t="s">
        <v>3171</v>
      </c>
      <c r="B358" s="3468" t="s">
        <v>3172</v>
      </c>
      <c r="C358" s="3469">
        <v>0.15</v>
      </c>
      <c r="D358" s="3469">
        <v>0.15</v>
      </c>
      <c r="E358" s="3469">
        <v>0.15</v>
      </c>
      <c r="F358" s="3469">
        <v>0.15</v>
      </c>
      <c r="G358" s="3470">
        <v>0.15</v>
      </c>
    </row>
    <row r="359" spans="1:7">
      <c r="A359" s="3483" t="s">
        <v>3171</v>
      </c>
      <c r="B359" s="3472" t="s">
        <v>3173</v>
      </c>
      <c r="C359" s="3473">
        <v>0.1</v>
      </c>
      <c r="D359" s="3473">
        <v>0.1</v>
      </c>
      <c r="E359" s="3473">
        <v>0.1</v>
      </c>
      <c r="F359" s="3473">
        <v>0.1</v>
      </c>
      <c r="G359" s="3474">
        <v>0.1</v>
      </c>
    </row>
    <row r="360" spans="1:7">
      <c r="A360" s="3483" t="s">
        <v>3171</v>
      </c>
      <c r="B360" s="3472" t="s">
        <v>3174</v>
      </c>
      <c r="C360" s="3473">
        <v>0.15</v>
      </c>
      <c r="D360" s="3473">
        <v>0.15</v>
      </c>
      <c r="E360" s="3473">
        <v>0.15</v>
      </c>
      <c r="F360" s="3473">
        <v>0.14899999999999999</v>
      </c>
      <c r="G360" s="3474">
        <v>0.15</v>
      </c>
    </row>
    <row r="361" spans="1:7">
      <c r="A361" s="3483" t="s">
        <v>3171</v>
      </c>
      <c r="B361" s="3472" t="s">
        <v>999</v>
      </c>
      <c r="C361" s="3473">
        <v>0.15</v>
      </c>
      <c r="D361" s="3473">
        <v>0.15</v>
      </c>
      <c r="E361" s="3473">
        <v>0.15</v>
      </c>
      <c r="F361" s="3473">
        <v>0.115</v>
      </c>
      <c r="G361" s="3474">
        <v>0.15</v>
      </c>
    </row>
    <row r="362" spans="1:7">
      <c r="A362" s="3483" t="s">
        <v>3171</v>
      </c>
      <c r="B362" s="3472" t="s">
        <v>3175</v>
      </c>
      <c r="C362" s="3473">
        <v>0.15</v>
      </c>
      <c r="D362" s="3473">
        <v>0.15</v>
      </c>
      <c r="E362" s="3473">
        <v>0.15</v>
      </c>
      <c r="F362" s="3473">
        <v>0.106</v>
      </c>
      <c r="G362" s="3474">
        <v>0.15</v>
      </c>
    </row>
    <row r="363" spans="1:7">
      <c r="A363" s="3483" t="s">
        <v>3171</v>
      </c>
      <c r="B363" s="3472" t="s">
        <v>3015</v>
      </c>
      <c r="C363" s="3473">
        <v>0.15</v>
      </c>
      <c r="D363" s="3473">
        <v>0.15</v>
      </c>
      <c r="E363" s="3473">
        <v>0.15</v>
      </c>
      <c r="F363" s="3473">
        <v>0.14699999999999999</v>
      </c>
      <c r="G363" s="3474">
        <v>0.15</v>
      </c>
    </row>
    <row r="364" spans="1:7">
      <c r="A364" s="3483" t="s">
        <v>3171</v>
      </c>
      <c r="B364" s="3472" t="s">
        <v>3176</v>
      </c>
      <c r="C364" s="3473">
        <v>0.15</v>
      </c>
      <c r="D364" s="3473">
        <v>0.15</v>
      </c>
      <c r="E364" s="3473">
        <v>0.15</v>
      </c>
      <c r="F364" s="3473">
        <v>0.14799999999999999</v>
      </c>
      <c r="G364" s="3474">
        <v>0.15</v>
      </c>
    </row>
    <row r="365" spans="1:7">
      <c r="A365" s="3483" t="s">
        <v>3171</v>
      </c>
      <c r="B365" s="3472" t="s">
        <v>1047</v>
      </c>
      <c r="C365" s="3473">
        <v>0.15</v>
      </c>
      <c r="D365" s="3473">
        <v>0.15</v>
      </c>
      <c r="E365" s="3473">
        <v>0.15</v>
      </c>
      <c r="F365" s="3473">
        <v>0.15</v>
      </c>
      <c r="G365" s="3474">
        <v>0.15</v>
      </c>
    </row>
    <row r="366" spans="1:7">
      <c r="A366" s="3483" t="s">
        <v>3171</v>
      </c>
      <c r="B366" s="3472" t="s">
        <v>3017</v>
      </c>
      <c r="C366" s="3473">
        <v>0.15</v>
      </c>
      <c r="D366" s="3473">
        <v>0.15</v>
      </c>
      <c r="E366" s="3473">
        <v>0.15</v>
      </c>
      <c r="F366" s="3473">
        <v>0.15</v>
      </c>
      <c r="G366" s="3474">
        <v>0.15</v>
      </c>
    </row>
    <row r="367" spans="1:7">
      <c r="A367" s="3483" t="s">
        <v>3171</v>
      </c>
      <c r="B367" s="3472" t="s">
        <v>3177</v>
      </c>
      <c r="C367" s="3473">
        <v>0.15</v>
      </c>
      <c r="D367" s="3473">
        <v>0.15</v>
      </c>
      <c r="E367" s="3473">
        <v>0.15</v>
      </c>
      <c r="F367" s="3473">
        <v>0.14699999999999999</v>
      </c>
      <c r="G367" s="3474">
        <v>0.15</v>
      </c>
    </row>
    <row r="368" spans="1:7">
      <c r="A368" s="3483" t="s">
        <v>3171</v>
      </c>
      <c r="B368" s="3472" t="s">
        <v>3178</v>
      </c>
      <c r="C368" s="3473">
        <v>0.15</v>
      </c>
      <c r="D368" s="3473">
        <v>0.15</v>
      </c>
      <c r="E368" s="3473">
        <v>0.15</v>
      </c>
      <c r="F368" s="3473">
        <v>0.13600000000000001</v>
      </c>
      <c r="G368" s="3474">
        <v>0.15</v>
      </c>
    </row>
    <row r="369" spans="1:7">
      <c r="A369" s="3483" t="s">
        <v>3171</v>
      </c>
      <c r="B369" s="3472" t="s">
        <v>1061</v>
      </c>
      <c r="C369" s="3473">
        <v>0.15</v>
      </c>
      <c r="D369" s="3473">
        <v>0.15</v>
      </c>
      <c r="E369" s="3473">
        <v>0.15</v>
      </c>
      <c r="F369" s="3473">
        <v>0.14399999999999999</v>
      </c>
      <c r="G369" s="3474">
        <v>0.15</v>
      </c>
    </row>
    <row r="370" spans="1:7">
      <c r="A370" s="3483" t="s">
        <v>3171</v>
      </c>
      <c r="B370" s="3472" t="s">
        <v>1069</v>
      </c>
      <c r="C370" s="3473">
        <v>0.15</v>
      </c>
      <c r="D370" s="3473">
        <v>0.15</v>
      </c>
      <c r="E370" s="3473">
        <v>0.15</v>
      </c>
      <c r="F370" s="3473">
        <v>0.14599999999999999</v>
      </c>
      <c r="G370" s="3474">
        <v>0.15</v>
      </c>
    </row>
    <row r="371" spans="1:7">
      <c r="A371" s="3483" t="s">
        <v>3171</v>
      </c>
      <c r="B371" s="3472" t="s">
        <v>1077</v>
      </c>
      <c r="C371" s="3473">
        <v>0.15</v>
      </c>
      <c r="D371" s="3473">
        <v>0.15</v>
      </c>
      <c r="E371" s="3473">
        <v>0.15</v>
      </c>
      <c r="F371" s="3473">
        <v>0.12</v>
      </c>
      <c r="G371" s="3474">
        <v>0.15</v>
      </c>
    </row>
    <row r="372" spans="1:7">
      <c r="A372" s="3483" t="s">
        <v>3171</v>
      </c>
      <c r="B372" s="3472" t="s">
        <v>3179</v>
      </c>
      <c r="C372" s="3473">
        <v>0.15</v>
      </c>
      <c r="D372" s="3473">
        <v>0.15</v>
      </c>
      <c r="E372" s="3473">
        <v>0.15</v>
      </c>
      <c r="F372" s="3473">
        <v>0.14299999999999999</v>
      </c>
      <c r="G372" s="3474">
        <v>0.15</v>
      </c>
    </row>
    <row r="373" spans="1:7">
      <c r="A373" s="3483" t="s">
        <v>3171</v>
      </c>
      <c r="B373" s="3472" t="s">
        <v>1106</v>
      </c>
      <c r="C373" s="3473">
        <v>0.15</v>
      </c>
      <c r="D373" s="3473">
        <v>0.15</v>
      </c>
      <c r="E373" s="3473">
        <v>0.15</v>
      </c>
      <c r="F373" s="3473">
        <v>0.14599999999999999</v>
      </c>
      <c r="G373" s="3474">
        <v>0.15</v>
      </c>
    </row>
    <row r="374" spans="1:7">
      <c r="A374" s="3483" t="s">
        <v>3171</v>
      </c>
      <c r="B374" s="3472" t="s">
        <v>1114</v>
      </c>
      <c r="C374" s="3473">
        <v>0.15</v>
      </c>
      <c r="D374" s="3473">
        <v>0.15</v>
      </c>
      <c r="E374" s="3473">
        <v>0.15</v>
      </c>
      <c r="F374" s="3473">
        <v>0.14399999999999999</v>
      </c>
      <c r="G374" s="3474">
        <v>0.15</v>
      </c>
    </row>
    <row r="375" spans="1:7">
      <c r="A375" s="3483" t="s">
        <v>3171</v>
      </c>
      <c r="B375" s="3472" t="s">
        <v>3180</v>
      </c>
      <c r="C375" s="3473">
        <v>0.15</v>
      </c>
      <c r="D375" s="3473">
        <v>0.15</v>
      </c>
      <c r="E375" s="3473">
        <v>0.15</v>
      </c>
      <c r="F375" s="3473">
        <v>0.13</v>
      </c>
      <c r="G375" s="3474">
        <v>0.15</v>
      </c>
    </row>
    <row r="376" spans="1:7">
      <c r="A376" s="3483" t="s">
        <v>3171</v>
      </c>
      <c r="B376" s="3472" t="s">
        <v>1126</v>
      </c>
      <c r="C376" s="3473">
        <v>0.15</v>
      </c>
      <c r="D376" s="3473">
        <v>0.15</v>
      </c>
      <c r="E376" s="3473">
        <v>0.15</v>
      </c>
      <c r="F376" s="3473">
        <v>0.14199999999999999</v>
      </c>
      <c r="G376" s="3474">
        <v>0.15</v>
      </c>
    </row>
    <row r="377" spans="1:7" ht="14.25" thickBot="1">
      <c r="A377" s="3486" t="s">
        <v>3171</v>
      </c>
      <c r="B377" s="3476" t="s">
        <v>3022</v>
      </c>
      <c r="C377" s="3477">
        <v>0.15</v>
      </c>
      <c r="D377" s="3477">
        <v>0.15</v>
      </c>
      <c r="E377" s="3477">
        <v>0.15</v>
      </c>
      <c r="F377" s="3477">
        <v>0.14000000000000001</v>
      </c>
      <c r="G377" s="3479">
        <v>0.15</v>
      </c>
    </row>
    <row r="378" spans="1:7">
      <c r="A378" s="3482" t="s">
        <v>3181</v>
      </c>
      <c r="B378" s="3468" t="s">
        <v>3182</v>
      </c>
      <c r="C378" s="3469">
        <v>0.15</v>
      </c>
      <c r="D378" s="3469">
        <v>0.15</v>
      </c>
      <c r="E378" s="3469">
        <v>0.15</v>
      </c>
      <c r="F378" s="3469">
        <v>0.107</v>
      </c>
      <c r="G378" s="3470">
        <v>0.15</v>
      </c>
    </row>
    <row r="379" spans="1:7">
      <c r="A379" s="3483" t="s">
        <v>3181</v>
      </c>
      <c r="B379" s="3472" t="s">
        <v>3183</v>
      </c>
      <c r="C379" s="3473">
        <v>0.15</v>
      </c>
      <c r="D379" s="3473">
        <v>0.15</v>
      </c>
      <c r="E379" s="3473">
        <v>0.15</v>
      </c>
      <c r="F379" s="3473">
        <v>0.115</v>
      </c>
      <c r="G379" s="3474">
        <v>0.14899999999999999</v>
      </c>
    </row>
    <row r="380" spans="1:7">
      <c r="A380" s="3483" t="s">
        <v>3184</v>
      </c>
      <c r="B380" s="3472" t="s">
        <v>3185</v>
      </c>
      <c r="C380" s="3473">
        <v>0.15</v>
      </c>
      <c r="D380" s="3473">
        <v>0.15</v>
      </c>
      <c r="E380" s="3473">
        <v>0.15</v>
      </c>
      <c r="F380" s="3473">
        <v>0.1</v>
      </c>
      <c r="G380" s="3474">
        <v>0.14799999999999999</v>
      </c>
    </row>
    <row r="381" spans="1:7">
      <c r="A381" s="3483" t="s">
        <v>3184</v>
      </c>
      <c r="B381" s="3472" t="s">
        <v>3186</v>
      </c>
      <c r="C381" s="3473">
        <v>0.15</v>
      </c>
      <c r="D381" s="3473">
        <v>0.15</v>
      </c>
      <c r="E381" s="3473">
        <v>0.15</v>
      </c>
      <c r="F381" s="3473">
        <v>0.126</v>
      </c>
      <c r="G381" s="3474">
        <v>0.15</v>
      </c>
    </row>
    <row r="382" spans="1:7">
      <c r="A382" s="3483" t="s">
        <v>3184</v>
      </c>
      <c r="B382" s="3472" t="s">
        <v>3187</v>
      </c>
      <c r="C382" s="3473">
        <v>0.15</v>
      </c>
      <c r="D382" s="3473">
        <v>0.15</v>
      </c>
      <c r="E382" s="3473">
        <v>0.15</v>
      </c>
      <c r="F382" s="3473">
        <v>0.15</v>
      </c>
      <c r="G382" s="3474">
        <v>0.15</v>
      </c>
    </row>
    <row r="383" spans="1:7">
      <c r="A383" s="3483" t="s">
        <v>3184</v>
      </c>
      <c r="B383" s="3472" t="s">
        <v>3188</v>
      </c>
      <c r="C383" s="3473">
        <v>0.15</v>
      </c>
      <c r="D383" s="3473">
        <v>0.15</v>
      </c>
      <c r="E383" s="3473">
        <v>0.15</v>
      </c>
      <c r="F383" s="3473">
        <v>0.14699999999999999</v>
      </c>
      <c r="G383" s="3474">
        <v>0.15</v>
      </c>
    </row>
    <row r="384" spans="1:7" ht="14.25" thickBot="1">
      <c r="A384" s="3493" t="s">
        <v>3184</v>
      </c>
      <c r="B384" s="3494" t="s">
        <v>3189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8" t="s">
        <v>1858</v>
      </c>
      <c r="C1" s="3928"/>
      <c r="D1" s="3928"/>
      <c r="E1" s="3928"/>
      <c r="F1" s="3928"/>
      <c r="G1" s="3927" t="s">
        <v>1859</v>
      </c>
      <c r="H1" s="3927"/>
      <c r="I1" s="3927"/>
      <c r="J1" s="3927"/>
      <c r="K1" s="3927"/>
      <c r="L1" s="3927"/>
      <c r="N1" s="3927" t="s">
        <v>1860</v>
      </c>
      <c r="O1" s="3927"/>
      <c r="P1" s="3927"/>
      <c r="Q1" s="3927"/>
      <c r="S1" s="3927" t="s">
        <v>1861</v>
      </c>
      <c r="T1" s="3927"/>
      <c r="U1" s="3927"/>
      <c r="V1" s="3927"/>
      <c r="X1" s="3926" t="s">
        <v>1921</v>
      </c>
      <c r="Y1" s="3927"/>
      <c r="Z1" s="3927"/>
      <c r="AA1" s="3927"/>
      <c r="AB1" s="3927"/>
      <c r="AD1" s="3926" t="s">
        <v>1925</v>
      </c>
      <c r="AE1" s="3927"/>
      <c r="AF1" s="3927"/>
      <c r="AG1" s="3927"/>
      <c r="AH1" s="3927"/>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3"/>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3"/>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5"/>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4">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5"/>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4">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5"/>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29">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0"/>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0"/>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1"/>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4">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5"/>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4">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5">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4">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5">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4">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5">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4">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5">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4">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5">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4">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5">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4">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5">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4">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5">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4">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2">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5">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4">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2">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5">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4000平方米。根据《建设工程规划许可证》[]、《出让合同》[]，估价对象规划建筑面积为10000平方米。</v>
      </c>
    </row>
    <row r="7" spans="1:4" ht="56.25">
      <c r="A7" s="1583" t="s">
        <v>2029</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2023年3月7日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根据《国有土地使用证》[]，估价对象（分摊）出让国有建设用地使用权面积为4000平方米。根据《建设工程规划许可证》[]、《出让合同》[]，估价对象规划建筑面积为10000平方米。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2073年3月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7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8">
        <f>基准地价!G23</f>
        <v>44992</v>
      </c>
      <c r="B1" s="3346" t="s">
        <v>2793</v>
      </c>
      <c r="C1" s="3347"/>
      <c r="D1" s="3347"/>
      <c r="E1" s="3347"/>
      <c r="F1" s="3347"/>
      <c r="G1" s="3347"/>
      <c r="H1" s="3347"/>
      <c r="I1" s="3347"/>
      <c r="J1" s="3348"/>
      <c r="K1" s="3347" t="s">
        <v>2794</v>
      </c>
      <c r="L1" s="3347"/>
      <c r="M1" s="3347"/>
      <c r="N1" s="3347"/>
      <c r="O1" s="3347"/>
      <c r="P1" s="3347"/>
      <c r="Q1" s="3348"/>
      <c r="R1" s="3932" t="s">
        <v>2803</v>
      </c>
      <c r="S1" s="3933"/>
      <c r="T1" s="3933"/>
      <c r="U1" s="3933"/>
      <c r="V1" s="3933"/>
      <c r="W1" s="3933"/>
      <c r="X1" s="3348"/>
      <c r="Y1" s="3932" t="s">
        <v>2814</v>
      </c>
      <c r="Z1" s="3933"/>
      <c r="AA1" s="3933"/>
      <c r="AB1" s="3933"/>
      <c r="AC1" s="3933"/>
      <c r="AD1" s="3933"/>
    </row>
    <row r="2" spans="1:30" ht="14.25" thickBot="1">
      <c r="A2" s="3339"/>
      <c r="B2" s="3349"/>
      <c r="C2" s="3350"/>
      <c r="D2" s="3351" t="s">
        <v>2796</v>
      </c>
      <c r="E2" s="3352" t="s">
        <v>2797</v>
      </c>
      <c r="F2" s="3352" t="s">
        <v>2798</v>
      </c>
      <c r="G2" s="3352" t="s">
        <v>2799</v>
      </c>
      <c r="H2" s="3352" t="s">
        <v>2800</v>
      </c>
      <c r="I2" s="3352" t="s">
        <v>2740</v>
      </c>
      <c r="J2" s="3353"/>
      <c r="K2" s="3351" t="s">
        <v>2796</v>
      </c>
      <c r="L2" s="3352" t="s">
        <v>2797</v>
      </c>
      <c r="M2" s="3352" t="s">
        <v>2798</v>
      </c>
      <c r="N2" s="3352" t="s">
        <v>2799</v>
      </c>
      <c r="O2" s="3352" t="s">
        <v>2800</v>
      </c>
      <c r="P2" s="3352" t="s">
        <v>2740</v>
      </c>
      <c r="Q2" s="3353"/>
      <c r="R2" s="3351" t="s">
        <v>2804</v>
      </c>
      <c r="S2" s="3352" t="s">
        <v>2805</v>
      </c>
      <c r="T2" s="3352" t="s">
        <v>2806</v>
      </c>
      <c r="U2" s="3352" t="s">
        <v>2807</v>
      </c>
      <c r="V2" s="3352" t="s">
        <v>2808</v>
      </c>
      <c r="W2" s="3352" t="s">
        <v>2809</v>
      </c>
      <c r="X2" s="3353"/>
      <c r="Y2" s="3351" t="s">
        <v>2796</v>
      </c>
      <c r="Z2" s="3352" t="s">
        <v>1470</v>
      </c>
      <c r="AA2" s="3352" t="s">
        <v>2815</v>
      </c>
      <c r="AB2" s="3352" t="s">
        <v>1469</v>
      </c>
      <c r="AC2" s="3352" t="s">
        <v>2800</v>
      </c>
      <c r="AD2" s="3352" t="s">
        <v>2457</v>
      </c>
    </row>
    <row r="3" spans="1:30">
      <c r="A3" s="3340" t="s">
        <v>2783</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3254</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1.0668</v>
      </c>
      <c r="S5" s="3379">
        <f>ROUND(IF(项目基本情况!$B$8="出让",SUMPRODUCT(PRODUCT(1+L5:$L$16)),SUMPRODUCT(PRODUCT(1+L5:$L$15))),4)</f>
        <v>1.0266999999999999</v>
      </c>
      <c r="T5" s="3379">
        <f>ROUND(IF(项目基本情况!$B$8="出让",SUMPRODUCT(PRODUCT(1+M5:$M$16)),SUMPRODUCT(PRODUCT(1+M5:$M$15))),4)</f>
        <v>1.0119</v>
      </c>
      <c r="U5" s="3379">
        <f>ROUND(IF(项目基本情况!$B$8="出让",SUMPRODUCT(PRODUCT(1+N5:$N$16)),SUMPRODUCT(PRODUCT(1+N5:$N$15))),4)</f>
        <v>1.0734999999999999</v>
      </c>
      <c r="V5" s="3379">
        <f>ROUND(IF(项目基本情况!$B$8="出让",SUMPRODUCT(PRODUCT(1+O5:$O$16)),SUMPRODUCT(PRODUCT(1+O5:$O$15))),4)</f>
        <v>1.054</v>
      </c>
      <c r="W5" s="3379">
        <f>T5</f>
        <v>1.0119</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3255</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1.0668</v>
      </c>
      <c r="S6" s="3379">
        <f>ROUND(IF(项目基本情况!$B$8="出让",SUMPRODUCT(PRODUCT(1+L6:$L$16)),SUMPRODUCT(PRODUCT(1+L6:$L$15))),4)</f>
        <v>1.0266999999999999</v>
      </c>
      <c r="T6" s="3379">
        <f>ROUND(IF(项目基本情况!$B$8="出让",SUMPRODUCT(PRODUCT(1+M6:$M$16)),SUMPRODUCT(PRODUCT(1+M6:$M$15))),4)</f>
        <v>1.0119</v>
      </c>
      <c r="U6" s="3379">
        <f>ROUND(IF(项目基本情况!$B$8="出让",SUMPRODUCT(PRODUCT(1+N6:$N$16)),SUMPRODUCT(PRODUCT(1+N6:$N$15))),4)</f>
        <v>1.0734999999999999</v>
      </c>
      <c r="V6" s="3379">
        <f>ROUND(IF(项目基本情况!$B$8="出让",SUMPRODUCT(PRODUCT(1+O6:$O$16)),SUMPRODUCT(PRODUCT(1+O6:$O$15))),4)</f>
        <v>1.054</v>
      </c>
      <c r="W6" s="3379">
        <f t="shared" ref="W6:W8" si="9">T6</f>
        <v>1.0119</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3253</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1.0668</v>
      </c>
      <c r="S7" s="3379">
        <f>ROUND(IF(项目基本情况!$B$8="出让",SUMPRODUCT(PRODUCT(1+L7:$L$16)),SUMPRODUCT(PRODUCT(1+L7:$L$15))),4)</f>
        <v>1.0266999999999999</v>
      </c>
      <c r="T7" s="3379">
        <f>ROUND(IF(项目基本情况!$B$8="出让",SUMPRODUCT(PRODUCT(1+M7:$M$16)),SUMPRODUCT(PRODUCT(1+M7:$M$15))),4)</f>
        <v>1.0119</v>
      </c>
      <c r="U7" s="3379">
        <f>ROUND(IF(项目基本情况!$B$8="出让",SUMPRODUCT(PRODUCT(1+N7:$N$16)),SUMPRODUCT(PRODUCT(1+N7:$N$15))),4)</f>
        <v>1.0734999999999999</v>
      </c>
      <c r="V7" s="3379">
        <f>ROUND(IF(项目基本情况!$B$8="出让",SUMPRODUCT(PRODUCT(1+O7:$O$16)),SUMPRODUCT(PRODUCT(1+O7:$O$15))),4)</f>
        <v>1.054</v>
      </c>
      <c r="W7" s="3379">
        <f t="shared" si="9"/>
        <v>1.0119</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2784</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1.0668</v>
      </c>
      <c r="S8" s="3379">
        <f>ROUND(IF(项目基本情况!$B$8="出让",SUMPRODUCT(PRODUCT(1+L8:$L$16)),SUMPRODUCT(PRODUCT(1+L8:$L$15))),4)</f>
        <v>1.0266999999999999</v>
      </c>
      <c r="T8" s="3379">
        <f>ROUND(IF(项目基本情况!$B$8="出让",SUMPRODUCT(PRODUCT(1+M8:$M$16)),SUMPRODUCT(PRODUCT(1+M8:$M$15))),4)</f>
        <v>1.0119</v>
      </c>
      <c r="U8" s="3379">
        <f>ROUND(IF(项目基本情况!$B$8="出让",SUMPRODUCT(PRODUCT(1+N8:$N$16)),SUMPRODUCT(PRODUCT(1+N8:$N$15))),4)</f>
        <v>1.0734999999999999</v>
      </c>
      <c r="V8" s="3379">
        <f>ROUND(IF(项目基本情况!$B$8="出让",SUMPRODUCT(PRODUCT(1+O8:$O$16)),SUMPRODUCT(PRODUCT(1+O8:$O$15))),4)</f>
        <v>1.054</v>
      </c>
      <c r="W8" s="3379">
        <f t="shared" si="9"/>
        <v>1.0119</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3251</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1.0668</v>
      </c>
      <c r="S9" s="3366">
        <f>ROUND(IF(项目基本情况!B8="出让",SUMPRODUCT(PRODUCT(1+L9:L16)),SUMPRODUCT(PRODUCT(1+L9:L15))),4)</f>
        <v>1.0266999999999999</v>
      </c>
      <c r="T9" s="3366">
        <f>ROUND(IF(项目基本情况!B8="出让",SUMPRODUCT(PRODUCT(1+M9:M16)),SUMPRODUCT(PRODUCT(1+M9:M15))),4)</f>
        <v>1.0119</v>
      </c>
      <c r="U9" s="3366">
        <f>ROUND(IF(项目基本情况!B8="出让",SUMPRODUCT(PRODUCT(1+N9:N16)),SUMPRODUCT(PRODUCT(1+N9:N15))),4)</f>
        <v>1.0734999999999999</v>
      </c>
      <c r="V9" s="3366">
        <f>ROUND(IF(项目基本情况!B8="出让",SUMPRODUCT(PRODUCT(1+O9:O16)),SUMPRODUCT(PRODUCT(1+O9:O15))),4)</f>
        <v>1.054</v>
      </c>
      <c r="W9" s="3366">
        <f t="shared" ref="W9:W16" si="15">T9</f>
        <v>1.0119</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3249</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1.0602</v>
      </c>
      <c r="S10" s="3379">
        <f>ROUND(IF(项目基本情况!B8="出让",SUMPRODUCT(PRODUCT(1+L10:L16)),SUMPRODUCT(PRODUCT(1+L10:L15))),4)</f>
        <v>1.0246</v>
      </c>
      <c r="T10" s="3379">
        <f>ROUND(IF(项目基本情况!B8="出让",SUMPRODUCT(PRODUCT(1+M10:M16)),SUMPRODUCT(PRODUCT(1+M10:M15))),4)</f>
        <v>1.0107999999999999</v>
      </c>
      <c r="U10" s="3379">
        <f>ROUND(IF(项目基本情况!B8="出让",SUMPRODUCT(PRODUCT(1+N10:N16)),SUMPRODUCT(PRODUCT(1+N10:N15))),4)</f>
        <v>1.0662</v>
      </c>
      <c r="V10" s="3379">
        <f>ROUND(IF(项目基本情况!B8="出让",SUMPRODUCT(PRODUCT(1+O10:O16)),SUMPRODUCT(PRODUCT(1+O10:O15))),4)</f>
        <v>1.0485</v>
      </c>
      <c r="W10" s="3379">
        <f t="shared" si="15"/>
        <v>1.0107999999999999</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3250</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1.0531999999999999</v>
      </c>
      <c r="S11" s="3379">
        <f>ROUND(IF(项目基本情况!B8="出让",SUMPRODUCT(PRODUCT(1+L11:L16)),SUMPRODUCT(PRODUCT(1+L11:L15))),4)</f>
        <v>1.0214000000000001</v>
      </c>
      <c r="T11" s="3379">
        <f>ROUND(IF(项目基本情况!B8="出让",SUMPRODUCT(PRODUCT(1+M11:M16)),SUMPRODUCT(PRODUCT(1+M11:M15))),4)</f>
        <v>1.0085</v>
      </c>
      <c r="U11" s="3379">
        <f>ROUND(IF(项目基本情况!B8="出让",SUMPRODUCT(PRODUCT(1+N11:N16)),SUMPRODUCT(PRODUCT(1+N11:N15))),4)</f>
        <v>1.0586</v>
      </c>
      <c r="V11" s="3379">
        <f>ROUND(IF(项目基本情况!B8="出让",SUMPRODUCT(PRODUCT(1+O11:O16)),SUMPRODUCT(PRODUCT(1+O11:O15))),4)</f>
        <v>1.0419</v>
      </c>
      <c r="W11" s="3379">
        <f t="shared" si="15"/>
        <v>1.0085</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2785</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1.0435000000000001</v>
      </c>
      <c r="S12" s="3379">
        <f>ROUND(IF(项目基本情况!B8="出让",SUMPRODUCT(PRODUCT(1+L12:L16)),SUMPRODUCT(PRODUCT(1+L12:L15))),4)</f>
        <v>1.0198</v>
      </c>
      <c r="T12" s="3379">
        <f>ROUND(IF(项目基本情况!B8="出让",SUMPRODUCT(PRODUCT(1+M12:M16)),SUMPRODUCT(PRODUCT(1+M12:M15))),4)</f>
        <v>1.0084</v>
      </c>
      <c r="U12" s="3379">
        <f>ROUND(IF(项目基本情况!B8="出让",SUMPRODUCT(PRODUCT(1+N12:N16)),SUMPRODUCT(PRODUCT(1+N12:N15))),4)</f>
        <v>1.0476000000000001</v>
      </c>
      <c r="V12" s="3379">
        <f>ROUND(IF(项目基本情况!B8="出让",SUMPRODUCT(PRODUCT(1+O12:O16)),SUMPRODUCT(PRODUCT(1+O12:O15))),4)</f>
        <v>1.0307999999999999</v>
      </c>
      <c r="W12" s="3379">
        <f t="shared" si="15"/>
        <v>1.0084</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2786</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1.0343</v>
      </c>
      <c r="S13" s="3379">
        <f>ROUND(IF(项目基本情况!B8="出让",SUMPRODUCT(PRODUCT(1+L13:L16)),SUMPRODUCT(PRODUCT(1+L13:L15))),4)</f>
        <v>1.0154000000000001</v>
      </c>
      <c r="T13" s="3379">
        <f>ROUND(IF(项目基本情况!B8="出让",SUMPRODUCT(PRODUCT(1+M13:M16)),SUMPRODUCT(PRODUCT(1+M13:M15))),4)</f>
        <v>1.0046999999999999</v>
      </c>
      <c r="U13" s="3379">
        <f>ROUND(IF(项目基本情况!B8="出让",SUMPRODUCT(PRODUCT(1+N13:N16)),SUMPRODUCT(PRODUCT(1+N13:N15))),4)</f>
        <v>1.0376000000000001</v>
      </c>
      <c r="V13" s="3379">
        <f>ROUND(IF(项目基本情况!B8="出让",SUMPRODUCT(PRODUCT(1+O13:O16)),SUMPRODUCT(PRODUCT(1+O13:O15))),4)</f>
        <v>1.0242</v>
      </c>
      <c r="W13" s="3379">
        <f t="shared" si="15"/>
        <v>1.0046999999999999</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2787</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1.0238</v>
      </c>
      <c r="S14" s="3379">
        <f>ROUND(IF(项目基本情况!B8="出让",SUMPRODUCT(PRODUCT(1+L14:L16)),SUMPRODUCT(PRODUCT(1+L14:L15))),4)</f>
        <v>1.0128999999999999</v>
      </c>
      <c r="T14" s="3379">
        <f>ROUND(IF(项目基本情况!B8="出让",SUMPRODUCT(PRODUCT(1+M14:M16)),SUMPRODUCT(PRODUCT(1+M14:M15))),4)</f>
        <v>1.004</v>
      </c>
      <c r="U14" s="3379">
        <f>ROUND(IF(项目基本情况!B8="出让",SUMPRODUCT(PRODUCT(1+N14:N16)),SUMPRODUCT(PRODUCT(1+N14:N15))),4)</f>
        <v>1.0256000000000001</v>
      </c>
      <c r="V14" s="3379">
        <f>ROUND(IF(项目基本情况!B8="出让",SUMPRODUCT(PRODUCT(1+O14:O16)),SUMPRODUCT(PRODUCT(1+O14:O15))),4)</f>
        <v>1.0185999999999999</v>
      </c>
      <c r="W14" s="3379">
        <f t="shared" si="15"/>
        <v>1.004</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2788</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1.0189999999999999</v>
      </c>
      <c r="S15" s="3379">
        <f>ROUND(IF(项目基本情况!B8="出让",SUMPRODUCT(PRODUCT(1+L15:L16)),SUMPRODUCT(PRODUCT(1+L15:L15))),4)</f>
        <v>1.0087999999999999</v>
      </c>
      <c r="T15" s="3379">
        <f>ROUND(IF(项目基本情况!B8="出让",SUMPRODUCT(PRODUCT(1+M15:M16)),SUMPRODUCT(PRODUCT(1+M15:M15))),4)</f>
        <v>1.0016</v>
      </c>
      <c r="U15" s="3379">
        <f>ROUND(IF(项目基本情况!B8="出让",SUMPRODUCT(PRODUCT(1+N15:N16)),SUMPRODUCT(PRODUCT(1+N15:N15))),4)</f>
        <v>1.0206999999999999</v>
      </c>
      <c r="V15" s="3379">
        <f>ROUND(IF(项目基本情况!B8="出让",SUMPRODUCT(PRODUCT(1+O15:O16)),SUMPRODUCT(PRODUCT(1+O15:O15))),4)</f>
        <v>1.0137</v>
      </c>
      <c r="W15" s="3379">
        <f t="shared" si="15"/>
        <v>1.0016</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2789</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3256</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2801</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2802</v>
      </c>
      <c r="C21" s="3347"/>
      <c r="D21" s="3347"/>
      <c r="E21" s="3347"/>
      <c r="F21" s="3347"/>
      <c r="G21" s="3347"/>
      <c r="H21" s="3347"/>
      <c r="I21" s="3347"/>
      <c r="J21" s="3348"/>
      <c r="K21" s="3347" t="s">
        <v>2794</v>
      </c>
      <c r="L21" s="3347"/>
      <c r="M21" s="3347"/>
      <c r="N21" s="3347"/>
      <c r="O21" s="3347"/>
      <c r="P21" s="3347"/>
      <c r="Q21" s="3348"/>
      <c r="R21" s="3932" t="s">
        <v>2810</v>
      </c>
      <c r="S21" s="3933"/>
      <c r="T21" s="3933"/>
      <c r="U21" s="3933"/>
      <c r="V21" s="3933"/>
      <c r="W21" s="3933"/>
      <c r="X21" s="3348"/>
      <c r="Y21" s="3932" t="s">
        <v>1925</v>
      </c>
      <c r="Z21" s="3933"/>
      <c r="AA21" s="3933"/>
      <c r="AB21" s="3933"/>
      <c r="AC21" s="3933"/>
      <c r="AD21" s="3933"/>
    </row>
    <row r="22" spans="1:30" ht="14.25" thickBot="1">
      <c r="A22" s="3339"/>
      <c r="B22" s="3349"/>
      <c r="C22" s="3350"/>
      <c r="D22" s="3351" t="s">
        <v>2796</v>
      </c>
      <c r="E22" s="3352" t="s">
        <v>2797</v>
      </c>
      <c r="F22" s="3352" t="s">
        <v>2798</v>
      </c>
      <c r="G22" s="3352" t="s">
        <v>1469</v>
      </c>
      <c r="H22" s="3352"/>
      <c r="I22" s="3352" t="s">
        <v>2740</v>
      </c>
      <c r="J22" s="3353"/>
      <c r="K22" s="3351" t="s">
        <v>2796</v>
      </c>
      <c r="L22" s="3352" t="s">
        <v>2797</v>
      </c>
      <c r="M22" s="3352" t="s">
        <v>2798</v>
      </c>
      <c r="N22" s="3352" t="s">
        <v>2799</v>
      </c>
      <c r="O22" s="3352"/>
      <c r="P22" s="3352" t="s">
        <v>2740</v>
      </c>
      <c r="Q22" s="3353"/>
      <c r="R22" s="3351" t="s">
        <v>2811</v>
      </c>
      <c r="S22" s="3352" t="s">
        <v>2812</v>
      </c>
      <c r="T22" s="3352" t="s">
        <v>2798</v>
      </c>
      <c r="U22" s="3352" t="s">
        <v>1469</v>
      </c>
      <c r="V22" s="3352"/>
      <c r="W22" s="3352" t="s">
        <v>2813</v>
      </c>
      <c r="X22" s="3353"/>
      <c r="Y22" s="3351" t="s">
        <v>2795</v>
      </c>
      <c r="Z22" s="3352" t="s">
        <v>2797</v>
      </c>
      <c r="AA22" s="3352" t="s">
        <v>2798</v>
      </c>
      <c r="AB22" s="3352" t="s">
        <v>1469</v>
      </c>
      <c r="AC22" s="3352"/>
      <c r="AD22" s="3352" t="s">
        <v>2816</v>
      </c>
    </row>
    <row r="23" spans="1:30">
      <c r="A23" s="3340" t="s">
        <v>2790</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3254</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1.0323</v>
      </c>
      <c r="T25" s="3379">
        <f>ROUND(IF(项目基本情况!$B$8="出让",SUMPRODUCT(PRODUCT(1+M25:M$36)),SUMPRODUCT(PRODUCT(1+M25:M$35))),4)</f>
        <v>1.0213000000000001</v>
      </c>
      <c r="U25" s="3379">
        <f>ROUND(IF(项目基本情况!$B$8="出让",SUMPRODUCT(PRODUCT(1+N25:N$36)),SUMPRODUCT(PRODUCT(1+N25:N$35))),4)</f>
        <v>1.0609</v>
      </c>
      <c r="V25" s="3379"/>
      <c r="W25" s="3379">
        <f>T25</f>
        <v>1.0213000000000001</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3255</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1.0323</v>
      </c>
      <c r="T26" s="3379">
        <f>ROUND(IF(项目基本情况!$B$8="出让",SUMPRODUCT(PRODUCT(1+M26:M$36)),SUMPRODUCT(PRODUCT(1+M26:M$35))),4)</f>
        <v>1.0213000000000001</v>
      </c>
      <c r="U26" s="3379">
        <f>ROUND(IF(项目基本情况!$B$8="出让",SUMPRODUCT(PRODUCT(1+N26:N$36)),SUMPRODUCT(PRODUCT(1+N26:N$35))),4)</f>
        <v>1.0609</v>
      </c>
      <c r="V26" s="3379"/>
      <c r="W26" s="3379">
        <f t="shared" ref="W26:W28" si="22">T26</f>
        <v>1.0213000000000001</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3253</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1.0323</v>
      </c>
      <c r="T27" s="3379">
        <f>ROUND(IF(项目基本情况!$B$8="出让",SUMPRODUCT(PRODUCT(1+M27:M$36)),SUMPRODUCT(PRODUCT(1+M27:M$35))),4)</f>
        <v>1.0213000000000001</v>
      </c>
      <c r="U27" s="3379">
        <f>ROUND(IF(项目基本情况!$B$8="出让",SUMPRODUCT(PRODUCT(1+N27:N$36)),SUMPRODUCT(PRODUCT(1+N27:N$35))),4)</f>
        <v>1.0609</v>
      </c>
      <c r="V27" s="3379"/>
      <c r="W27" s="3379">
        <f t="shared" si="22"/>
        <v>1.0213000000000001</v>
      </c>
      <c r="X27" s="3363"/>
      <c r="Y27" s="3388"/>
      <c r="Z27" s="3389">
        <f t="shared" ref="Z27:AB27" si="25">IF(E27=0,0,ROUND(AVERAGE(E27:E38)/100,4))</f>
        <v>0</v>
      </c>
      <c r="AA27" s="3389">
        <f t="shared" si="25"/>
        <v>0</v>
      </c>
      <c r="AB27" s="3389">
        <f t="shared" si="25"/>
        <v>0</v>
      </c>
      <c r="AC27" s="3390"/>
      <c r="AD27" s="3388">
        <f t="shared" si="24"/>
        <v>0</v>
      </c>
    </row>
    <row r="28" spans="1:30">
      <c r="A28" s="3342" t="s">
        <v>2784</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1.0323</v>
      </c>
      <c r="T28" s="3379">
        <f>ROUND(IF(项目基本情况!$B$8="出让",SUMPRODUCT(PRODUCT(1+M28:M$36)),SUMPRODUCT(PRODUCT(1+M28:M$35))),4)</f>
        <v>1.0213000000000001</v>
      </c>
      <c r="U28" s="3379">
        <f>ROUND(IF(项目基本情况!$B$8="出让",SUMPRODUCT(PRODUCT(1+N28:N$36)),SUMPRODUCT(PRODUCT(1+N28:N$35))),4)</f>
        <v>1.0609</v>
      </c>
      <c r="V28" s="3379"/>
      <c r="W28" s="3379">
        <f t="shared" si="22"/>
        <v>1.0213000000000001</v>
      </c>
      <c r="X28" s="3363"/>
      <c r="Y28" s="3388"/>
      <c r="Z28" s="3389">
        <f t="shared" ref="Z28:AB28" si="26">IF(E28=0,0,ROUND(AVERAGE(E28:E39)/100,4))</f>
        <v>0</v>
      </c>
      <c r="AA28" s="3389">
        <f t="shared" si="26"/>
        <v>0</v>
      </c>
      <c r="AB28" s="3389">
        <f t="shared" si="26"/>
        <v>0</v>
      </c>
      <c r="AC28" s="3390"/>
      <c r="AD28" s="3388">
        <f t="shared" si="24"/>
        <v>0</v>
      </c>
    </row>
    <row r="29" spans="1:30">
      <c r="A29" s="3343" t="s">
        <v>3251</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1.0323</v>
      </c>
      <c r="T29" s="3366">
        <f>ROUND(IF(项目基本情况!$B$8="出让",SUMPRODUCT(PRODUCT(1+M29:M$36)),SUMPRODUCT(PRODUCT(1+M29:M$35))),4)</f>
        <v>1.0213000000000001</v>
      </c>
      <c r="U29" s="3366">
        <f>ROUND(IF(项目基本情况!$B$8="出让",SUMPRODUCT(PRODUCT(1+N29:N$36)),SUMPRODUCT(PRODUCT(1+N29:N$35))),4)</f>
        <v>1.0609</v>
      </c>
      <c r="V29" s="3366"/>
      <c r="W29" s="3366">
        <f t="shared" ref="W29:W36" si="28">T29</f>
        <v>1.0213000000000001</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3252</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1.0277000000000001</v>
      </c>
      <c r="T30" s="3379">
        <f>ROUND(IF(项目基本情况!$B$8="出让",SUMPRODUCT(PRODUCT(1+M30:M$36)),SUMPRODUCT(PRODUCT(1+M30:M$35))),4)</f>
        <v>1.0192000000000001</v>
      </c>
      <c r="U30" s="3379">
        <f>ROUND(IF(项目基本情况!$B$8="出让",SUMPRODUCT(PRODUCT(1+N30:N$36)),SUMPRODUCT(PRODUCT(1+N30:N$35))),4)</f>
        <v>1.0569</v>
      </c>
      <c r="V30" s="3379"/>
      <c r="W30" s="3379">
        <f t="shared" si="28"/>
        <v>1.0192000000000001</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3250</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1.0246</v>
      </c>
      <c r="T31" s="3379">
        <f>ROUND(IF(项目基本情况!$B$8="出让",SUMPRODUCT(PRODUCT(1+M31:M$36)),SUMPRODUCT(PRODUCT(1+M31:M$35))),4)</f>
        <v>1.0163</v>
      </c>
      <c r="U31" s="3379">
        <f>ROUND(IF(项目基本情况!$B$8="出让",SUMPRODUCT(PRODUCT(1+N31:N$36)),SUMPRODUCT(PRODUCT(1+N31:N$35))),4)</f>
        <v>1.0482</v>
      </c>
      <c r="V31" s="3379"/>
      <c r="W31" s="3379">
        <f t="shared" si="28"/>
        <v>1.0163</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2785</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1.0258</v>
      </c>
      <c r="T32" s="3379">
        <f>ROUND(IF(项目基本情况!$B$8="出让",SUMPRODUCT(PRODUCT(1+M32:M$36)),SUMPRODUCT(PRODUCT(1+M32:M$35))),4)</f>
        <v>1.0176000000000001</v>
      </c>
      <c r="U32" s="3379">
        <f>ROUND(IF(项目基本情况!$B$8="出让",SUMPRODUCT(PRODUCT(1+N32:N$36)),SUMPRODUCT(PRODUCT(1+N32:N$35))),4)</f>
        <v>1.0427</v>
      </c>
      <c r="V32" s="3379"/>
      <c r="W32" s="3379">
        <f t="shared" si="28"/>
        <v>1.0176000000000001</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2786</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1.0196000000000001</v>
      </c>
      <c r="T33" s="3379">
        <f>ROUND(IF(项目基本情况!$B$8="出让",SUMPRODUCT(PRODUCT(1+M33:M$36)),SUMPRODUCT(PRODUCT(1+M33:M$35))),4)</f>
        <v>1.0130999999999999</v>
      </c>
      <c r="U33" s="3379">
        <f>ROUND(IF(项目基本情况!$B$8="出让",SUMPRODUCT(PRODUCT(1+N33:N$36)),SUMPRODUCT(PRODUCT(1+N33:N$35))),4)</f>
        <v>1.0371999999999999</v>
      </c>
      <c r="V33" s="3379"/>
      <c r="W33" s="3379">
        <f t="shared" si="28"/>
        <v>1.0130999999999999</v>
      </c>
      <c r="X33" s="3363"/>
      <c r="Y33" s="3388"/>
      <c r="Z33" s="3389">
        <f t="shared" si="29"/>
        <v>4.8999999999999998E-3</v>
      </c>
      <c r="AA33" s="3391">
        <f t="shared" si="29"/>
        <v>3.3E-3</v>
      </c>
      <c r="AB33" s="3388">
        <f t="shared" si="29"/>
        <v>9.1999999999999998E-3</v>
      </c>
      <c r="AC33" s="3390"/>
      <c r="AD33" s="3388">
        <f t="shared" si="29"/>
        <v>3.3E-3</v>
      </c>
    </row>
    <row r="34" spans="1:30">
      <c r="A34" s="3342" t="s">
        <v>2787</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1.0138</v>
      </c>
      <c r="T34" s="3379">
        <f>ROUND(IF(项目基本情况!$B$8="出让",SUMPRODUCT(PRODUCT(1+M34:M$36)),SUMPRODUCT(PRODUCT(1+M34:M$35))),4)</f>
        <v>1.0122</v>
      </c>
      <c r="U34" s="3379">
        <f>ROUND(IF(项目基本情况!$B$8="出让",SUMPRODUCT(PRODUCT(1+N34:N$36)),SUMPRODUCT(PRODUCT(1+N34:N$35))),4)</f>
        <v>1.0302</v>
      </c>
      <c r="V34" s="3379"/>
      <c r="W34" s="3379">
        <f t="shared" si="28"/>
        <v>1.0122</v>
      </c>
      <c r="X34" s="3363"/>
      <c r="Y34" s="3388"/>
      <c r="Z34" s="3389">
        <f t="shared" si="29"/>
        <v>4.5999999999999999E-3</v>
      </c>
      <c r="AA34" s="3391">
        <f t="shared" si="29"/>
        <v>4.1000000000000003E-3</v>
      </c>
      <c r="AB34" s="3388">
        <f t="shared" si="29"/>
        <v>0.01</v>
      </c>
      <c r="AC34" s="3390"/>
      <c r="AD34" s="3388">
        <f t="shared" si="29"/>
        <v>4.1000000000000003E-3</v>
      </c>
    </row>
    <row r="35" spans="1:30">
      <c r="A35" s="3342" t="s">
        <v>2791</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1.0089999999999999</v>
      </c>
      <c r="T35" s="3379">
        <f>ROUND(IF(项目基本情况!$B$8="出让",SUMPRODUCT(PRODUCT(1+M35:M$36)),SUMPRODUCT(PRODUCT(1+M35:M$35))),4)</f>
        <v>1.0094000000000001</v>
      </c>
      <c r="U35" s="3379">
        <f>ROUND(IF(项目基本情况!$B$8="出让",SUMPRODUCT(PRODUCT(1+N35:N$36)),SUMPRODUCT(PRODUCT(1+N35:N$35))),4)</f>
        <v>1.0208999999999999</v>
      </c>
      <c r="V35" s="3379"/>
      <c r="W35" s="3379">
        <f t="shared" si="28"/>
        <v>1.0094000000000001</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2792</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-1</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5" t="s">
        <v>1807</v>
      </c>
      <c r="C8" s="1612">
        <f ca="1">ROUND(F8*F10*F9*(1-F11)/10000,0)</f>
        <v>0</v>
      </c>
      <c r="D8" s="1609" t="s">
        <v>1817</v>
      </c>
      <c r="E8" s="59" t="s">
        <v>585</v>
      </c>
      <c r="F8" s="751">
        <f ca="1">INDIRECT("'数据-取费表'!u"&amp;$G$1)</f>
        <v>0</v>
      </c>
      <c r="G8" s="1405"/>
      <c r="H8" s="2151" t="s">
        <v>1353</v>
      </c>
      <c r="I8" s="3935" t="s">
        <v>1807</v>
      </c>
      <c r="J8" s="749">
        <f ca="1">ROUND(M8*M10*M9*(1-M11)/10000,0)</f>
        <v>0</v>
      </c>
      <c r="K8" s="332" t="s">
        <v>1817</v>
      </c>
      <c r="L8" s="750" t="s">
        <v>1267</v>
      </c>
      <c r="M8" s="751">
        <f ca="1">INDIRECT("'数据-取费表'!z"&amp;$G$1)</f>
        <v>0</v>
      </c>
    </row>
    <row r="9" spans="1:25" ht="18" customHeight="1">
      <c r="A9" s="2147"/>
      <c r="B9" s="3936"/>
      <c r="C9" s="1613"/>
      <c r="D9" s="1610"/>
      <c r="E9" s="59" t="s">
        <v>586</v>
      </c>
      <c r="F9" s="751">
        <f ca="1">IF(INDIRECT("'数据-取费表'!ah"&amp;$G$1)="",INDIRECT("'数据-取费表'!k"&amp;$G$1),INDIRECT("'数据-取费表'!ah"&amp;$G$1))</f>
        <v>0</v>
      </c>
      <c r="G9" s="1405"/>
      <c r="H9" s="2136"/>
      <c r="I9" s="3936"/>
      <c r="J9" s="754"/>
      <c r="K9" s="755"/>
      <c r="L9" s="750" t="s">
        <v>1268</v>
      </c>
      <c r="M9" s="751">
        <f ca="1">F9</f>
        <v>0</v>
      </c>
    </row>
    <row r="10" spans="1:25" ht="18" customHeight="1">
      <c r="A10" s="2140"/>
      <c r="B10" s="3937"/>
      <c r="C10" s="1613"/>
      <c r="D10" s="1610"/>
      <c r="E10" s="59" t="s">
        <v>587</v>
      </c>
      <c r="F10" s="751">
        <f ca="1">INDIRECT("'数据-取费表'!ai"&amp;$G$1)</f>
        <v>0</v>
      </c>
      <c r="G10" s="1405"/>
      <c r="H10" s="2136"/>
      <c r="I10" s="3937"/>
      <c r="J10" s="754"/>
      <c r="K10" s="755"/>
      <c r="L10" s="750" t="s">
        <v>1269</v>
      </c>
      <c r="M10" s="751">
        <f ca="1">INDIRECT("'数据-取费表'!ai"&amp;$G$1)</f>
        <v>0</v>
      </c>
    </row>
    <row r="11" spans="1:25" ht="18" customHeight="1">
      <c r="A11" s="752"/>
      <c r="B11" s="3938"/>
      <c r="C11" s="1613"/>
      <c r="D11" s="1610"/>
      <c r="E11" s="59" t="s">
        <v>588</v>
      </c>
      <c r="F11" s="760">
        <f ca="1">INDIRECT("'数据-取费表'!w"&amp;$G$1)</f>
        <v>0</v>
      </c>
      <c r="G11" s="1405"/>
      <c r="H11" s="2152"/>
      <c r="I11" s="393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18</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5.0000000000000001E-4</v>
      </c>
      <c r="D26" s="2187" t="str">
        <f>IF(F25&lt;=1,"销售费用×利率×(建设周期÷2)","销售费用×((1+利率)^(建设周期÷2)-1)")</f>
        <v>销售费用×利率×(建设周期÷2)</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18</v>
      </c>
      <c r="G36" s="1786"/>
      <c r="H36" s="1789"/>
      <c r="I36" s="3934"/>
      <c r="J36" s="1803"/>
      <c r="K36" s="1804"/>
      <c r="L36" s="1803"/>
      <c r="M36" s="1803"/>
    </row>
    <row r="37" spans="1:18" ht="18" customHeight="1">
      <c r="A37" s="780"/>
      <c r="B37" s="759"/>
      <c r="C37" s="67"/>
      <c r="D37" s="781"/>
      <c r="E37" s="750" t="s">
        <v>621</v>
      </c>
      <c r="F37" s="751">
        <f ca="1">INDIRECT("'数据-取费表'!r"&amp;$G$1)</f>
        <v>0</v>
      </c>
      <c r="G37" s="1786"/>
      <c r="H37" s="1789"/>
      <c r="I37" s="3934"/>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-1</v>
      </c>
      <c r="K54" s="3939"/>
      <c r="L54" s="3940"/>
      <c r="O54" s="2093" t="s">
        <v>1742</v>
      </c>
      <c r="P54" s="2091" t="s">
        <v>1743</v>
      </c>
      <c r="Q54" s="2092">
        <f ca="1">J54</f>
        <v>-1</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877</v>
      </c>
      <c r="E1" s="2079" t="s">
        <v>1728</v>
      </c>
      <c r="F1" s="2080">
        <f ca="1">J53</f>
        <v>50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27840</v>
      </c>
      <c r="C2" s="3006"/>
      <c r="D2" s="3007"/>
      <c r="E2" s="3008"/>
      <c r="F2" s="3008"/>
      <c r="G2" s="3002"/>
      <c r="H2" s="1781"/>
      <c r="I2" s="1781"/>
      <c r="J2" s="1781"/>
      <c r="K2" s="1782"/>
      <c r="L2" s="1781"/>
      <c r="M2" s="1781"/>
    </row>
    <row r="3" spans="1:33" ht="18" customHeight="1" thickBot="1">
      <c r="A3" s="798" t="s">
        <v>1256</v>
      </c>
      <c r="B3" s="799">
        <f ca="1">IF(ISERROR(B2*10000/F43),0,ROUND(B2*10000/F43,0))</f>
        <v>27840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1814</v>
      </c>
      <c r="D5" s="2143" t="s">
        <v>1805</v>
      </c>
      <c r="E5" s="2137"/>
      <c r="F5" s="2138"/>
      <c r="G5" s="1786"/>
      <c r="H5" s="747">
        <v>1</v>
      </c>
      <c r="I5" s="748" t="s">
        <v>1802</v>
      </c>
      <c r="J5" s="53">
        <f ca="1">J6+J10+J12</f>
        <v>0</v>
      </c>
      <c r="K5" s="2143" t="s">
        <v>1805</v>
      </c>
      <c r="L5" s="2137"/>
      <c r="M5" s="2138"/>
    </row>
    <row r="6" spans="1:33" ht="18" customHeight="1">
      <c r="A6" s="1617" t="s">
        <v>1353</v>
      </c>
      <c r="B6" s="3935" t="s">
        <v>1807</v>
      </c>
      <c r="C6" s="749">
        <f ca="1">ROUND(F6*F8*F7*(1-F9)/10000,0)</f>
        <v>1807</v>
      </c>
      <c r="D6" s="2144" t="s">
        <v>1806</v>
      </c>
      <c r="E6" s="750" t="s">
        <v>1267</v>
      </c>
      <c r="F6" s="751">
        <f ca="1">INDIRECT("'数据-取费表'!u"&amp;$G$1)</f>
        <v>5.5</v>
      </c>
      <c r="G6" s="1786"/>
      <c r="H6" s="2151" t="s">
        <v>1812</v>
      </c>
      <c r="I6" s="3935" t="s">
        <v>1807</v>
      </c>
      <c r="J6" s="749">
        <f ca="1">ROUND(M6*M8*M7*(1-M9)/10000,0)</f>
        <v>0</v>
      </c>
      <c r="K6" s="332" t="s">
        <v>1266</v>
      </c>
      <c r="L6" s="750" t="s">
        <v>1267</v>
      </c>
      <c r="M6" s="751">
        <f ca="1">INDIRECT("'数据-取费表'!z"&amp;$G$1)</f>
        <v>0</v>
      </c>
    </row>
    <row r="7" spans="1:33" ht="18" customHeight="1">
      <c r="A7" s="2147"/>
      <c r="B7" s="3936"/>
      <c r="C7" s="754"/>
      <c r="D7" s="755"/>
      <c r="E7" s="750" t="s">
        <v>1268</v>
      </c>
      <c r="F7" s="751">
        <f ca="1">IF(INDIRECT("'数据-取费表'!ah"&amp;$G$1)="",INDIRECT("'数据-取费表'!k"&amp;$G$1),INDIRECT("'数据-取费表'!ah"&amp;$G$1))</f>
        <v>10000</v>
      </c>
      <c r="G7" s="1786"/>
      <c r="H7" s="2136"/>
      <c r="I7" s="3936"/>
      <c r="J7" s="754"/>
      <c r="K7" s="755"/>
      <c r="L7" s="750" t="s">
        <v>1268</v>
      </c>
      <c r="M7" s="751">
        <f ca="1">F7</f>
        <v>10000</v>
      </c>
    </row>
    <row r="8" spans="1:33" ht="18" customHeight="1">
      <c r="A8" s="2140"/>
      <c r="B8" s="3937"/>
      <c r="C8" s="754"/>
      <c r="D8" s="755"/>
      <c r="E8" s="750" t="s">
        <v>1269</v>
      </c>
      <c r="F8" s="751">
        <f ca="1">INDIRECT("'数据-取费表'!ai"&amp;$G$1)</f>
        <v>365</v>
      </c>
      <c r="G8" s="1786"/>
      <c r="H8" s="2136"/>
      <c r="I8" s="3937"/>
      <c r="J8" s="754"/>
      <c r="K8" s="755"/>
      <c r="L8" s="750" t="s">
        <v>1269</v>
      </c>
      <c r="M8" s="751">
        <f ca="1">INDIRECT("'数据-取费表'!ai"&amp;$G$1)</f>
        <v>365</v>
      </c>
    </row>
    <row r="9" spans="1:33" ht="18" customHeight="1">
      <c r="A9" s="752"/>
      <c r="B9" s="3938"/>
      <c r="C9" s="754"/>
      <c r="D9" s="755"/>
      <c r="E9" s="750" t="s">
        <v>1270</v>
      </c>
      <c r="F9" s="760">
        <f ca="1">INDIRECT("'数据-取费表'!w"&amp;$G$1)</f>
        <v>0.1</v>
      </c>
      <c r="G9" s="1786"/>
      <c r="H9" s="2152"/>
      <c r="I9" s="3937"/>
      <c r="J9" s="754"/>
      <c r="K9" s="755"/>
      <c r="L9" s="761" t="s">
        <v>1270</v>
      </c>
      <c r="M9" s="762">
        <f ca="1">INDIRECT("'数据-取费表'!ab"&amp;$G$1)</f>
        <v>0</v>
      </c>
    </row>
    <row r="10" spans="1:33" ht="18" customHeight="1">
      <c r="A10" s="1617" t="s">
        <v>1810</v>
      </c>
      <c r="B10" s="2141" t="s">
        <v>1803</v>
      </c>
      <c r="C10" s="765">
        <f ca="1">ROUND(IF(F10="押一",C6/12*F11,IF(F10="押二",C6/12*2*F11,IF(F10="押三",C6/12*3*F11,C11*F11))),0)</f>
        <v>7</v>
      </c>
      <c r="D10" s="2148" t="s">
        <v>2232</v>
      </c>
      <c r="E10" s="2145" t="s">
        <v>1808</v>
      </c>
      <c r="F10" s="2229" t="s">
        <v>3270</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2975</v>
      </c>
      <c r="D13" s="1621" t="s">
        <v>1654</v>
      </c>
      <c r="E13" s="1621" t="s">
        <v>1273</v>
      </c>
      <c r="F13" s="2154">
        <f ca="1">INDIRECT("'数据-取费表'!y"&amp;$G$1)</f>
        <v>0.75</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3000</v>
      </c>
      <c r="D14" s="1734" t="s">
        <v>1274</v>
      </c>
      <c r="E14" s="1735"/>
      <c r="F14" s="771"/>
      <c r="G14" s="1786"/>
      <c r="H14" s="1454" t="s">
        <v>1359</v>
      </c>
      <c r="I14" s="1950" t="s">
        <v>2103</v>
      </c>
      <c r="J14" s="51">
        <f ca="1">C29</f>
        <v>3967</v>
      </c>
      <c r="K14" s="24"/>
      <c r="L14" s="767"/>
      <c r="M14" s="768"/>
    </row>
    <row r="15" spans="1:33" s="1788" customFormat="1" ht="18" customHeight="1" thickBot="1">
      <c r="A15" s="1453" t="s">
        <v>1410</v>
      </c>
      <c r="B15" s="750" t="s">
        <v>595</v>
      </c>
      <c r="C15" s="51">
        <f ca="1">ROUND(C14*F15,0)</f>
        <v>90</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60</v>
      </c>
      <c r="K16" s="1608" t="s">
        <v>1279</v>
      </c>
      <c r="L16" s="2133"/>
      <c r="M16" s="2138"/>
    </row>
    <row r="17" spans="1:33" s="1788" customFormat="1" ht="18" customHeight="1">
      <c r="A17" s="1453" t="s">
        <v>1412</v>
      </c>
      <c r="B17" s="750" t="s">
        <v>601</v>
      </c>
      <c r="C17" s="51">
        <f ca="1">ROUND(F17*(F43+INDIRECT("'数据-取费表'!S"&amp;$G$1))/10000,0)</f>
        <v>180</v>
      </c>
      <c r="D17" s="750" t="s">
        <v>1280</v>
      </c>
      <c r="E17" s="750" t="s">
        <v>1281</v>
      </c>
      <c r="F17" s="54">
        <f>'数据-取费表'!B35</f>
        <v>180</v>
      </c>
      <c r="G17" s="3003"/>
      <c r="H17" s="1454" t="s">
        <v>1359</v>
      </c>
      <c r="I17" s="750" t="s">
        <v>604</v>
      </c>
      <c r="J17" s="2762">
        <f ca="1">ROUND(IF(AND(项目基本情况!B11="自然人",项目基本情况!B10="北京市"),J6*M17/(1+'数据-取费表'!C42),J18+J19+J20),2)</f>
        <v>0</v>
      </c>
      <c r="K17" s="2132" t="s">
        <v>1282</v>
      </c>
      <c r="L17" s="2131" t="s">
        <v>1283</v>
      </c>
      <c r="M17" s="2761">
        <f ca="1">IF(项目基本情况!B11="企业","——",IF('数据-取费表'!B10="住宅",IF(M6*M7*M8/12/(1+'数据-取费表'!F30)&gt;100000,4%,2.5%),IF(M6*M7*M8/12/(1+'数据-取费表'!F30)&gt;100000,12%,7%)))</f>
        <v>7.0000000000000007E-2</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45</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3315</v>
      </c>
      <c r="D19" s="252" t="s">
        <v>1286</v>
      </c>
      <c r="E19" s="1737"/>
      <c r="F19" s="54"/>
      <c r="G19" s="1786"/>
      <c r="H19" s="1453" t="s">
        <v>1410</v>
      </c>
      <c r="I19" s="750" t="s">
        <v>1287</v>
      </c>
      <c r="J19" s="51">
        <f ca="1">IF(K19="按租金收入计税",ROUND(J6*M19/(1+'数据-取费表'!C42),1),ROUND(C29*F33*0.7,2))</f>
        <v>0</v>
      </c>
      <c r="K19" s="776" t="s">
        <v>3248</v>
      </c>
      <c r="L19" s="750" t="s">
        <v>1276</v>
      </c>
      <c r="M19" s="775">
        <f>IF(K19="按租金收入计税",'数据-取费表'!B51,'数据-取费表'!B50)</f>
        <v>0.12</v>
      </c>
    </row>
    <row r="20" spans="1:33" s="1788" customFormat="1" ht="18" customHeight="1">
      <c r="A20" s="1454" t="s">
        <v>1414</v>
      </c>
      <c r="B20" s="750" t="s">
        <v>613</v>
      </c>
      <c r="C20" s="51">
        <f ca="1">ROUND(C19*F20,0)</f>
        <v>66</v>
      </c>
      <c r="D20" s="777" t="s">
        <v>1288</v>
      </c>
      <c r="E20" s="750" t="s">
        <v>1276</v>
      </c>
      <c r="F20" s="775">
        <f>'数据-取费表'!B37</f>
        <v>0.02</v>
      </c>
      <c r="G20" s="3003"/>
      <c r="H20" s="1456" t="s">
        <v>1405</v>
      </c>
      <c r="I20" s="332" t="s">
        <v>1289</v>
      </c>
      <c r="J20" s="52">
        <f ca="1">ROUND(M20*M21/10000,2)</f>
        <v>7.2</v>
      </c>
      <c r="K20" s="779" t="s">
        <v>1290</v>
      </c>
      <c r="L20" s="750" t="s">
        <v>1291</v>
      </c>
      <c r="M20" s="608">
        <f>'数据-取费表'!B52</f>
        <v>18</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3975">
        <v>0</v>
      </c>
      <c r="G21" s="3003"/>
      <c r="H21" s="2153"/>
      <c r="I21" s="759"/>
      <c r="J21" s="67"/>
      <c r="K21" s="781"/>
      <c r="L21" s="750" t="s">
        <v>1295</v>
      </c>
      <c r="M21" s="751">
        <f ca="1">INDIRECT("'数据-取费表'!r"&amp;$G$1)</f>
        <v>4000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f ca="1">ROUND(J14*M22,2)</f>
        <v>59.51</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79</v>
      </c>
      <c r="D23" s="2187" t="str">
        <f>IF(F23&lt;=1,"(建造成本+管理费用)×利率×(建设周期÷2)","(建造成本+管理费用)×((1+利率)^(建设周期÷2)-1)")</f>
        <v>(建造成本+管理费用)×利率×(建设周期÷2)</v>
      </c>
      <c r="E23" s="750" t="s">
        <v>1299</v>
      </c>
      <c r="F23" s="608">
        <f>'数据-取费表'!B20</f>
        <v>1</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-60</v>
      </c>
      <c r="K25" s="2166" t="s">
        <v>1306</v>
      </c>
      <c r="L25" s="2167"/>
      <c r="M25" s="2168"/>
    </row>
    <row r="26" spans="1:33" ht="18" customHeight="1">
      <c r="A26" s="1453" t="s">
        <v>1360</v>
      </c>
      <c r="B26" s="750" t="s">
        <v>1785</v>
      </c>
      <c r="C26" s="51">
        <f ca="1">ROUND((C19+C20)*F26,0)</f>
        <v>507</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0</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0</v>
      </c>
      <c r="D28" s="777" t="s">
        <v>1656</v>
      </c>
      <c r="E28" s="750" t="s">
        <v>1314</v>
      </c>
      <c r="F28" s="3975">
        <v>0</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3967</v>
      </c>
      <c r="D29" s="2163"/>
      <c r="E29" s="2164"/>
      <c r="F29" s="2165"/>
      <c r="G29" s="3003"/>
      <c r="H29" s="788" t="s">
        <v>1316</v>
      </c>
      <c r="I29" s="789" t="s">
        <v>1317</v>
      </c>
      <c r="J29" s="790">
        <f ca="1">ROUND(J26/(1+F40)^F41,0)</f>
        <v>0</v>
      </c>
      <c r="K29" s="791" t="s">
        <v>1318</v>
      </c>
      <c r="L29" s="792"/>
      <c r="M29" s="793">
        <f ca="1">INDIRECT("'数据-取费表'!k"&amp;$G$1)</f>
        <v>10000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289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206.51</v>
      </c>
      <c r="D31" s="1734" t="s">
        <v>1321</v>
      </c>
      <c r="E31" s="1732" t="s">
        <v>1322</v>
      </c>
      <c r="F31" s="2761">
        <f ca="1">IF(项目基本情况!B11="企业","——",IF(M47="住宅",IF(F6*F7*F8/12/(1+'数据-取费表'!F30)&gt;100000,4%,2.5%),IF(F6*F7*F8/12/(1+'数据-取费表'!F30)&gt;100000,12%,7%)))</f>
        <v>0.12</v>
      </c>
      <c r="G31" s="1786"/>
      <c r="H31" s="3000" t="s">
        <v>2284</v>
      </c>
      <c r="I31" s="1790"/>
      <c r="J31" s="1791"/>
      <c r="K31" s="1792"/>
      <c r="L31" s="1793"/>
      <c r="M31" s="1794"/>
    </row>
    <row r="32" spans="1:33" ht="18" customHeight="1">
      <c r="A32" s="1453" t="s">
        <v>1360</v>
      </c>
      <c r="B32" s="750" t="s">
        <v>1323</v>
      </c>
      <c r="C32" s="51">
        <f ca="1">ROUND(C6*F32/(1+'数据-取费表'!C42),2)</f>
        <v>0</v>
      </c>
      <c r="D32" s="1732" t="s">
        <v>1324</v>
      </c>
      <c r="E32" s="750" t="s">
        <v>1325</v>
      </c>
      <c r="F32" s="3975">
        <v>0</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206.51</v>
      </c>
      <c r="D33" s="776" t="s">
        <v>3248</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7.2</v>
      </c>
      <c r="D34" s="779" t="s">
        <v>1328</v>
      </c>
      <c r="E34" s="750" t="s">
        <v>1329</v>
      </c>
      <c r="F34" s="608">
        <f>'数据-取费表'!B52</f>
        <v>18</v>
      </c>
      <c r="G34" s="1786"/>
      <c r="H34" s="1789"/>
      <c r="I34" s="800" t="s">
        <v>1342</v>
      </c>
      <c r="J34" s="801"/>
      <c r="K34" s="1804"/>
      <c r="L34" s="1803"/>
      <c r="M34" s="1803"/>
    </row>
    <row r="35" spans="1:18" ht="18" customHeight="1">
      <c r="A35" s="780"/>
      <c r="B35" s="759"/>
      <c r="C35" s="67"/>
      <c r="D35" s="781"/>
      <c r="E35" s="750" t="s">
        <v>1330</v>
      </c>
      <c r="F35" s="751">
        <f ca="1">INDIRECT("'数据-取费表'!r"&amp;$G$1)</f>
        <v>4000</v>
      </c>
      <c r="G35" s="1786"/>
      <c r="H35" s="1789"/>
      <c r="I35" s="802" t="s">
        <v>1343</v>
      </c>
      <c r="J35" s="803">
        <f ca="1">ROUND(C13*J36,0)</f>
        <v>164</v>
      </c>
      <c r="K35" s="1802"/>
      <c r="L35" s="1801"/>
      <c r="M35" s="1801"/>
    </row>
    <row r="36" spans="1:18" ht="18" customHeight="1">
      <c r="A36" s="1454" t="s">
        <v>1414</v>
      </c>
      <c r="B36" s="750" t="s">
        <v>1331</v>
      </c>
      <c r="C36" s="51">
        <f ca="1">ROUND(C29*F36,2)</f>
        <v>59.51</v>
      </c>
      <c r="D36" s="1732" t="s">
        <v>1332</v>
      </c>
      <c r="E36" s="750" t="s">
        <v>1325</v>
      </c>
      <c r="F36" s="782">
        <f ca="1">INDIRECT("'数据-取费表'!Ak"&amp;$G$1)</f>
        <v>1.4999999999999999E-2</v>
      </c>
      <c r="G36" s="1786"/>
      <c r="H36" s="1801"/>
      <c r="I36" s="804" t="s">
        <v>1344</v>
      </c>
      <c r="J36" s="805">
        <f ca="1">INDIRECT("'数据-取费表'!j"&amp;$G$1)</f>
        <v>5.5E-2</v>
      </c>
      <c r="K36" s="1805"/>
      <c r="L36" s="1801"/>
      <c r="M36" s="1801"/>
    </row>
    <row r="37" spans="1:18" ht="18" customHeight="1">
      <c r="A37" s="1454" t="s">
        <v>1415</v>
      </c>
      <c r="B37" s="750" t="s">
        <v>626</v>
      </c>
      <c r="C37" s="51">
        <f ca="1">ROUND(C13*F37,2)</f>
        <v>4.46</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18.14</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1525</v>
      </c>
      <c r="D39" s="2166" t="s">
        <v>1335</v>
      </c>
      <c r="E39" s="2167"/>
      <c r="F39" s="2168"/>
      <c r="G39" s="1786"/>
      <c r="H39" s="1801"/>
      <c r="I39" s="802" t="s">
        <v>1347</v>
      </c>
      <c r="J39" s="810">
        <f ca="1">ROUND(J35/C39,3)</f>
        <v>0.108</v>
      </c>
      <c r="K39" s="1806"/>
      <c r="L39" s="1801"/>
      <c r="M39" s="1801"/>
    </row>
    <row r="40" spans="1:18" ht="18" customHeight="1">
      <c r="A40" s="747" t="s">
        <v>1420</v>
      </c>
      <c r="B40" s="1951" t="s">
        <v>1658</v>
      </c>
      <c r="C40" s="749">
        <f ca="1">ROUND(C39*(1-((1+F42)/(1+F40))^F41)/(F40-F42),0)</f>
        <v>27840</v>
      </c>
      <c r="D40" s="779" t="s">
        <v>1336</v>
      </c>
      <c r="E40" s="750" t="s">
        <v>1773</v>
      </c>
      <c r="F40" s="760">
        <f ca="1">INDIRECT("'数据-取费表'!I"&amp;$G$1)</f>
        <v>0.05</v>
      </c>
      <c r="G40" s="1786"/>
      <c r="H40" s="1786"/>
      <c r="I40" s="802" t="s">
        <v>1348</v>
      </c>
      <c r="J40" s="810">
        <f ca="1">1-J39</f>
        <v>0.89200000000000002</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50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0.107</v>
      </c>
      <c r="K42" s="1805"/>
      <c r="L42" s="1741"/>
      <c r="M42" s="1741"/>
    </row>
    <row r="43" spans="1:18" ht="18" customHeight="1" thickBot="1">
      <c r="A43" s="788" t="s">
        <v>1316</v>
      </c>
      <c r="B43" s="789" t="s">
        <v>1339</v>
      </c>
      <c r="C43" s="790">
        <f ca="1">ROUND(C40*10000/F43,0)</f>
        <v>27840</v>
      </c>
      <c r="D43" s="791" t="s">
        <v>1340</v>
      </c>
      <c r="E43" s="792" t="s">
        <v>1341</v>
      </c>
      <c r="F43" s="793">
        <f ca="1">INDIRECT("'数据-取费表'!k"&amp;$G$1)</f>
        <v>10000</v>
      </c>
      <c r="G43" s="1786"/>
      <c r="H43" s="1741"/>
      <c r="I43" s="812" t="s">
        <v>1351</v>
      </c>
      <c r="J43" s="813">
        <f ca="1">1-J42</f>
        <v>0.89300000000000002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-29008</v>
      </c>
      <c r="D46" s="3004"/>
      <c r="E46" s="3004"/>
      <c r="F46" s="3004"/>
      <c r="I46" s="2070" t="s">
        <v>1697</v>
      </c>
      <c r="J46" s="2071"/>
      <c r="K46" s="2072"/>
      <c r="L46" s="2566" t="str">
        <f ca="1">IF(OR(M47="住宅",D1="土地（套用方法）"),0,IF(L48&gt;J51,L60,J60))</f>
        <v>0</v>
      </c>
      <c r="M46" s="3005"/>
      <c r="O46" s="2086" t="s">
        <v>1764</v>
      </c>
      <c r="P46" s="1405"/>
      <c r="Q46" s="1413"/>
      <c r="R46" s="1405"/>
    </row>
    <row r="47" spans="1:18" s="1783" customFormat="1" ht="18" customHeight="1" thickBot="1">
      <c r="A47" s="3653">
        <v>1</v>
      </c>
      <c r="B47" s="3654" t="s">
        <v>583</v>
      </c>
      <c r="C47" s="3655">
        <f ca="1">C48+C52+C54</f>
        <v>0</v>
      </c>
      <c r="D47" s="3656"/>
      <c r="E47" s="3656"/>
      <c r="F47" s="3657"/>
      <c r="I47" s="2557" t="s">
        <v>1698</v>
      </c>
      <c r="J47" s="2073" t="s">
        <v>3272</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50</v>
      </c>
      <c r="M48" s="3005"/>
      <c r="O48" s="2090" t="s">
        <v>1733</v>
      </c>
      <c r="P48" s="2091" t="s">
        <v>1759</v>
      </c>
      <c r="Q48" s="2092">
        <f ca="1">C40+J29</f>
        <v>27840</v>
      </c>
      <c r="R48" s="2091" t="s">
        <v>1734</v>
      </c>
    </row>
    <row r="49" spans="1:18" s="1783" customFormat="1" ht="18" customHeight="1" thickBot="1">
      <c r="A49" s="752"/>
      <c r="B49" s="753"/>
      <c r="C49" s="754"/>
      <c r="D49" s="755"/>
      <c r="E49" s="750" t="s">
        <v>1268</v>
      </c>
      <c r="F49" s="751">
        <f ca="1">F7</f>
        <v>10000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3967</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28096</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50</v>
      </c>
      <c r="K53" s="3941" t="s">
        <v>2226</v>
      </c>
      <c r="L53" s="3942"/>
      <c r="M53" s="3005"/>
      <c r="O53" s="2093" t="s">
        <v>1742</v>
      </c>
      <c r="P53" s="2091" t="s">
        <v>1743</v>
      </c>
      <c r="Q53" s="2092">
        <f ca="1">J53</f>
        <v>50</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27840</v>
      </c>
      <c r="R54" s="2095" t="s">
        <v>1746</v>
      </c>
    </row>
    <row r="55" spans="1:18" s="1783" customFormat="1" ht="18" customHeight="1" thickTop="1" thickBot="1">
      <c r="A55" s="763">
        <v>2</v>
      </c>
      <c r="B55" s="764" t="s">
        <v>592</v>
      </c>
      <c r="C55" s="765">
        <f ca="1">C13</f>
        <v>2975</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3967</v>
      </c>
      <c r="D56" s="2245"/>
      <c r="E56" s="750"/>
      <c r="F56" s="775"/>
      <c r="I56" s="2573" t="s">
        <v>1711</v>
      </c>
      <c r="J56" s="2583" t="s">
        <v>3260</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64</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27840</v>
      </c>
      <c r="R57" s="2091" t="s">
        <v>1734</v>
      </c>
    </row>
    <row r="58" spans="1:18" s="1783" customFormat="1" ht="28.5" customHeight="1" thickBot="1">
      <c r="A58" s="1454" t="s">
        <v>1353</v>
      </c>
      <c r="B58" s="750" t="s">
        <v>604</v>
      </c>
      <c r="C58" s="2762">
        <f ca="1">ROUND(IF(AND(项目基本情况!B11="自然人",项目基本情况!B10="北京市"),C48*F58/(1+'数据-取费表'!C42),C59+C60+C61),2)</f>
        <v>0</v>
      </c>
      <c r="D58" s="2244" t="s">
        <v>605</v>
      </c>
      <c r="E58" s="2245" t="s">
        <v>637</v>
      </c>
      <c r="F58" s="2761">
        <f ca="1">IF(项目基本情况!B11="企业","——",IF('数据-取费表'!B10="住宅",IF(F48*F49*F50/12/(1+'数据-取费表'!F30)&gt;100000,4%,2.5%),IF(F48*F49*F50/12/(1+'数据-取费表'!F30)&gt;100000,12%,7%)))</f>
        <v>7.0000000000000007E-2</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0</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7.2</v>
      </c>
      <c r="D61" s="779" t="s">
        <v>616</v>
      </c>
      <c r="E61" s="750" t="s">
        <v>617</v>
      </c>
      <c r="F61" s="608">
        <f t="shared" si="0"/>
        <v>18</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4000</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59.51</v>
      </c>
      <c r="D63" s="2245" t="s">
        <v>1332</v>
      </c>
      <c r="E63" s="750" t="s">
        <v>1276</v>
      </c>
      <c r="F63" s="782">
        <f t="shared" ca="1" si="0"/>
        <v>1.4999999999999999E-2</v>
      </c>
      <c r="I63" s="2579" t="s">
        <v>1724</v>
      </c>
      <c r="J63" s="2580">
        <v>70</v>
      </c>
      <c r="K63" s="2580">
        <v>50</v>
      </c>
      <c r="L63" s="2580">
        <v>80</v>
      </c>
      <c r="M63" s="2582">
        <v>0.02</v>
      </c>
      <c r="O63" s="2090" t="s">
        <v>1745</v>
      </c>
      <c r="P63" s="2091" t="s">
        <v>1762</v>
      </c>
      <c r="Q63" s="2092">
        <f ca="1">Q57+Q58</f>
        <v>27840</v>
      </c>
      <c r="R63" s="2095" t="s">
        <v>1746</v>
      </c>
    </row>
    <row r="64" spans="1:18" s="1783" customFormat="1" ht="16.5" thickBot="1">
      <c r="A64" s="1454" t="s">
        <v>1415</v>
      </c>
      <c r="B64" s="750" t="s">
        <v>626</v>
      </c>
      <c r="C64" s="51">
        <f ca="1">ROUND(C55*F64,2)</f>
        <v>4.46</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-64</v>
      </c>
      <c r="D66" s="2244" t="s">
        <v>647</v>
      </c>
      <c r="E66" s="2243"/>
      <c r="F66" s="785"/>
      <c r="K66" s="1809"/>
      <c r="O66" s="2090" t="s">
        <v>1733</v>
      </c>
      <c r="P66" s="2091" t="s">
        <v>1763</v>
      </c>
      <c r="Q66" s="2092">
        <f ca="1">C40+J29</f>
        <v>27840</v>
      </c>
      <c r="R66" s="2091" t="s">
        <v>1734</v>
      </c>
    </row>
    <row r="67" spans="1:18" s="1783" customFormat="1" ht="20.25" thickBot="1">
      <c r="A67" s="747" t="s">
        <v>1309</v>
      </c>
      <c r="B67" s="1951" t="s">
        <v>1658</v>
      </c>
      <c r="C67" s="749">
        <f ca="1">ROUND(C66*(1-((1+F69)/(1+F67))^F68)/(F67-F69),0)</f>
        <v>-1168</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50</v>
      </c>
      <c r="O68" s="2093" t="s">
        <v>1737</v>
      </c>
      <c r="P68" s="2091" t="s">
        <v>1767</v>
      </c>
      <c r="Q68" s="2097">
        <f ca="1">L51</f>
        <v>28096</v>
      </c>
      <c r="R68" s="2098" t="s">
        <v>1770</v>
      </c>
    </row>
    <row r="69" spans="1:18" ht="20.25" thickBot="1">
      <c r="A69" s="756"/>
      <c r="B69" s="757"/>
      <c r="C69" s="758"/>
      <c r="D69" s="781"/>
      <c r="E69" s="750" t="s">
        <v>657</v>
      </c>
      <c r="F69" s="2065"/>
      <c r="O69" s="2093" t="s">
        <v>1738</v>
      </c>
      <c r="P69" s="2099" t="s">
        <v>1752</v>
      </c>
      <c r="Q69" s="2092">
        <f ca="1">ROUND(Q70-Q71*Q72,0)</f>
        <v>1361</v>
      </c>
      <c r="R69" s="2095"/>
    </row>
    <row r="70" spans="1:18" ht="15.75" thickBot="1">
      <c r="A70" s="788" t="s">
        <v>1316</v>
      </c>
      <c r="B70" s="789" t="s">
        <v>1339</v>
      </c>
      <c r="C70" s="790">
        <f ca="1">ROUND(C67*10000/F70,0)</f>
        <v>-1168</v>
      </c>
      <c r="D70" s="791" t="s">
        <v>1340</v>
      </c>
      <c r="E70" s="792" t="s">
        <v>1341</v>
      </c>
      <c r="F70" s="793">
        <f ca="1">F43</f>
        <v>10000</v>
      </c>
      <c r="O70" s="2093" t="s">
        <v>1753</v>
      </c>
      <c r="P70" s="2099" t="s">
        <v>1754</v>
      </c>
      <c r="Q70" s="2092">
        <f ca="1">C39</f>
        <v>1525</v>
      </c>
      <c r="R70" s="2091" t="s">
        <v>1734</v>
      </c>
    </row>
    <row r="71" spans="1:18" ht="15.75" thickBot="1">
      <c r="O71" s="2093" t="s">
        <v>1755</v>
      </c>
      <c r="P71" s="2099" t="s">
        <v>1756</v>
      </c>
      <c r="Q71" s="2092">
        <f ca="1">C13</f>
        <v>2975</v>
      </c>
      <c r="R71" s="2091" t="s">
        <v>1734</v>
      </c>
    </row>
    <row r="72" spans="1:18" ht="15.75" thickBot="1">
      <c r="O72" s="2093" t="s">
        <v>1757</v>
      </c>
      <c r="P72" s="2099" t="s">
        <v>1758</v>
      </c>
      <c r="Q72" s="2094">
        <f ca="1">J36</f>
        <v>5.5E-2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27840</v>
      </c>
      <c r="R76" s="2095" t="s">
        <v>1746</v>
      </c>
    </row>
  </sheetData>
  <sheetProtection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43" t="s">
        <v>2303</v>
      </c>
      <c r="K2" s="3944"/>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45" t="s">
        <v>2313</v>
      </c>
      <c r="K3" s="3946"/>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45" t="s">
        <v>2315</v>
      </c>
      <c r="K4" s="3946"/>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47" t="s">
        <v>2319</v>
      </c>
      <c r="B6" s="3948"/>
      <c r="C6" s="3949"/>
      <c r="D6" s="3096"/>
      <c r="E6" s="3097"/>
      <c r="F6" s="3098"/>
      <c r="G6" s="3099"/>
      <c r="H6" s="3074"/>
      <c r="I6" s="3075"/>
      <c r="J6" s="3950">
        <v>1</v>
      </c>
      <c r="K6" s="3951"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50"/>
      <c r="K7" s="3952"/>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54" t="s">
        <v>2333</v>
      </c>
      <c r="C8" s="3955"/>
      <c r="D8" s="3115" t="s">
        <v>2334</v>
      </c>
      <c r="E8" s="3116" t="s">
        <v>2335</v>
      </c>
      <c r="F8" s="3117" t="s">
        <v>2336</v>
      </c>
      <c r="G8" s="3118"/>
      <c r="H8" s="3074"/>
      <c r="I8" s="3075"/>
      <c r="J8" s="3950"/>
      <c r="K8" s="3952"/>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54" t="s">
        <v>2339</v>
      </c>
      <c r="C9" s="3955"/>
      <c r="D9" s="3115">
        <f>ROUND(D6*E9,0)</f>
        <v>0</v>
      </c>
      <c r="E9" s="3119"/>
      <c r="F9" s="3120" t="s">
        <v>2340</v>
      </c>
      <c r="G9" s="3099"/>
      <c r="H9" s="3074"/>
      <c r="I9" s="3075"/>
      <c r="J9" s="3950"/>
      <c r="K9" s="3952"/>
      <c r="L9" s="3109" t="s">
        <v>2341</v>
      </c>
      <c r="M9" s="3110"/>
      <c r="N9" s="3086"/>
      <c r="O9" s="3111"/>
      <c r="P9" s="3111"/>
      <c r="Q9" s="3112">
        <v>365</v>
      </c>
      <c r="R9" s="3113">
        <f t="shared" si="0"/>
        <v>0</v>
      </c>
      <c r="S9" s="3066"/>
      <c r="T9" s="3066"/>
      <c r="U9" s="3066"/>
      <c r="V9" s="3075"/>
    </row>
    <row r="10" spans="1:22" s="3079" customFormat="1" ht="13.15" customHeight="1">
      <c r="A10" s="3114">
        <v>2</v>
      </c>
      <c r="B10" s="3954" t="s">
        <v>2342</v>
      </c>
      <c r="C10" s="3955"/>
      <c r="D10" s="3115">
        <f>ROUND(D6*E10,0)</f>
        <v>0</v>
      </c>
      <c r="E10" s="3119"/>
      <c r="F10" s="3120" t="s">
        <v>2343</v>
      </c>
      <c r="G10" s="3099"/>
      <c r="H10" s="3074"/>
      <c r="I10" s="3075"/>
      <c r="J10" s="3950"/>
      <c r="K10" s="3952"/>
      <c r="L10" s="3109" t="s">
        <v>2344</v>
      </c>
      <c r="M10" s="3110"/>
      <c r="N10" s="3086"/>
      <c r="O10" s="3111"/>
      <c r="P10" s="3111"/>
      <c r="Q10" s="3112">
        <v>365</v>
      </c>
      <c r="R10" s="3113">
        <f t="shared" si="0"/>
        <v>0</v>
      </c>
      <c r="S10" s="3066"/>
      <c r="T10" s="3066"/>
      <c r="U10" s="3066"/>
      <c r="V10" s="3075"/>
    </row>
    <row r="11" spans="1:22" s="3079" customFormat="1" ht="13.15" customHeight="1">
      <c r="A11" s="3114">
        <v>3</v>
      </c>
      <c r="B11" s="3954" t="s">
        <v>2345</v>
      </c>
      <c r="C11" s="3955"/>
      <c r="D11" s="3115">
        <f>D12+D14+D15+D16</f>
        <v>0</v>
      </c>
      <c r="E11" s="3121" t="e">
        <f>D11/D6</f>
        <v>#DIV/0!</v>
      </c>
      <c r="F11" s="3117"/>
      <c r="G11" s="3118"/>
      <c r="H11" s="3074"/>
      <c r="I11" s="3075"/>
      <c r="J11" s="3950"/>
      <c r="K11" s="3952"/>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56" t="s">
        <v>2348</v>
      </c>
      <c r="C12" s="3957"/>
      <c r="D12" s="3123">
        <f>ROUND(D13*1.2%*(1-30%),0)</f>
        <v>0</v>
      </c>
      <c r="E12" s="3124">
        <v>1.2E-2</v>
      </c>
      <c r="F12" s="3117" t="s">
        <v>2349</v>
      </c>
      <c r="G12" s="3118"/>
      <c r="H12" s="3074"/>
      <c r="I12" s="3075"/>
      <c r="J12" s="3950"/>
      <c r="K12" s="3952"/>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50"/>
      <c r="K13" s="3952"/>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56" t="s">
        <v>2354</v>
      </c>
      <c r="C14" s="3957"/>
      <c r="D14" s="3123">
        <f>ROUND(E14*B5/10000,0)</f>
        <v>0</v>
      </c>
      <c r="E14" s="3112"/>
      <c r="F14" s="3117" t="s">
        <v>2355</v>
      </c>
      <c r="G14" s="3118"/>
      <c r="H14" s="3074"/>
      <c r="I14" s="3075"/>
      <c r="J14" s="3950"/>
      <c r="K14" s="3953"/>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56" t="s">
        <v>2358</v>
      </c>
      <c r="C15" s="3957"/>
      <c r="D15" s="3123">
        <f>ROUND(D6*E15,0)</f>
        <v>0</v>
      </c>
      <c r="E15" s="3124">
        <v>5.5E-2</v>
      </c>
      <c r="F15" s="3117" t="s">
        <v>2359</v>
      </c>
      <c r="G15" s="3099"/>
      <c r="H15" s="3074"/>
      <c r="I15" s="3075"/>
      <c r="J15" s="3950">
        <v>2</v>
      </c>
      <c r="K15" s="3951"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56" t="s">
        <v>2369</v>
      </c>
      <c r="C16" s="3957"/>
      <c r="D16" s="3134">
        <f>D6*E16</f>
        <v>0</v>
      </c>
      <c r="E16" s="3135"/>
      <c r="F16" s="3120" t="s">
        <v>2370</v>
      </c>
      <c r="G16" s="3099"/>
      <c r="H16" s="3074"/>
      <c r="I16" s="3075"/>
      <c r="J16" s="3950"/>
      <c r="K16" s="3952"/>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58" t="s">
        <v>2372</v>
      </c>
      <c r="C17" s="3959"/>
      <c r="D17" s="3137">
        <f>ROUND(D6*E17,0)</f>
        <v>0</v>
      </c>
      <c r="E17" s="3138"/>
      <c r="F17" s="3139" t="s">
        <v>2373</v>
      </c>
      <c r="G17" s="3099"/>
      <c r="H17" s="3074"/>
      <c r="I17" s="3075"/>
      <c r="J17" s="3950"/>
      <c r="K17" s="3952"/>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50"/>
      <c r="K18" s="3952"/>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50"/>
      <c r="K19" s="3953"/>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50">
        <v>3</v>
      </c>
      <c r="K20" s="3951"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50"/>
      <c r="K21" s="3952"/>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50"/>
      <c r="K22" s="3952"/>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50"/>
      <c r="K23" s="3952"/>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50"/>
      <c r="K24" s="3953"/>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60">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61"/>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43" t="s">
        <v>2415</v>
      </c>
      <c r="K32" s="3944"/>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45" t="s">
        <v>2419</v>
      </c>
      <c r="K33" s="3946"/>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45" t="s">
        <v>2421</v>
      </c>
      <c r="K34" s="3946"/>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50">
        <v>1</v>
      </c>
      <c r="K36" s="3951"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50"/>
      <c r="K37" s="3952"/>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50"/>
      <c r="K38" s="3952"/>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50"/>
      <c r="K39" s="3952"/>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50"/>
      <c r="K40" s="3953"/>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60">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61"/>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B7E2-9729-4757-A7F2-7D0E89CB850F}">
  <sheetPr>
    <tabColor rgb="FF92D050"/>
    <pageSetUpPr fitToPage="1"/>
  </sheetPr>
  <dimension ref="A1:Y63"/>
  <sheetViews>
    <sheetView view="pageBreakPreview" zoomScale="90" zoomScaleNormal="80" zoomScaleSheetLayoutView="90" workbookViewId="0">
      <selection activeCell="B3" sqref="B3"/>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4531</v>
      </c>
      <c r="C2" s="3010"/>
      <c r="D2" s="3010"/>
      <c r="E2" s="3010"/>
      <c r="F2" s="3010"/>
      <c r="G2" s="3010"/>
    </row>
    <row r="3" spans="1:25" s="1783" customFormat="1" ht="18" customHeight="1">
      <c r="A3" s="1237" t="s">
        <v>1217</v>
      </c>
      <c r="B3" s="412">
        <f>ROUND(B2*10000/'数据-汇总表'!E3,0)</f>
        <v>4531</v>
      </c>
      <c r="C3" s="3010"/>
      <c r="D3" s="3010"/>
      <c r="E3" s="3010"/>
      <c r="F3" s="3010"/>
      <c r="G3" s="3010"/>
    </row>
    <row r="4" spans="1:25" s="1783" customFormat="1" ht="18" customHeight="1">
      <c r="A4" s="413" t="s">
        <v>428</v>
      </c>
      <c r="B4" s="414">
        <f>ROUND(B2*10000/'数据-汇总表'!D3,0)</f>
        <v>11328</v>
      </c>
      <c r="C4" s="2964"/>
      <c r="D4" s="3010"/>
      <c r="E4" s="3010"/>
      <c r="F4" s="3010"/>
      <c r="G4" s="3010"/>
    </row>
    <row r="5" spans="1:25" s="1783" customFormat="1" ht="18" customHeight="1" thickBot="1">
      <c r="A5" s="416"/>
      <c r="B5" s="417">
        <f>ROUND(B2/('数据-汇总表'!D3/666.67),0)</f>
        <v>755</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3600</v>
      </c>
      <c r="D7" s="716"/>
      <c r="E7" s="717"/>
      <c r="F7" s="717"/>
      <c r="G7" s="2128" t="s">
        <v>3273</v>
      </c>
    </row>
    <row r="8" spans="1:25" s="1905" customFormat="1" ht="13.5" customHeight="1">
      <c r="A8" s="2119" t="s">
        <v>1786</v>
      </c>
      <c r="B8" s="2122" t="s">
        <v>1788</v>
      </c>
      <c r="C8" s="3013">
        <f>ROUND(D8*E8/10000,0)</f>
        <v>3600</v>
      </c>
      <c r="D8" s="3013">
        <f>'数据-基础表'!A3</f>
        <v>4000</v>
      </c>
      <c r="E8" s="3014">
        <v>9000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200</v>
      </c>
      <c r="D10" s="726"/>
      <c r="E10" s="716"/>
      <c r="F10" s="727"/>
      <c r="G10" s="725" t="s">
        <v>562</v>
      </c>
    </row>
    <row r="11" spans="1:25" s="1905" customFormat="1" ht="13.5" customHeight="1">
      <c r="A11" s="2119" t="s">
        <v>1786</v>
      </c>
      <c r="B11" s="719" t="s">
        <v>558</v>
      </c>
      <c r="C11" s="720">
        <f>'数据-取费表'!B29</f>
        <v>200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200</v>
      </c>
      <c r="D13" s="3013">
        <f>'数据-汇总表'!E6</f>
        <v>10000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ROUND(IF('数据-取费表'!B19&lt;=1,((C7+C16)*'数据-取费表'!B19+C10*'数据-取费表'!B19/2)*F17,((C7+C16)*(POWER((1+F17),'数据-取费表'!B19)-1)+C10*(POWER((1+F17),'数据-取费表'!B19/2)-1))),0)</f>
        <v>161</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570</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C7+C10+C16+C17+C18</f>
        <v>4531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C19+C20</f>
        <v>4531</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ROUND(C21*F22,0)</f>
        <v>4531</v>
      </c>
      <c r="D22" s="726"/>
      <c r="E22" s="716"/>
      <c r="F22" s="3994">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C22</f>
        <v>4531</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224" type="noConversion"/>
  <dataValidations count="1">
    <dataValidation type="list" allowBlank="1" showInputMessage="1" showErrorMessage="1" sqref="G7" xr:uid="{C41B8C58-4CF1-4BD1-A8D3-74D9351F4811}">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21" sqref="F21"/>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5035</v>
      </c>
      <c r="C2" s="3010"/>
      <c r="D2" s="3010"/>
      <c r="E2" s="3010"/>
      <c r="F2" s="3010"/>
      <c r="G2" s="3010"/>
    </row>
    <row r="3" spans="1:25" s="1783" customFormat="1" ht="18" customHeight="1">
      <c r="A3" s="1237" t="s">
        <v>1218</v>
      </c>
      <c r="B3" s="412">
        <f>ROUND(B2*10000/'数据-汇总表'!E3,0)</f>
        <v>5035</v>
      </c>
      <c r="C3" s="3010"/>
      <c r="D3" s="3010"/>
      <c r="E3" s="3010"/>
      <c r="F3" s="3010"/>
      <c r="G3" s="3010"/>
    </row>
    <row r="4" spans="1:25" s="1783" customFormat="1" ht="18" customHeight="1">
      <c r="A4" s="413" t="s">
        <v>428</v>
      </c>
      <c r="B4" s="414">
        <f>ROUND(B2*10000/'数据-汇总表'!D3,0)</f>
        <v>12588</v>
      </c>
      <c r="C4" s="2964"/>
      <c r="D4" s="3010"/>
      <c r="E4" s="3010"/>
      <c r="F4" s="3010"/>
      <c r="G4" s="3010"/>
    </row>
    <row r="5" spans="1:25" s="1783" customFormat="1" ht="18" customHeight="1" thickBot="1">
      <c r="A5" s="416"/>
      <c r="B5" s="417">
        <f>ROUND(B2/('数据-汇总表'!D3/666.67),0)</f>
        <v>839</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3600</v>
      </c>
      <c r="D7" s="716"/>
      <c r="E7" s="717"/>
      <c r="F7" s="717"/>
      <c r="G7" s="2128" t="s">
        <v>3273</v>
      </c>
    </row>
    <row r="8" spans="1:25" s="1905" customFormat="1" ht="13.5" customHeight="1">
      <c r="A8" s="2119" t="s">
        <v>1786</v>
      </c>
      <c r="B8" s="2122" t="s">
        <v>1788</v>
      </c>
      <c r="C8" s="3013">
        <f>ROUND(D8*E8/10000,0)</f>
        <v>3600</v>
      </c>
      <c r="D8" s="3013">
        <f>'成本逼近法（划拨）'!D8</f>
        <v>4000</v>
      </c>
      <c r="E8" s="3014">
        <f>'成本逼近法（划拨）'!E8</f>
        <v>9000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200</v>
      </c>
      <c r="D10" s="726"/>
      <c r="E10" s="716"/>
      <c r="F10" s="727"/>
      <c r="G10" s="725" t="s">
        <v>562</v>
      </c>
    </row>
    <row r="11" spans="1:25" s="1905" customFormat="1" ht="13.5" customHeight="1">
      <c r="A11" s="2119" t="s">
        <v>1786</v>
      </c>
      <c r="B11" s="719" t="s">
        <v>558</v>
      </c>
      <c r="C11" s="720">
        <f>'数据-取费表'!B29</f>
        <v>200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200</v>
      </c>
      <c r="D13" s="3013">
        <f>'数据-汇总表'!E6</f>
        <v>10000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ROUND(IF('数据-取费表'!B19&lt;=1,((C7+C16)*'数据-取费表'!B19+C10*'数据-取费表'!B19/2)*F17,((C7+C16)*(POWER((1+F17),'数据-取费表'!B19)-1)+C10*(POWER((1+F17),'数据-取费表'!B19/2)-1))),0)</f>
        <v>161</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570</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C7+C10+C16+C17+C18</f>
        <v>4531</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1133</v>
      </c>
      <c r="D20" s="726"/>
      <c r="E20" s="716"/>
      <c r="F20" s="1209">
        <v>0.25</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C19+C20</f>
        <v>5664</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ROUND(C21*F22,0)</f>
        <v>5035</v>
      </c>
      <c r="D22" s="726"/>
      <c r="E22" s="716"/>
      <c r="F22" s="732">
        <f>'数据-取费表'!AP16</f>
        <v>0.88900000000000001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C22</f>
        <v>5035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3" t="s">
        <v>471</v>
      </c>
      <c r="D4" s="3844"/>
      <c r="E4" s="3878" t="s">
        <v>472</v>
      </c>
      <c r="F4" s="3879"/>
      <c r="G4" s="3843" t="s">
        <v>473</v>
      </c>
      <c r="H4" s="3844"/>
      <c r="I4" s="3843" t="s">
        <v>474</v>
      </c>
      <c r="J4" s="3844"/>
      <c r="K4" s="818"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40" t="s">
        <v>473</v>
      </c>
      <c r="AC4" s="3840" t="s">
        <v>474</v>
      </c>
    </row>
    <row r="5" spans="1:29" ht="15">
      <c r="A5" s="485"/>
      <c r="B5" s="486"/>
      <c r="C5" s="3859" t="s">
        <v>2192</v>
      </c>
      <c r="D5" s="3860"/>
      <c r="E5" s="3880" t="s">
        <v>2193</v>
      </c>
      <c r="F5" s="3881"/>
      <c r="G5" s="3859" t="s">
        <v>2194</v>
      </c>
      <c r="H5" s="3860"/>
      <c r="I5" s="3859" t="s">
        <v>2195</v>
      </c>
      <c r="J5" s="3860"/>
      <c r="K5" s="819"/>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2196</v>
      </c>
      <c r="D6" s="3858"/>
      <c r="E6" s="3876" t="s">
        <v>2196</v>
      </c>
      <c r="F6" s="3877"/>
      <c r="G6" s="3857" t="s">
        <v>2196</v>
      </c>
      <c r="H6" s="3858"/>
      <c r="I6" s="3857" t="s">
        <v>2196</v>
      </c>
      <c r="J6" s="3858"/>
      <c r="K6" s="819"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44992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7" t="s">
        <v>479</v>
      </c>
      <c r="Q7" s="3869"/>
      <c r="R7" s="1381" t="s">
        <v>10</v>
      </c>
      <c r="S7" s="1382">
        <f t="shared" ref="S7:S15" si="0">F7</f>
        <v>0</v>
      </c>
      <c r="T7" s="1381" t="s">
        <v>10</v>
      </c>
      <c r="U7" s="1382">
        <f t="shared" ref="U7:U15" si="1">H7</f>
        <v>0</v>
      </c>
      <c r="V7" s="1381" t="s">
        <v>10</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7" t="s">
        <v>482</v>
      </c>
      <c r="Q8" s="3868"/>
      <c r="R8" s="1381" t="s">
        <v>10</v>
      </c>
      <c r="S8" s="1382">
        <f t="shared" si="0"/>
        <v>0</v>
      </c>
      <c r="T8" s="1381" t="s">
        <v>10</v>
      </c>
      <c r="U8" s="1382">
        <f t="shared" si="1"/>
        <v>0</v>
      </c>
      <c r="V8" s="1381" t="s">
        <v>10</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37"/>
      <c r="Q11" s="1050" t="str">
        <f t="shared" si="6"/>
        <v>容积率</v>
      </c>
      <c r="R11" s="1381" t="s">
        <v>8</v>
      </c>
      <c r="S11" s="1382" t="e">
        <f t="shared" si="0"/>
        <v>#N/A</v>
      </c>
      <c r="T11" s="1381" t="s">
        <v>8</v>
      </c>
      <c r="U11" s="1382" t="e">
        <f t="shared" si="1"/>
        <v>#N/A</v>
      </c>
      <c r="V11" s="1381" t="s">
        <v>8</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37"/>
      <c r="Q12" s="1050">
        <f t="shared" si="6"/>
        <v>111</v>
      </c>
      <c r="R12" s="1381" t="s">
        <v>8</v>
      </c>
      <c r="S12" s="1382">
        <f t="shared" si="0"/>
        <v>100</v>
      </c>
      <c r="T12" s="1381" t="s">
        <v>8</v>
      </c>
      <c r="U12" s="1382">
        <f t="shared" si="1"/>
        <v>100</v>
      </c>
      <c r="V12" s="1381" t="s">
        <v>8</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37"/>
      <c r="Q13" s="1050">
        <f t="shared" si="6"/>
        <v>111</v>
      </c>
      <c r="R13" s="1381" t="s">
        <v>8</v>
      </c>
      <c r="S13" s="1382">
        <f t="shared" si="0"/>
        <v>100</v>
      </c>
      <c r="T13" s="1381" t="s">
        <v>8</v>
      </c>
      <c r="U13" s="1382">
        <f t="shared" si="1"/>
        <v>100</v>
      </c>
      <c r="V13" s="1381" t="s">
        <v>8</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37"/>
      <c r="Q14" s="1050">
        <f t="shared" si="6"/>
        <v>111</v>
      </c>
      <c r="R14" s="1381" t="s">
        <v>8</v>
      </c>
      <c r="S14" s="1382">
        <f t="shared" si="0"/>
        <v>100</v>
      </c>
      <c r="T14" s="1381" t="s">
        <v>8</v>
      </c>
      <c r="U14" s="1382">
        <f t="shared" si="1"/>
        <v>100</v>
      </c>
      <c r="V14" s="1381" t="s">
        <v>8</v>
      </c>
      <c r="W14" s="1382">
        <f t="shared" si="2"/>
        <v>100</v>
      </c>
      <c r="X14" s="1383"/>
      <c r="Y14" s="3781"/>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4"/>
      <c r="Q46" s="1385">
        <f t="shared" si="8"/>
        <v>111</v>
      </c>
      <c r="R46" s="1386" t="s">
        <v>7</v>
      </c>
      <c r="S46" s="1387">
        <f t="shared" si="9"/>
        <v>100</v>
      </c>
      <c r="T46" s="1386" t="s">
        <v>7</v>
      </c>
      <c r="U46" s="1387">
        <f t="shared" si="10"/>
        <v>100</v>
      </c>
      <c r="V46" s="1386" t="s">
        <v>7</v>
      </c>
      <c r="W46" s="1387">
        <f t="shared" si="11"/>
        <v>100</v>
      </c>
      <c r="X46" s="1380"/>
      <c r="Y46" s="3964"/>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37" t="str">
        <f>A47</f>
        <v>成交单价（元/平方米）</v>
      </c>
      <c r="Q47" s="3837"/>
      <c r="R47" s="3963">
        <f>E47</f>
        <v>0</v>
      </c>
      <c r="S47" s="3963"/>
      <c r="T47" s="3963">
        <f>G47</f>
        <v>0</v>
      </c>
      <c r="U47" s="3963"/>
      <c r="V47" s="3963">
        <f>I47</f>
        <v>0</v>
      </c>
      <c r="W47" s="3963"/>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37" t="str">
        <f>A48</f>
        <v>比较价格（元/平方米）</v>
      </c>
      <c r="Q48" s="383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62" t="e">
        <f>IF(F1="售价",ROUND(IF(D48="简单平均",AVERAGE(R48:V48),R48*F48+T48*H48+V48*J48),0),ROUND(IF(D48="简单平均",AVERAGE(R48:V48),R48*F48+T48*H48+V48*J48),1))</f>
        <v>#DIV/0!</v>
      </c>
      <c r="S49" s="3962"/>
      <c r="T49" s="3962"/>
      <c r="U49" s="3962"/>
      <c r="V49" s="3962"/>
      <c r="W49" s="3962"/>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3" t="s">
        <v>471</v>
      </c>
      <c r="D4" s="3844"/>
      <c r="E4" s="3878" t="s">
        <v>472</v>
      </c>
      <c r="F4" s="3879"/>
      <c r="G4" s="3843" t="s">
        <v>473</v>
      </c>
      <c r="H4" s="3844"/>
      <c r="I4" s="3843" t="s">
        <v>474</v>
      </c>
      <c r="J4" s="3844"/>
      <c r="K4" s="484"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38" t="s">
        <v>473</v>
      </c>
      <c r="AC4" s="3840" t="s">
        <v>474</v>
      </c>
    </row>
    <row r="5" spans="1:29" ht="15">
      <c r="A5" s="485"/>
      <c r="B5" s="486"/>
      <c r="C5" s="3859" t="s">
        <v>2192</v>
      </c>
      <c r="D5" s="3860"/>
      <c r="E5" s="3880" t="s">
        <v>2193</v>
      </c>
      <c r="F5" s="3881"/>
      <c r="G5" s="3859" t="s">
        <v>2194</v>
      </c>
      <c r="H5" s="3860"/>
      <c r="I5" s="3859" t="s">
        <v>2195</v>
      </c>
      <c r="J5" s="3860"/>
      <c r="K5" s="484"/>
      <c r="L5" s="1856"/>
      <c r="M5" s="1857"/>
      <c r="N5" s="1857"/>
      <c r="O5" s="1857"/>
      <c r="P5" s="3847"/>
      <c r="Q5" s="3848"/>
      <c r="R5" s="3853"/>
      <c r="S5" s="3854"/>
      <c r="T5" s="3853"/>
      <c r="U5" s="3854"/>
      <c r="V5" s="3838"/>
      <c r="W5" s="3838"/>
      <c r="X5" s="1380"/>
      <c r="Y5" s="3853"/>
      <c r="Z5" s="3854"/>
      <c r="AA5" s="3841"/>
      <c r="AB5" s="3838"/>
      <c r="AC5" s="3841"/>
    </row>
    <row r="6" spans="1:29" ht="15.75" thickBot="1">
      <c r="A6" s="487"/>
      <c r="B6" s="488"/>
      <c r="C6" s="3857" t="s">
        <v>2196</v>
      </c>
      <c r="D6" s="3858"/>
      <c r="E6" s="3876" t="s">
        <v>2196</v>
      </c>
      <c r="F6" s="3877"/>
      <c r="G6" s="3857" t="s">
        <v>2196</v>
      </c>
      <c r="H6" s="3858"/>
      <c r="I6" s="3857" t="s">
        <v>2196</v>
      </c>
      <c r="J6" s="3858"/>
      <c r="K6" s="484" t="s">
        <v>477</v>
      </c>
      <c r="L6" s="1856"/>
      <c r="M6" s="1857"/>
      <c r="N6" s="1857"/>
      <c r="O6" s="1857"/>
      <c r="P6" s="3849"/>
      <c r="Q6" s="3850"/>
      <c r="R6" s="3853"/>
      <c r="S6" s="3854"/>
      <c r="T6" s="3855"/>
      <c r="U6" s="3856"/>
      <c r="V6" s="3838"/>
      <c r="W6" s="3838"/>
      <c r="X6" s="1380"/>
      <c r="Y6" s="3855"/>
      <c r="Z6" s="3856"/>
      <c r="AA6" s="3842"/>
      <c r="AB6" s="3838"/>
      <c r="AC6" s="3842"/>
    </row>
    <row r="7" spans="1:29" s="1118" customFormat="1" ht="15.75" thickBot="1">
      <c r="A7" s="2392"/>
      <c r="B7" s="2399" t="s">
        <v>478</v>
      </c>
      <c r="C7" s="489">
        <f>'数据-取费表'!B2</f>
        <v>44992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7"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4"/>
      <c r="Q46" s="1385">
        <f t="shared" si="8"/>
        <v>111</v>
      </c>
      <c r="R46" s="1386" t="s">
        <v>5</v>
      </c>
      <c r="S46" s="1387">
        <f t="shared" si="9"/>
        <v>100</v>
      </c>
      <c r="T46" s="1386" t="s">
        <v>5</v>
      </c>
      <c r="U46" s="1387">
        <f t="shared" si="10"/>
        <v>100</v>
      </c>
      <c r="V46" s="1386" t="s">
        <v>5</v>
      </c>
      <c r="W46" s="1387">
        <f t="shared" si="11"/>
        <v>100</v>
      </c>
      <c r="X46" s="1380"/>
      <c r="Y46" s="3964"/>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37" t="str">
        <f>A47</f>
        <v>成交单价（元/平方米）</v>
      </c>
      <c r="Q47" s="3837"/>
      <c r="R47" s="3963">
        <f>E47</f>
        <v>0</v>
      </c>
      <c r="S47" s="3963"/>
      <c r="T47" s="3963">
        <f>G47</f>
        <v>0</v>
      </c>
      <c r="U47" s="3963"/>
      <c r="V47" s="3963">
        <f>I47</f>
        <v>0</v>
      </c>
      <c r="W47" s="3963"/>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37" t="str">
        <f>A48</f>
        <v>比较价格（元/平方米）</v>
      </c>
      <c r="Q48" s="3837"/>
      <c r="R48" s="3963" t="e">
        <f>IF(F1="售价",ROUND(PRODUCT(R47,AA7:AA46),0),ROUND(PRODUCT(R47,AA7:AA46),1))</f>
        <v>#DIV/0!</v>
      </c>
      <c r="S48" s="3963"/>
      <c r="T48" s="3963" t="e">
        <f>IF(F1="售价",ROUND(PRODUCT(T47,AB7:AB46),0),ROUND(PRODUCT(T47,AB7:AB46),1))</f>
        <v>#DIV/0!</v>
      </c>
      <c r="U48" s="3963"/>
      <c r="V48" s="3963" t="e">
        <f>IF(F1="售价",ROUND(PRODUCT(V47,AC7:AC46),0),ROUND(PRODUCT(V47,AC7:AC46),1))</f>
        <v>#DIV/0!</v>
      </c>
      <c r="W48" s="3963"/>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62" t="e">
        <f>IF(F1="售价",ROUND(IF(D48="简单平均",AVERAGE(R48:V48),R48*F48+T48*H48+V48*J48),0),ROUND(IF(D48="简单平均",AVERAGE(R48:V48),R48*F48+T48*H48+V48*J48),1))</f>
        <v>#DIV/0!</v>
      </c>
      <c r="S49" s="3962"/>
      <c r="T49" s="3962"/>
      <c r="U49" s="3962"/>
      <c r="V49" s="3962"/>
      <c r="W49" s="3962"/>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3" t="s">
        <v>471</v>
      </c>
      <c r="D4" s="3844"/>
      <c r="E4" s="3878" t="s">
        <v>472</v>
      </c>
      <c r="F4" s="3879"/>
      <c r="G4" s="3843" t="s">
        <v>473</v>
      </c>
      <c r="H4" s="3844"/>
      <c r="I4" s="3843" t="s">
        <v>474</v>
      </c>
      <c r="J4" s="3844"/>
      <c r="K4" s="484" t="s">
        <v>475</v>
      </c>
      <c r="L4" s="1856"/>
      <c r="M4" s="1857"/>
      <c r="N4" s="1857"/>
      <c r="O4" s="1857"/>
      <c r="P4" s="3966" t="s">
        <v>476</v>
      </c>
      <c r="Q4" s="3846"/>
      <c r="R4" s="3851" t="s">
        <v>472</v>
      </c>
      <c r="S4" s="3852"/>
      <c r="T4" s="3851" t="s">
        <v>473</v>
      </c>
      <c r="U4" s="3852"/>
      <c r="V4" s="3838" t="s">
        <v>474</v>
      </c>
      <c r="W4" s="3838"/>
      <c r="X4" s="1380"/>
      <c r="Y4" s="3851" t="s">
        <v>476</v>
      </c>
      <c r="Z4" s="3852"/>
      <c r="AA4" s="3840" t="s">
        <v>472</v>
      </c>
      <c r="AB4" s="3840" t="s">
        <v>473</v>
      </c>
      <c r="AC4" s="3840" t="s">
        <v>474</v>
      </c>
    </row>
    <row r="5" spans="1:29" ht="15">
      <c r="A5" s="485"/>
      <c r="B5" s="486"/>
      <c r="C5" s="3859" t="s">
        <v>2192</v>
      </c>
      <c r="D5" s="3860"/>
      <c r="E5" s="3880" t="s">
        <v>2193</v>
      </c>
      <c r="F5" s="3881"/>
      <c r="G5" s="3859" t="s">
        <v>2194</v>
      </c>
      <c r="H5" s="3860"/>
      <c r="I5" s="3859" t="s">
        <v>2195</v>
      </c>
      <c r="J5" s="3860"/>
      <c r="K5" s="484"/>
      <c r="L5" s="1856"/>
      <c r="M5" s="1857"/>
      <c r="N5" s="1857"/>
      <c r="O5" s="1857"/>
      <c r="P5" s="3967"/>
      <c r="Q5" s="3848"/>
      <c r="R5" s="3853"/>
      <c r="S5" s="3854"/>
      <c r="T5" s="3853"/>
      <c r="U5" s="3854"/>
      <c r="V5" s="3838"/>
      <c r="W5" s="3838"/>
      <c r="X5" s="1380"/>
      <c r="Y5" s="3853"/>
      <c r="Z5" s="3854"/>
      <c r="AA5" s="3841"/>
      <c r="AB5" s="3841"/>
      <c r="AC5" s="3841"/>
    </row>
    <row r="6" spans="1:29" ht="15.75" thickBot="1">
      <c r="A6" s="487"/>
      <c r="B6" s="488"/>
      <c r="C6" s="3857" t="s">
        <v>2196</v>
      </c>
      <c r="D6" s="3858"/>
      <c r="E6" s="3876" t="s">
        <v>2196</v>
      </c>
      <c r="F6" s="3877"/>
      <c r="G6" s="3857" t="s">
        <v>2196</v>
      </c>
      <c r="H6" s="3858"/>
      <c r="I6" s="3857" t="s">
        <v>2196</v>
      </c>
      <c r="J6" s="3858"/>
      <c r="K6" s="484" t="s">
        <v>477</v>
      </c>
      <c r="L6" s="1856"/>
      <c r="M6" s="1857"/>
      <c r="N6" s="1857"/>
      <c r="O6" s="1857"/>
      <c r="P6" s="3968"/>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44992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8"/>
      <c r="R8" s="1381" t="s">
        <v>5</v>
      </c>
      <c r="S8" s="1382">
        <f t="shared" si="0"/>
        <v>0</v>
      </c>
      <c r="T8" s="1381" t="s">
        <v>5</v>
      </c>
      <c r="U8" s="1382">
        <f t="shared" si="1"/>
        <v>0</v>
      </c>
      <c r="V8" s="1381" t="s">
        <v>5</v>
      </c>
      <c r="W8" s="1382">
        <f t="shared" si="2"/>
        <v>0</v>
      </c>
      <c r="X8" s="1383"/>
      <c r="Y8" s="3867" t="s">
        <v>482</v>
      </c>
      <c r="Z8" s="386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4"/>
      <c r="Q47" s="1385">
        <f t="shared" si="8"/>
        <v>111</v>
      </c>
      <c r="R47" s="1386" t="s">
        <v>5</v>
      </c>
      <c r="S47" s="1387">
        <f t="shared" si="9"/>
        <v>100</v>
      </c>
      <c r="T47" s="1386" t="s">
        <v>5</v>
      </c>
      <c r="U47" s="1387">
        <f t="shared" si="10"/>
        <v>100</v>
      </c>
      <c r="V47" s="1386" t="s">
        <v>5</v>
      </c>
      <c r="W47" s="1387">
        <f t="shared" si="11"/>
        <v>100</v>
      </c>
      <c r="X47" s="1380"/>
      <c r="Y47" s="3964"/>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5" t="str">
        <f>A48</f>
        <v>成交单价（元/平方米）</v>
      </c>
      <c r="Q48" s="3837"/>
      <c r="R48" s="3963">
        <f>E48</f>
        <v>0</v>
      </c>
      <c r="S48" s="3963"/>
      <c r="T48" s="3963">
        <f>G48</f>
        <v>0</v>
      </c>
      <c r="U48" s="3963"/>
      <c r="V48" s="3963">
        <f>I48</f>
        <v>0</v>
      </c>
      <c r="W48" s="3963"/>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37"/>
      <c r="R49" s="3963" t="e">
        <f>IF(F1="售价",ROUND(PRODUCT(R48,AA7:AA47),0),ROUND(PRODUCT(R48,AA7:AA47),1))</f>
        <v>#DIV/0!</v>
      </c>
      <c r="S49" s="3963"/>
      <c r="T49" s="3963" t="e">
        <f>IF(F1="售价",ROUND(PRODUCT(T48,AB7:AB47),0),ROUND(PRODUCT(T48,AB7:AB47),1))</f>
        <v>#DIV/0!</v>
      </c>
      <c r="U49" s="3963"/>
      <c r="V49" s="3963" t="e">
        <f>IF(F1="售价",ROUND(PRODUCT(V48,AC7:AC47),0),ROUND(PRODUCT(V48,AC7:AC47),1))</f>
        <v>#DIV/0!</v>
      </c>
      <c r="W49" s="3963"/>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5" t="str">
        <f>A50</f>
        <v>估价对象XX用房的比较价格（楼面单价，元/平方米）</v>
      </c>
      <c r="Q50" s="3875"/>
      <c r="R50" s="3962" t="e">
        <f>IF(F1="售价",ROUND(IF(D49="简单平均",AVERAGE(R49:V49),R49*F49+T49*H49+V49*J49),0),ROUND(IF(D49="简单平均",AVERAGE(R49:V49),R49*F49+T49*H49+V49*J49),1))</f>
        <v>#DIV/0!</v>
      </c>
      <c r="S50" s="3962"/>
      <c r="T50" s="3962"/>
      <c r="U50" s="3962"/>
      <c r="V50" s="3962"/>
      <c r="W50" s="3962"/>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4000平方米。根据《建设工程规划许可证》[]、《出让合同》[]，估价对象规划建筑面积为10000平方米。</v>
      </c>
    </row>
    <row r="7" spans="1:4" ht="93.75">
      <c r="A7" s="2353" t="s">
        <v>2030</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2023年3月7日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根据《国有土地使用证》[]，估价对象（分摊）出让国有建设用地使用权面积为4000平方米。根据《建设工程规划许可证》[]、《出让合同》[]，估价对象规划建筑面积为10000平方米。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7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3" t="s">
        <v>471</v>
      </c>
      <c r="D4" s="3844"/>
      <c r="E4" s="3878" t="s">
        <v>472</v>
      </c>
      <c r="F4" s="3879"/>
      <c r="G4" s="3843" t="s">
        <v>473</v>
      </c>
      <c r="H4" s="3844"/>
      <c r="I4" s="3843" t="s">
        <v>474</v>
      </c>
      <c r="J4" s="3844"/>
      <c r="K4" s="484" t="s">
        <v>475</v>
      </c>
      <c r="L4" s="1856"/>
      <c r="M4" s="1857"/>
      <c r="N4" s="1857"/>
      <c r="O4" s="1857"/>
      <c r="P4" s="3845" t="s">
        <v>476</v>
      </c>
      <c r="Q4" s="3846"/>
      <c r="R4" s="3851" t="s">
        <v>472</v>
      </c>
      <c r="S4" s="3852"/>
      <c r="T4" s="3851" t="s">
        <v>473</v>
      </c>
      <c r="U4" s="3852"/>
      <c r="V4" s="3838" t="s">
        <v>474</v>
      </c>
      <c r="W4" s="3838"/>
      <c r="X4" s="1380"/>
      <c r="Y4" s="3851" t="s">
        <v>476</v>
      </c>
      <c r="Z4" s="3852"/>
      <c r="AA4" s="3840" t="s">
        <v>472</v>
      </c>
      <c r="AB4" s="3841" t="s">
        <v>473</v>
      </c>
      <c r="AC4" s="3840" t="s">
        <v>474</v>
      </c>
    </row>
    <row r="5" spans="1:29" ht="15">
      <c r="A5" s="485"/>
      <c r="B5" s="486"/>
      <c r="C5" s="3859" t="s">
        <v>2192</v>
      </c>
      <c r="D5" s="3860"/>
      <c r="E5" s="3880" t="s">
        <v>2193</v>
      </c>
      <c r="F5" s="3881"/>
      <c r="G5" s="3859" t="s">
        <v>2194</v>
      </c>
      <c r="H5" s="3860"/>
      <c r="I5" s="3859" t="s">
        <v>2195</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2196</v>
      </c>
      <c r="D6" s="3858"/>
      <c r="E6" s="3876" t="s">
        <v>2196</v>
      </c>
      <c r="F6" s="3877"/>
      <c r="G6" s="3857" t="s">
        <v>2196</v>
      </c>
      <c r="H6" s="3858"/>
      <c r="I6" s="3857" t="s">
        <v>2196</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44992</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7" t="s">
        <v>479</v>
      </c>
      <c r="Q7" s="3869"/>
      <c r="R7" s="1381" t="s">
        <v>5</v>
      </c>
      <c r="S7" s="1382">
        <f t="shared" ref="S7:S15" si="0">F7</f>
        <v>0</v>
      </c>
      <c r="T7" s="1381" t="s">
        <v>5</v>
      </c>
      <c r="U7" s="1382">
        <f t="shared" ref="U7:U15" si="1">H7</f>
        <v>0</v>
      </c>
      <c r="V7" s="1381" t="s">
        <v>5</v>
      </c>
      <c r="W7" s="1382">
        <f t="shared" ref="W7:W15"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37" t="s">
        <v>484</v>
      </c>
      <c r="Q9" s="1050" t="str">
        <f t="shared" ref="Q9:Q15" si="6">B9</f>
        <v>用途</v>
      </c>
      <c r="R9" s="1381" t="s">
        <v>5</v>
      </c>
      <c r="S9" s="1382">
        <f t="shared" si="0"/>
        <v>100</v>
      </c>
      <c r="T9" s="1381" t="s">
        <v>5</v>
      </c>
      <c r="U9" s="1382">
        <f t="shared" si="1"/>
        <v>100</v>
      </c>
      <c r="V9" s="1381" t="s">
        <v>5</v>
      </c>
      <c r="W9" s="1382">
        <f t="shared" si="2"/>
        <v>100</v>
      </c>
      <c r="X9" s="1383"/>
      <c r="Y9" s="3781" t="s">
        <v>485</v>
      </c>
      <c r="Z9" s="1049" t="str">
        <f t="shared" ref="Z9:Z15" si="7">Q9</f>
        <v>用途</v>
      </c>
      <c r="AA9" s="1384">
        <f t="shared" si="3"/>
        <v>1</v>
      </c>
      <c r="AB9" s="1384">
        <f t="shared" si="4"/>
        <v>1</v>
      </c>
      <c r="AC9" s="1384">
        <f t="shared" si="5"/>
        <v>1</v>
      </c>
    </row>
    <row r="10" spans="1:29" s="1199" customFormat="1" ht="27">
      <c r="A10" s="2395"/>
      <c r="B10" s="2400"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37"/>
      <c r="Q11" s="1050" t="str">
        <f t="shared" si="6"/>
        <v>容积率</v>
      </c>
      <c r="R11" s="1381" t="s">
        <v>5</v>
      </c>
      <c r="S11" s="1382" t="e">
        <f t="shared" si="0"/>
        <v>#N/A</v>
      </c>
      <c r="T11" s="1381" t="s">
        <v>5</v>
      </c>
      <c r="U11" s="1382" t="e">
        <f t="shared" si="1"/>
        <v>#N/A</v>
      </c>
      <c r="V11" s="1381" t="s">
        <v>5</v>
      </c>
      <c r="W11" s="1382" t="e">
        <f t="shared" si="2"/>
        <v>#N/A</v>
      </c>
      <c r="X11" s="1383"/>
      <c r="Y11" s="3781"/>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37"/>
      <c r="Q14" s="1050">
        <f t="shared" si="6"/>
        <v>111</v>
      </c>
      <c r="R14" s="1381" t="s">
        <v>5</v>
      </c>
      <c r="S14" s="1382">
        <f t="shared" si="0"/>
        <v>100</v>
      </c>
      <c r="T14" s="1381" t="s">
        <v>5</v>
      </c>
      <c r="U14" s="1382">
        <f t="shared" si="1"/>
        <v>100</v>
      </c>
      <c r="V14" s="1381" t="s">
        <v>5</v>
      </c>
      <c r="W14" s="1382">
        <f t="shared" si="2"/>
        <v>100</v>
      </c>
      <c r="X14" s="1383"/>
      <c r="Y14" s="3781"/>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4"/>
      <c r="Q40" s="1385">
        <f t="shared" si="8"/>
        <v>111</v>
      </c>
      <c r="R40" s="1386" t="s">
        <v>5</v>
      </c>
      <c r="S40" s="1387">
        <f t="shared" si="9"/>
        <v>100</v>
      </c>
      <c r="T40" s="1386" t="s">
        <v>5</v>
      </c>
      <c r="U40" s="1387">
        <f t="shared" si="10"/>
        <v>100</v>
      </c>
      <c r="V40" s="1386" t="s">
        <v>5</v>
      </c>
      <c r="W40" s="1387">
        <f t="shared" si="11"/>
        <v>100</v>
      </c>
      <c r="X40" s="1380"/>
      <c r="Y40" s="3964"/>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37" t="str">
        <f>A41</f>
        <v>成交单价（元/平方米）</v>
      </c>
      <c r="Q41" s="3837"/>
      <c r="R41" s="3963">
        <f>E41</f>
        <v>0</v>
      </c>
      <c r="S41" s="3963"/>
      <c r="T41" s="3963">
        <f>G41</f>
        <v>0</v>
      </c>
      <c r="U41" s="3963"/>
      <c r="V41" s="3963">
        <f>I41</f>
        <v>0</v>
      </c>
      <c r="W41" s="3963"/>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37" t="str">
        <f>A42</f>
        <v>比较价格（元/平方米）</v>
      </c>
      <c r="Q42" s="3837"/>
      <c r="R42" s="3963" t="e">
        <f>IF(F1="售价",ROUND(PRODUCT(R41,AA7:AA40),0),ROUND(PRODUCT(R41,AA7:AA40),1))</f>
        <v>#DIV/0!</v>
      </c>
      <c r="S42" s="3963"/>
      <c r="T42" s="3963" t="e">
        <f>IF(F1="售价",ROUND(PRODUCT(T41,AB7:AB40),0),ROUND(PRODUCT(T41,AB7:AB40),1))</f>
        <v>#DIV/0!</v>
      </c>
      <c r="U42" s="3963"/>
      <c r="V42" s="3963" t="e">
        <f>IF(F1="售价",ROUND(PRODUCT(V41,AC7:AC40),0),ROUND(PRODUCT(V41,AC7:AC40),1))</f>
        <v>#DIV/0!</v>
      </c>
      <c r="W42" s="3963"/>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62" t="e">
        <f>IF(F1="售价",ROUND(IF(D42="简单平均",AVERAGE(R42:V42),R42*F42+T42*H42+V42*J42),0),ROUND(IF(D42="简单平均",AVERAGE(R42:V42),R42*F42+T42*H42+V42*J42),1))</f>
        <v>#DIV/0!</v>
      </c>
      <c r="S43" s="3962"/>
      <c r="T43" s="3962"/>
      <c r="U43" s="3962"/>
      <c r="V43" s="3962"/>
      <c r="W43" s="3962"/>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3" t="s">
        <v>738</v>
      </c>
      <c r="D4" s="3844"/>
      <c r="E4" s="3843" t="s">
        <v>739</v>
      </c>
      <c r="F4" s="3844"/>
      <c r="G4" s="3843" t="s">
        <v>740</v>
      </c>
      <c r="H4" s="3844"/>
      <c r="I4" s="3843" t="s">
        <v>741</v>
      </c>
      <c r="J4" s="3844"/>
      <c r="K4" s="484" t="s">
        <v>742</v>
      </c>
      <c r="L4" s="1856"/>
      <c r="M4" s="1857"/>
      <c r="N4" s="1857"/>
      <c r="O4" s="1857"/>
      <c r="P4" s="3845" t="s">
        <v>743</v>
      </c>
      <c r="Q4" s="3846"/>
      <c r="R4" s="3851" t="s">
        <v>739</v>
      </c>
      <c r="S4" s="3852"/>
      <c r="T4" s="3851" t="s">
        <v>740</v>
      </c>
      <c r="U4" s="3852"/>
      <c r="V4" s="3838" t="s">
        <v>741</v>
      </c>
      <c r="W4" s="3838"/>
      <c r="X4" s="1380"/>
      <c r="Y4" s="3851" t="s">
        <v>743</v>
      </c>
      <c r="Z4" s="3852"/>
      <c r="AA4" s="3840" t="s">
        <v>739</v>
      </c>
      <c r="AB4" s="3841" t="s">
        <v>740</v>
      </c>
      <c r="AC4" s="3840" t="s">
        <v>741</v>
      </c>
    </row>
    <row r="5" spans="1:29" ht="15">
      <c r="A5" s="485"/>
      <c r="B5" s="486"/>
      <c r="C5" s="3859" t="s">
        <v>2192</v>
      </c>
      <c r="D5" s="3860"/>
      <c r="E5" s="3859" t="s">
        <v>2193</v>
      </c>
      <c r="F5" s="3860"/>
      <c r="G5" s="3859" t="s">
        <v>2194</v>
      </c>
      <c r="H5" s="3860"/>
      <c r="I5" s="3859" t="s">
        <v>2195</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2196</v>
      </c>
      <c r="D6" s="3858"/>
      <c r="E6" s="3861" t="s">
        <v>2196</v>
      </c>
      <c r="F6" s="3862"/>
      <c r="G6" s="3857" t="s">
        <v>2196</v>
      </c>
      <c r="H6" s="3858"/>
      <c r="I6" s="3857" t="s">
        <v>2196</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44992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7" t="s">
        <v>479</v>
      </c>
      <c r="Q7" s="3869"/>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37" t="s">
        <v>484</v>
      </c>
      <c r="Q9" s="1050" t="str">
        <f t="shared" ref="Q9:Q14" si="6">B9</f>
        <v>用途</v>
      </c>
      <c r="R9" s="1381" t="s">
        <v>5</v>
      </c>
      <c r="S9" s="1382">
        <f t="shared" si="0"/>
        <v>100</v>
      </c>
      <c r="T9" s="1381" t="s">
        <v>5</v>
      </c>
      <c r="U9" s="1382">
        <f t="shared" si="1"/>
        <v>100</v>
      </c>
      <c r="V9" s="1381" t="s">
        <v>5</v>
      </c>
      <c r="W9" s="1382">
        <f t="shared" si="2"/>
        <v>100</v>
      </c>
      <c r="X9" s="1383"/>
      <c r="Y9" s="3781" t="s">
        <v>485</v>
      </c>
      <c r="Z9" s="1049" t="str">
        <f t="shared" ref="Z9:Z14" si="7">Q9</f>
        <v>用途</v>
      </c>
      <c r="AA9" s="1384">
        <f t="shared" si="3"/>
        <v>1</v>
      </c>
      <c r="AB9" s="1384">
        <f t="shared" si="4"/>
        <v>1</v>
      </c>
      <c r="AC9" s="1384">
        <f t="shared" si="5"/>
        <v>1</v>
      </c>
    </row>
    <row r="10" spans="1:29" s="1199" customFormat="1" ht="27">
      <c r="A10" s="2395"/>
      <c r="B10" s="2400"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37"/>
      <c r="Q11" s="1050">
        <f t="shared" si="6"/>
        <v>111</v>
      </c>
      <c r="R11" s="1381" t="s">
        <v>5</v>
      </c>
      <c r="S11" s="1382">
        <f t="shared" si="0"/>
        <v>100</v>
      </c>
      <c r="T11" s="1381" t="s">
        <v>5</v>
      </c>
      <c r="U11" s="1382">
        <f t="shared" si="1"/>
        <v>100</v>
      </c>
      <c r="V11" s="1381" t="s">
        <v>5</v>
      </c>
      <c r="W11" s="1382">
        <f t="shared" si="2"/>
        <v>100</v>
      </c>
      <c r="X11" s="1383"/>
      <c r="Y11" s="3781"/>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37" t="str">
        <f>A37</f>
        <v>成交单价</v>
      </c>
      <c r="Q37" s="3837"/>
      <c r="R37" s="3963">
        <f>E37</f>
        <v>0</v>
      </c>
      <c r="S37" s="3963"/>
      <c r="T37" s="3963">
        <f>G37</f>
        <v>0</v>
      </c>
      <c r="U37" s="3963"/>
      <c r="V37" s="3963">
        <f>I37</f>
        <v>0</v>
      </c>
      <c r="W37" s="3963"/>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37" t="str">
        <f>A38</f>
        <v>比较价格（元/平方米）</v>
      </c>
      <c r="Q38" s="3837"/>
      <c r="R38" s="3963" t="e">
        <f>IF(F1="售价",ROUND(PRODUCT(R37,AA7:AA36),0),ROUND(PRODUCT(R37,AA7:AA36),1))</f>
        <v>#DIV/0!</v>
      </c>
      <c r="S38" s="3963"/>
      <c r="T38" s="3963" t="e">
        <f>IF(F1="售价",ROUND(PRODUCT(T37,AB7:AB36),0),ROUND(PRODUCT(T37,AB7:AB36),1))</f>
        <v>#DIV/0!</v>
      </c>
      <c r="U38" s="3963"/>
      <c r="V38" s="3963" t="e">
        <f>IF(F1="售价",ROUND(PRODUCT(V37,AC7:AC36),0),ROUND(PRODUCT(V37,AC7:AC36),1))</f>
        <v>#DIV/0!</v>
      </c>
      <c r="W38" s="3963"/>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62" t="e">
        <f>IF(F1="售价",ROUND(IF(D38="简单平均",AVERAGE(R38:W38),R38*F38+T38*H38+V38*J38),0),ROUND(IF(D38="简单平均",AVERAGE(R38:V38),R38*F38+T38*H38+V38*J38),1))</f>
        <v>#DIV/0!</v>
      </c>
      <c r="S39" s="3962"/>
      <c r="T39" s="3962"/>
      <c r="U39" s="3962"/>
      <c r="V39" s="3962"/>
      <c r="W39" s="3962"/>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3" t="s">
        <v>738</v>
      </c>
      <c r="D4" s="3844"/>
      <c r="E4" s="3878" t="s">
        <v>739</v>
      </c>
      <c r="F4" s="3879"/>
      <c r="G4" s="3843" t="s">
        <v>740</v>
      </c>
      <c r="H4" s="3844"/>
      <c r="I4" s="3843" t="s">
        <v>741</v>
      </c>
      <c r="J4" s="3844"/>
      <c r="K4" s="484" t="s">
        <v>742</v>
      </c>
      <c r="L4" s="1856"/>
      <c r="M4" s="1857"/>
      <c r="N4" s="1857"/>
      <c r="O4" s="1857"/>
      <c r="P4" s="3845" t="s">
        <v>743</v>
      </c>
      <c r="Q4" s="3846"/>
      <c r="R4" s="3851" t="s">
        <v>739</v>
      </c>
      <c r="S4" s="3852"/>
      <c r="T4" s="3851" t="s">
        <v>740</v>
      </c>
      <c r="U4" s="3852"/>
      <c r="V4" s="3838" t="s">
        <v>741</v>
      </c>
      <c r="W4" s="3838"/>
      <c r="X4" s="1380"/>
      <c r="Y4" s="3851" t="s">
        <v>743</v>
      </c>
      <c r="Z4" s="3852"/>
      <c r="AA4" s="3840" t="s">
        <v>739</v>
      </c>
      <c r="AB4" s="3841" t="s">
        <v>740</v>
      </c>
      <c r="AC4" s="3840" t="s">
        <v>741</v>
      </c>
    </row>
    <row r="5" spans="1:29" ht="15">
      <c r="A5" s="485"/>
      <c r="B5" s="486"/>
      <c r="C5" s="3859" t="s">
        <v>2192</v>
      </c>
      <c r="D5" s="3860"/>
      <c r="E5" s="3880" t="s">
        <v>2193</v>
      </c>
      <c r="F5" s="3881"/>
      <c r="G5" s="3859" t="s">
        <v>2194</v>
      </c>
      <c r="H5" s="3860"/>
      <c r="I5" s="3859" t="s">
        <v>2195</v>
      </c>
      <c r="J5" s="3860"/>
      <c r="K5" s="484"/>
      <c r="L5" s="1856"/>
      <c r="M5" s="1857"/>
      <c r="N5" s="1857"/>
      <c r="O5" s="1857"/>
      <c r="P5" s="3847"/>
      <c r="Q5" s="3848"/>
      <c r="R5" s="3853"/>
      <c r="S5" s="3854"/>
      <c r="T5" s="3853"/>
      <c r="U5" s="3854"/>
      <c r="V5" s="3838"/>
      <c r="W5" s="3838"/>
      <c r="X5" s="1380"/>
      <c r="Y5" s="3853"/>
      <c r="Z5" s="3854"/>
      <c r="AA5" s="3841"/>
      <c r="AB5" s="3841"/>
      <c r="AC5" s="3841"/>
    </row>
    <row r="6" spans="1:29" ht="15.75" thickBot="1">
      <c r="A6" s="487"/>
      <c r="B6" s="488"/>
      <c r="C6" s="3857" t="s">
        <v>2196</v>
      </c>
      <c r="D6" s="3858"/>
      <c r="E6" s="3876" t="s">
        <v>2196</v>
      </c>
      <c r="F6" s="3877"/>
      <c r="G6" s="3857" t="s">
        <v>2196</v>
      </c>
      <c r="H6" s="3858"/>
      <c r="I6" s="3857" t="s">
        <v>2196</v>
      </c>
      <c r="J6" s="3858"/>
      <c r="K6" s="484" t="s">
        <v>477</v>
      </c>
      <c r="L6" s="1856"/>
      <c r="M6" s="1857"/>
      <c r="N6" s="1857"/>
      <c r="O6" s="1857"/>
      <c r="P6" s="3849"/>
      <c r="Q6" s="3850"/>
      <c r="R6" s="3853"/>
      <c r="S6" s="3854"/>
      <c r="T6" s="3855"/>
      <c r="U6" s="3856"/>
      <c r="V6" s="3838"/>
      <c r="W6" s="3838"/>
      <c r="X6" s="1380"/>
      <c r="Y6" s="3855"/>
      <c r="Z6" s="3856"/>
      <c r="AA6" s="3842"/>
      <c r="AB6" s="3842"/>
      <c r="AC6" s="3842"/>
    </row>
    <row r="7" spans="1:29" s="1118" customFormat="1" ht="15.75" thickBot="1">
      <c r="A7" s="2392"/>
      <c r="B7" s="2399" t="s">
        <v>478</v>
      </c>
      <c r="C7" s="489">
        <f>'数据-取费表'!B2</f>
        <v>44992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7" t="s">
        <v>479</v>
      </c>
      <c r="Q7" s="3869"/>
      <c r="R7" s="1381" t="s">
        <v>5</v>
      </c>
      <c r="S7" s="1382">
        <f t="shared" ref="S7:S14" si="0">F7</f>
        <v>0</v>
      </c>
      <c r="T7" s="1381" t="s">
        <v>5</v>
      </c>
      <c r="U7" s="1382">
        <f t="shared" ref="U7:U14" si="1">H7</f>
        <v>0</v>
      </c>
      <c r="V7" s="1381" t="s">
        <v>5</v>
      </c>
      <c r="W7" s="1382">
        <f t="shared" ref="W7:W14" si="2">J7</f>
        <v>0</v>
      </c>
      <c r="X7" s="1383"/>
      <c r="Y7" s="3867" t="s">
        <v>479</v>
      </c>
      <c r="Z7" s="386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7" t="s">
        <v>482</v>
      </c>
      <c r="Q8" s="3868"/>
      <c r="R8" s="1381" t="s">
        <v>5</v>
      </c>
      <c r="S8" s="1382">
        <f t="shared" si="0"/>
        <v>0</v>
      </c>
      <c r="T8" s="1381" t="s">
        <v>5</v>
      </c>
      <c r="U8" s="1382">
        <f t="shared" si="1"/>
        <v>0</v>
      </c>
      <c r="V8" s="1381" t="s">
        <v>5</v>
      </c>
      <c r="W8" s="1382">
        <f t="shared" si="2"/>
        <v>0</v>
      </c>
      <c r="X8" s="1383"/>
      <c r="Y8" s="3867" t="s">
        <v>482</v>
      </c>
      <c r="Z8" s="386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37" t="s">
        <v>484</v>
      </c>
      <c r="Q9" s="1050" t="str">
        <f t="shared" ref="Q9:Q14" si="6">B9</f>
        <v>用途</v>
      </c>
      <c r="R9" s="1381" t="s">
        <v>5</v>
      </c>
      <c r="S9" s="1382">
        <f t="shared" si="0"/>
        <v>100</v>
      </c>
      <c r="T9" s="1381" t="s">
        <v>5</v>
      </c>
      <c r="U9" s="1382">
        <f t="shared" si="1"/>
        <v>100</v>
      </c>
      <c r="V9" s="1381" t="s">
        <v>5</v>
      </c>
      <c r="W9" s="1382">
        <f t="shared" si="2"/>
        <v>100</v>
      </c>
      <c r="X9" s="1383"/>
      <c r="Y9" s="3781" t="s">
        <v>485</v>
      </c>
      <c r="Z9" s="1049" t="str">
        <f t="shared" ref="Z9:Z14" si="7">Q9</f>
        <v>用途</v>
      </c>
      <c r="AA9" s="1384">
        <f t="shared" si="3"/>
        <v>1</v>
      </c>
      <c r="AB9" s="1384">
        <f t="shared" si="4"/>
        <v>1</v>
      </c>
      <c r="AC9" s="1384">
        <f t="shared" si="5"/>
        <v>1</v>
      </c>
    </row>
    <row r="10" spans="1:29" s="1199" customFormat="1" ht="27">
      <c r="A10" s="2395"/>
      <c r="B10" s="2400"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837"/>
      <c r="Q10" s="1050" t="str">
        <f t="shared" si="6"/>
        <v>土地使用年限（年）</v>
      </c>
      <c r="R10" s="1381" t="s">
        <v>5</v>
      </c>
      <c r="S10" s="1382">
        <f t="shared" si="0"/>
        <v>100</v>
      </c>
      <c r="T10" s="1381" t="s">
        <v>5</v>
      </c>
      <c r="U10" s="1382">
        <f t="shared" si="1"/>
        <v>100</v>
      </c>
      <c r="V10" s="1381" t="s">
        <v>5</v>
      </c>
      <c r="W10" s="1382">
        <f t="shared" si="2"/>
        <v>100</v>
      </c>
      <c r="X10" s="1383"/>
      <c r="Y10" s="3781"/>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37"/>
      <c r="Q11" s="1050">
        <f t="shared" si="6"/>
        <v>111</v>
      </c>
      <c r="R11" s="1381" t="s">
        <v>5</v>
      </c>
      <c r="S11" s="1382">
        <f t="shared" si="0"/>
        <v>100</v>
      </c>
      <c r="T11" s="1381" t="s">
        <v>5</v>
      </c>
      <c r="U11" s="1382">
        <f t="shared" si="1"/>
        <v>100</v>
      </c>
      <c r="V11" s="1381" t="s">
        <v>5</v>
      </c>
      <c r="W11" s="1382">
        <f t="shared" si="2"/>
        <v>100</v>
      </c>
      <c r="X11" s="1383"/>
      <c r="Y11" s="3781"/>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37"/>
      <c r="Q12" s="1050">
        <f t="shared" si="6"/>
        <v>111</v>
      </c>
      <c r="R12" s="1381" t="s">
        <v>5</v>
      </c>
      <c r="S12" s="1382">
        <f t="shared" si="0"/>
        <v>100</v>
      </c>
      <c r="T12" s="1381" t="s">
        <v>5</v>
      </c>
      <c r="U12" s="1382">
        <f t="shared" si="1"/>
        <v>100</v>
      </c>
      <c r="V12" s="1381" t="s">
        <v>5</v>
      </c>
      <c r="W12" s="1382">
        <f t="shared" si="2"/>
        <v>100</v>
      </c>
      <c r="X12" s="1383"/>
      <c r="Y12" s="3781"/>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37"/>
      <c r="Q13" s="1050">
        <f t="shared" si="6"/>
        <v>111</v>
      </c>
      <c r="R13" s="1381" t="s">
        <v>5</v>
      </c>
      <c r="S13" s="1382">
        <f t="shared" si="0"/>
        <v>100</v>
      </c>
      <c r="T13" s="1381" t="s">
        <v>5</v>
      </c>
      <c r="U13" s="1382">
        <f t="shared" si="1"/>
        <v>100</v>
      </c>
      <c r="V13" s="1381" t="s">
        <v>5</v>
      </c>
      <c r="W13" s="1382">
        <f t="shared" si="2"/>
        <v>100</v>
      </c>
      <c r="X13" s="1383"/>
      <c r="Y13" s="3781"/>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37" t="str">
        <f>A35</f>
        <v>成交单价（元/平方米）</v>
      </c>
      <c r="Q35" s="3837"/>
      <c r="R35" s="3963">
        <f>E35</f>
        <v>0</v>
      </c>
      <c r="S35" s="3963"/>
      <c r="T35" s="3963">
        <f>G35</f>
        <v>0</v>
      </c>
      <c r="U35" s="3963"/>
      <c r="V35" s="3963">
        <f>I35</f>
        <v>0</v>
      </c>
      <c r="W35" s="3963"/>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37" t="str">
        <f>A36</f>
        <v>比较价格（元/平方米）</v>
      </c>
      <c r="Q36" s="3837"/>
      <c r="R36" s="3963" t="e">
        <f>IF(F1="售价",ROUND(PRODUCT(R35,AA7:AA34),0),ROUND(PRODUCT(R35,AA7:AA34),1))</f>
        <v>#DIV/0!</v>
      </c>
      <c r="S36" s="3963"/>
      <c r="T36" s="3963" t="e">
        <f>IF(F1="售价",ROUND(PRODUCT(T35,AB7:AB34),0),ROUND(PRODUCT(T35,AB7:AB34),1))</f>
        <v>#DIV/0!</v>
      </c>
      <c r="U36" s="3963"/>
      <c r="V36" s="3963" t="e">
        <f>IF(F1="售价",ROUND(PRODUCT(V35,AC7:AC34),0),ROUND(PRODUCT(V35,AC7:AC34),1))</f>
        <v>#DIV/0!</v>
      </c>
      <c r="W36" s="3963"/>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62" t="e">
        <f>IF(F1="售价",ROUND(IF(D36="简单平均",AVERAGE(R36:W36),R36*F36+T36*H36+V36*J36),0),ROUND(IF(D36="简单平均",AVERAGE(R36:V36),R36*F36+T36*H36+V36*J36),1))</f>
        <v>#DIV/0!</v>
      </c>
      <c r="S37" s="3962"/>
      <c r="T37" s="3962"/>
      <c r="U37" s="3962"/>
      <c r="V37" s="3962"/>
      <c r="W37" s="3962"/>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2" t="s">
        <v>1661</v>
      </c>
      <c r="D1" s="3973"/>
      <c r="E1" s="3973"/>
      <c r="F1" s="3973"/>
      <c r="G1" s="3973"/>
      <c r="H1" s="3973"/>
      <c r="I1" s="3973"/>
      <c r="J1" s="3973"/>
      <c r="K1" s="3973"/>
      <c r="L1" s="3973"/>
      <c r="M1" s="3973"/>
      <c r="N1" s="3973"/>
      <c r="O1" s="3973"/>
      <c r="P1" s="3973"/>
      <c r="Q1" s="3973"/>
      <c r="R1" s="3973"/>
      <c r="S1" s="397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69" t="s">
        <v>14</v>
      </c>
      <c r="D22" s="3970"/>
      <c r="E22" s="3970"/>
      <c r="F22" s="3970"/>
      <c r="G22" s="3970"/>
      <c r="H22" s="3970"/>
      <c r="I22" s="3970"/>
      <c r="J22" s="3970"/>
      <c r="K22" s="3970"/>
      <c r="L22" s="3970"/>
      <c r="M22" s="3970"/>
      <c r="N22" s="3970"/>
      <c r="O22" s="3970"/>
      <c r="P22" s="3970"/>
      <c r="Q22" s="3971"/>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44992</v>
      </c>
      <c r="H1" s="2417">
        <f>IF(C1&gt;C13,0,MATCH(C1,C$13:C$109,-1))+IF(SUMIF(C13:C109,C1,D13:D109)=0,13,12)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3.6499999999999998E-2</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2" t="s">
        <v>1556</v>
      </c>
      <c r="B1" s="3662"/>
      <c r="C1" s="3662"/>
      <c r="D1" s="3662"/>
      <c r="E1" s="3662"/>
      <c r="F1" s="3662"/>
      <c r="G1" s="3662"/>
      <c r="H1" s="3662"/>
      <c r="I1" s="3662"/>
      <c r="J1" s="3662"/>
      <c r="K1" s="3662"/>
      <c r="L1" s="3662"/>
      <c r="M1" s="3662"/>
      <c r="N1" s="3662"/>
      <c r="O1" s="3662"/>
      <c r="P1" s="3662"/>
      <c r="Q1" s="3662"/>
      <c r="R1" s="3662"/>
    </row>
    <row r="2" spans="1:18">
      <c r="A2" s="1595" t="s">
        <v>1558</v>
      </c>
      <c r="B2" s="1595"/>
      <c r="C2" s="1595"/>
      <c r="D2" s="1595"/>
      <c r="E2" s="1595"/>
      <c r="F2" s="1595"/>
      <c r="G2" s="1595"/>
      <c r="H2" s="1595"/>
      <c r="I2" s="1596"/>
      <c r="J2" s="1596"/>
      <c r="K2" s="1597" t="str">
        <f>"估价期日："&amp;TEXT(项目基本情况!D3,"yyyy年m月d日;;")</f>
        <v>估价期日：2023年3月7日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3" t="s">
        <v>1547</v>
      </c>
      <c r="B3" s="3663" t="s">
        <v>2013</v>
      </c>
      <c r="C3" s="3664" t="s">
        <v>1548</v>
      </c>
      <c r="D3" s="3663" t="s">
        <v>2017</v>
      </c>
      <c r="E3" s="3666" t="s">
        <v>1549</v>
      </c>
      <c r="F3" s="3666"/>
      <c r="G3" s="3666"/>
      <c r="H3" s="3666" t="s">
        <v>1550</v>
      </c>
      <c r="I3" s="3666"/>
      <c r="J3" s="3666"/>
      <c r="K3" s="3664" t="s">
        <v>1551</v>
      </c>
      <c r="L3" s="3664" t="s">
        <v>1552</v>
      </c>
      <c r="M3" s="3663" t="s">
        <v>2014</v>
      </c>
      <c r="N3" s="3665" t="str">
        <f>"（分摊）"&amp;项目基本情况!A17&amp;"国有建设用地使用权面积/㎡"</f>
        <v>（分摊）出让国有建设用地使用权面积/㎡</v>
      </c>
      <c r="O3" s="3663" t="s">
        <v>1581</v>
      </c>
      <c r="P3" s="3664" t="s">
        <v>1561</v>
      </c>
      <c r="Q3" s="3664" t="s">
        <v>1582</v>
      </c>
      <c r="R3" s="3664" t="s">
        <v>1553</v>
      </c>
    </row>
    <row r="4" spans="1:18" ht="36.75" customHeight="1">
      <c r="A4" s="3663"/>
      <c r="B4" s="3663"/>
      <c r="C4" s="3664"/>
      <c r="D4" s="3663"/>
      <c r="E4" s="2254" t="s">
        <v>1560</v>
      </c>
      <c r="F4" s="2254" t="s">
        <v>2026</v>
      </c>
      <c r="G4" s="2254" t="s">
        <v>1554</v>
      </c>
      <c r="H4" s="2254" t="s">
        <v>1555</v>
      </c>
      <c r="I4" s="2254" t="s">
        <v>2027</v>
      </c>
      <c r="J4" s="2254" t="s">
        <v>1554</v>
      </c>
      <c r="K4" s="3664"/>
      <c r="L4" s="3664"/>
      <c r="M4" s="3663"/>
      <c r="N4" s="3665"/>
      <c r="O4" s="3663"/>
      <c r="P4" s="3664"/>
      <c r="Q4" s="3664"/>
      <c r="R4" s="366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4000</v>
      </c>
      <c r="O5" s="1598">
        <f>项目基本情况!C21</f>
        <v>10000</v>
      </c>
      <c r="P5" s="1598" t="e">
        <f ca="1">结果表!E42</f>
        <v>#REF!</v>
      </c>
      <c r="Q5" s="1598" t="e">
        <f ca="1">结果表!D42</f>
        <v>#REF!</v>
      </c>
      <c r="R5" s="1599" t="e">
        <f ca="1">结果表!C42</f>
        <v>#REF!</v>
      </c>
    </row>
    <row r="6" spans="1:18">
      <c r="A6" s="3667" t="str">
        <f>IF(项目基本情况!B9="市场价格","——","抵押价格")</f>
        <v>——</v>
      </c>
      <c r="B6" s="3668"/>
      <c r="C6" s="3668"/>
      <c r="D6" s="3668"/>
      <c r="E6" s="3668"/>
      <c r="F6" s="3668"/>
      <c r="G6" s="3668"/>
      <c r="H6" s="3668"/>
      <c r="I6" s="3668"/>
      <c r="J6" s="3668"/>
      <c r="K6" s="3668"/>
      <c r="L6" s="3668"/>
      <c r="M6" s="3668"/>
      <c r="N6" s="3668"/>
      <c r="O6" s="3668"/>
      <c r="P6" s="3668"/>
      <c r="Q6" s="3669"/>
      <c r="R6" s="1600" t="str">
        <f>结果表!O39</f>
        <v>——</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1600" t="str">
        <f>结果表!O40</f>
        <v>——</v>
      </c>
    </row>
    <row r="8" spans="1:18">
      <c r="A8" s="3667" t="str">
        <f>IF(项目基本情况!B9="市场价格","——",项目基本情况!E9)</f>
        <v>——</v>
      </c>
      <c r="B8" s="3668"/>
      <c r="C8" s="3668"/>
      <c r="D8" s="3668"/>
      <c r="E8" s="3668"/>
      <c r="F8" s="3668"/>
      <c r="G8" s="3668"/>
      <c r="H8" s="3668"/>
      <c r="I8" s="3668"/>
      <c r="J8" s="3668"/>
      <c r="K8" s="3668"/>
      <c r="L8" s="3668"/>
      <c r="M8" s="3668"/>
      <c r="N8" s="3668"/>
      <c r="O8" s="3668"/>
      <c r="P8" s="3668"/>
      <c r="Q8" s="366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1" t="s">
        <v>1583</v>
      </c>
      <c r="B1" s="3671"/>
      <c r="C1" s="3671"/>
      <c r="D1" s="3671"/>
    </row>
    <row r="2" spans="1:4" ht="47.25" customHeight="1">
      <c r="A2" s="3672" t="str">
        <f>"1.权利限制："&amp;项目基本情况!L24&amp;"未设定租赁等其他他项权利。"</f>
        <v>1.权利限制：根据估价对象《不动产权证书》原件、《国有土地使用权》复印件，截至估价期日，估价对象抵押权未见登记。未设定租赁等其他他项权利。</v>
      </c>
      <c r="B2" s="3672"/>
      <c r="C2" s="3672"/>
      <c r="D2" s="3672"/>
    </row>
    <row r="3" spans="1:4" ht="48" customHeight="1">
      <c r="A3" s="36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1"/>
      <c r="C3" s="3671"/>
      <c r="D3" s="3671"/>
    </row>
    <row r="4" spans="1:4" ht="36.75" customHeight="1">
      <c r="A4" s="3671" t="str">
        <f>"3.估价规划限制条件：详见"&amp;项目基本情况!E21&amp;"。"</f>
        <v>3.估价规划限制条件：详见《建设工程规划许可证》[]、《出让合同》[]。</v>
      </c>
      <c r="B4" s="3671"/>
      <c r="C4" s="3671"/>
      <c r="D4" s="3671"/>
    </row>
    <row r="5" spans="1:4">
      <c r="A5" s="3670" t="s">
        <v>1584</v>
      </c>
      <c r="B5" s="3670"/>
      <c r="C5" s="3670"/>
      <c r="D5" s="3670"/>
    </row>
    <row r="6" spans="1:4">
      <c r="A6" s="3671" t="s">
        <v>1562</v>
      </c>
      <c r="B6" s="3671"/>
      <c r="C6" s="3671"/>
      <c r="D6" s="3671"/>
    </row>
    <row r="7" spans="1:4" ht="33" customHeight="1">
      <c r="A7" s="3671" t="s">
        <v>1857</v>
      </c>
      <c r="B7" s="3671"/>
      <c r="C7" s="3671"/>
      <c r="D7" s="3671"/>
    </row>
    <row r="8" spans="1:4" ht="32.25" customHeight="1">
      <c r="A8" s="36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1"/>
      <c r="C8" s="3671"/>
      <c r="D8" s="3671"/>
    </row>
    <row r="9" spans="1:4" ht="33.75" customHeight="1">
      <c r="A9" s="3671" t="str">
        <f>IF(项目基本情况!B8="抵押","3.抵押双方在办理抵押登记手续时，应使用本公司出具的正式《土地估价报告》，特提请报告使用者注意。","——")</f>
        <v>——</v>
      </c>
      <c r="B9" s="3671"/>
      <c r="C9" s="3671"/>
      <c r="D9" s="3671"/>
    </row>
    <row r="10" spans="1:4">
      <c r="A10" s="3671" t="str">
        <f>IF(项目基本情况!B8="抵押","4.估价师所知悉的法定优先受偿款情况为：","——")</f>
        <v>——</v>
      </c>
      <c r="B10" s="3671"/>
      <c r="C10" s="3671"/>
      <c r="D10" s="3671"/>
    </row>
    <row r="11" spans="1:4" ht="37.5" customHeight="1">
      <c r="A11" s="3673" t="str">
        <f>IF(项目基本情况!B8="抵押","（1）"&amp;CONCATENATE(项目基本情况!L24,项目基本情况!L25,项目基本情况!L26),"——")</f>
        <v>——</v>
      </c>
      <c r="B11" s="3673"/>
      <c r="C11" s="3673"/>
      <c r="D11" s="3673"/>
    </row>
    <row r="12" spans="1:4" ht="168" customHeight="1">
      <c r="A12" s="3670" t="s">
        <v>1586</v>
      </c>
      <c r="B12" s="3670"/>
      <c r="C12" s="3670"/>
      <c r="D12" s="3670"/>
    </row>
    <row r="13" spans="1:4">
      <c r="A13" s="3674" t="s">
        <v>2028</v>
      </c>
      <c r="B13" s="3674"/>
      <c r="C13" s="3674"/>
      <c r="D13" s="3674"/>
    </row>
    <row r="14" spans="1:4">
      <c r="A14" s="3673" t="str">
        <f>IF(项目基本情况!B8="抵押","综上，"&amp;结果表!K47,"——")</f>
        <v>——</v>
      </c>
      <c r="B14" s="3673"/>
      <c r="C14" s="3673"/>
      <c r="D14" s="3673"/>
    </row>
    <row r="15" spans="1:4" ht="58.5" customHeight="1">
      <c r="A15" s="36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1"/>
      <c r="C15" s="3671"/>
      <c r="D15" s="3671"/>
    </row>
    <row r="16" spans="1:4" ht="70.5" customHeight="1">
      <c r="A16" s="36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1"/>
      <c r="C16" s="3671"/>
      <c r="D16" s="3671"/>
    </row>
    <row r="17" spans="1:4">
      <c r="A17" s="3671" t="s">
        <v>1984</v>
      </c>
      <c r="B17" s="3671"/>
      <c r="C17" s="3671"/>
      <c r="D17" s="3671"/>
    </row>
    <row r="18" spans="1:4">
      <c r="A18" s="3671" t="s">
        <v>1976</v>
      </c>
      <c r="B18" s="3671"/>
      <c r="C18" s="3671"/>
      <c r="D18" s="3671"/>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1" t="s">
        <v>1981</v>
      </c>
      <c r="B23" s="3671"/>
      <c r="C23" s="3671"/>
      <c r="D23" s="367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2" t="s">
        <v>27</v>
      </c>
      <c r="B15" s="3683" t="s">
        <v>784</v>
      </c>
      <c r="C15" s="3679"/>
    </row>
    <row r="16" spans="1:7" ht="14.25">
      <c r="A16" s="3682"/>
      <c r="B16" s="3680" t="s">
        <v>28</v>
      </c>
      <c r="C16" s="1070" t="s">
        <v>27</v>
      </c>
    </row>
    <row r="17" spans="1:3" ht="14.25">
      <c r="A17" s="3682"/>
      <c r="B17" s="3680"/>
      <c r="C17" s="1070" t="s">
        <v>29</v>
      </c>
    </row>
    <row r="18" spans="1:3" ht="14.25">
      <c r="A18" s="3682"/>
      <c r="B18" s="3680"/>
      <c r="C18" s="1070" t="s">
        <v>30</v>
      </c>
    </row>
    <row r="19" spans="1:3" ht="14.25">
      <c r="A19" s="3682"/>
      <c r="B19" s="3678" t="s">
        <v>31</v>
      </c>
      <c r="C19" s="3679"/>
    </row>
    <row r="20" spans="1:3" ht="14.25">
      <c r="A20" s="1071" t="s">
        <v>32</v>
      </c>
      <c r="B20" s="1072"/>
      <c r="C20" s="1073"/>
    </row>
    <row r="21" spans="1:3" ht="14.25">
      <c r="A21" s="3681" t="s">
        <v>33</v>
      </c>
      <c r="B21" s="3678" t="s">
        <v>34</v>
      </c>
      <c r="C21" s="3679"/>
    </row>
    <row r="22" spans="1:3" ht="14.25">
      <c r="A22" s="3681"/>
      <c r="B22" s="3678" t="s">
        <v>35</v>
      </c>
      <c r="C22" s="3679"/>
    </row>
    <row r="23" spans="1:3" ht="14.25">
      <c r="A23" s="3681"/>
      <c r="B23" s="3678" t="s">
        <v>36</v>
      </c>
      <c r="C23" s="3679"/>
    </row>
    <row r="24" spans="1:3" ht="14.25">
      <c r="A24" s="3681"/>
      <c r="B24" s="3684" t="s">
        <v>37</v>
      </c>
      <c r="C24" s="1074" t="s">
        <v>775</v>
      </c>
    </row>
    <row r="25" spans="1:3" ht="14.25">
      <c r="A25" s="3681"/>
      <c r="B25" s="3685"/>
      <c r="C25" s="1074" t="s">
        <v>776</v>
      </c>
    </row>
    <row r="26" spans="1:3" ht="14.25">
      <c r="A26" s="3681"/>
      <c r="B26" s="3685"/>
      <c r="C26" s="1074" t="s">
        <v>777</v>
      </c>
    </row>
    <row r="27" spans="1:3" ht="14.25">
      <c r="A27" s="3681"/>
      <c r="B27" s="3685"/>
      <c r="C27" s="1074" t="s">
        <v>778</v>
      </c>
    </row>
    <row r="28" spans="1:3" ht="14.25">
      <c r="A28" s="3681"/>
      <c r="B28" s="3685"/>
      <c r="C28" s="1074" t="s">
        <v>779</v>
      </c>
    </row>
    <row r="29" spans="1:3" ht="14.25">
      <c r="A29" s="3681"/>
      <c r="B29" s="3685"/>
      <c r="C29" s="1074" t="s">
        <v>780</v>
      </c>
    </row>
    <row r="30" spans="1:3" ht="14.25">
      <c r="A30" s="3681"/>
      <c r="B30" s="3685"/>
      <c r="C30" s="1074" t="s">
        <v>781</v>
      </c>
    </row>
    <row r="31" spans="1:3" ht="14.25">
      <c r="A31" s="3681"/>
      <c r="B31" s="3685"/>
      <c r="C31" s="1074" t="s">
        <v>782</v>
      </c>
    </row>
    <row r="32" spans="1:3" ht="14.25">
      <c r="A32" s="3681"/>
      <c r="B32" s="3685"/>
      <c r="C32" s="1074" t="s">
        <v>1181</v>
      </c>
    </row>
    <row r="33" spans="1:3" ht="14.25">
      <c r="A33" s="3681"/>
      <c r="B33" s="3675" t="s">
        <v>1187</v>
      </c>
      <c r="C33" s="1074" t="s">
        <v>1182</v>
      </c>
    </row>
    <row r="34" spans="1:3" ht="14.25">
      <c r="A34" s="3681"/>
      <c r="B34" s="3676"/>
      <c r="C34" s="1079" t="s">
        <v>1183</v>
      </c>
    </row>
    <row r="35" spans="1:3" ht="14.25">
      <c r="A35" s="3681"/>
      <c r="B35" s="3676"/>
      <c r="C35" s="1080" t="s">
        <v>1184</v>
      </c>
    </row>
    <row r="36" spans="1:3" ht="14.25">
      <c r="A36" s="3681"/>
      <c r="B36" s="3676"/>
      <c r="C36" s="1080" t="s">
        <v>1185</v>
      </c>
    </row>
    <row r="37" spans="1:3" ht="14.25">
      <c r="A37" s="3681"/>
      <c r="B37" s="3677"/>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44992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89" t="s">
        <v>1448</v>
      </c>
      <c r="B18" s="3690"/>
      <c r="C18" s="3690"/>
      <c r="D18" s="3690"/>
      <c r="E18" s="3690"/>
      <c r="F18" s="3690"/>
      <c r="G18" s="2777"/>
    </row>
    <row r="19" spans="1:7" ht="20.25" customHeight="1">
      <c r="A19" s="3686" t="s">
        <v>1449</v>
      </c>
      <c r="B19" s="3686"/>
      <c r="C19" s="3687"/>
      <c r="D19" s="3688" t="s">
        <v>1450</v>
      </c>
      <c r="E19" s="3686"/>
      <c r="F19" s="3686"/>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5" t="s">
        <v>2748</v>
      </c>
      <c r="I8" s="7" t="s">
        <v>2755</v>
      </c>
    </row>
    <row r="9" spans="1:23">
      <c r="A9" s="6" t="s">
        <v>77</v>
      </c>
      <c r="B9" s="6" t="s">
        <v>122</v>
      </c>
      <c r="C9" s="1368" t="s">
        <v>1245</v>
      </c>
      <c r="F9" s="7" t="s">
        <v>78</v>
      </c>
      <c r="H9" s="7"/>
      <c r="I9" s="7" t="s">
        <v>2756</v>
      </c>
    </row>
    <row r="10" spans="1:23">
      <c r="A10" s="6" t="s">
        <v>79</v>
      </c>
      <c r="B10" s="6" t="s">
        <v>123</v>
      </c>
      <c r="C10" s="1368" t="s">
        <v>1246</v>
      </c>
      <c r="F10" s="3335"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1"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7日，在规划利用条件下、设定土地开发程度为红线外“七通”、宗地内场地，设定用途为，剩余土地使用年限为的出让国有建设用地使用权价格。</v>
      </c>
      <c r="D53" s="1558"/>
      <c r="E53" s="1558"/>
    </row>
    <row r="54" spans="1:5">
      <c r="A54" s="3691"/>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1"/>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1"/>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1"/>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成本逼近法（划拨）</vt:lpstr>
      <vt:lpstr>成本逼近法（出让）</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'成本逼近法（出让）'!Print_Area</vt:lpstr>
      <vt:lpstr>'成本逼近法（划拨）'!Print_Area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2023-03-07T12:20:04Z</dcterms:modified>
</cp:coreProperties>
</file>