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8F46F658-68ED-436E-8EB7-5E95338EA1D1}" xr6:coauthVersionLast="47" xr6:coauthVersionMax="47" xr10:uidLastSave="{00000000-0000-0000-0000-000000000000}"/>
  <bookViews>
    <workbookView xWindow="-108" yWindow="-108" windowWidth="23256" windowHeight="12576" tabRatio="854"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1" r:id="rId42"/>
    <sheet name="比较法-商业2" sheetId="82" r:id="rId43"/>
    <sheet name="收益法2" sheetId="83" r:id="rId44"/>
    <sheet name="结果表104" sheetId="84"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2" i="1" l="1"/>
  <c r="X21" i="1"/>
  <c r="E104" i="33"/>
  <c r="F104" i="33" s="1"/>
  <c r="G104" i="33" s="1"/>
  <c r="H104" i="33" s="1"/>
  <c r="D104" i="33"/>
  <c r="D104" i="85"/>
  <c r="E104" i="85" s="1"/>
  <c r="F104" i="85" s="1"/>
  <c r="G104" i="85" s="1"/>
  <c r="H104" i="85" s="1"/>
  <c r="F104" i="82"/>
  <c r="G104" i="82" s="1"/>
  <c r="H104" i="82" s="1"/>
  <c r="E104" i="82"/>
  <c r="C75" i="84"/>
  <c r="C66" i="84"/>
  <c r="R51" i="84"/>
  <c r="C75" i="81"/>
  <c r="C66" i="81"/>
  <c r="R51" i="81"/>
  <c r="C75" i="9"/>
  <c r="C66" i="9"/>
  <c r="R51" i="9"/>
  <c r="L8" i="1"/>
  <c r="L7" i="1"/>
  <c r="Y27" i="1"/>
  <c r="X28" i="1" s="1"/>
  <c r="AM8" i="1" l="1"/>
  <c r="AM7" i="1"/>
  <c r="AK7" i="1"/>
  <c r="AK8" i="1" s="1"/>
  <c r="C33" i="82"/>
  <c r="D89" i="33" l="1"/>
  <c r="E89" i="33" s="1"/>
  <c r="F89" i="33" s="1"/>
  <c r="G89" i="33" s="1"/>
  <c r="D104" i="82"/>
  <c r="I36" i="33"/>
  <c r="I36" i="82" s="1"/>
  <c r="I36" i="85" s="1"/>
  <c r="G36" i="33"/>
  <c r="G36" i="82" s="1"/>
  <c r="G36" i="85" s="1"/>
  <c r="E36" i="33"/>
  <c r="E36" i="82" s="1"/>
  <c r="E36" i="85" s="1"/>
  <c r="Q72" i="86" l="1"/>
  <c r="Q59" i="86"/>
  <c r="K59" i="86"/>
  <c r="P74" i="86" s="1"/>
  <c r="Q58" i="86"/>
  <c r="Q51" i="86"/>
  <c r="J50" i="86"/>
  <c r="J49" i="86"/>
  <c r="M47" i="86"/>
  <c r="D46" i="86"/>
  <c r="F33" i="86"/>
  <c r="F61" i="86" s="1"/>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N55" i="84" s="1"/>
  <c r="F56" i="84"/>
  <c r="O54" i="84" s="1"/>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N55" i="81" s="1"/>
  <c r="F56" i="81"/>
  <c r="O54" i="81" s="1"/>
  <c r="K55" i="81"/>
  <c r="J55" i="81"/>
  <c r="I55" i="81"/>
  <c r="F55" i="81" s="1"/>
  <c r="O53" i="81" s="1"/>
  <c r="N54" i="81"/>
  <c r="N53" i="81"/>
  <c r="K49" i="81"/>
  <c r="E48" i="81"/>
  <c r="N52" i="81" s="1"/>
  <c r="F33" i="81"/>
  <c r="D27" i="81"/>
  <c r="C25" i="81"/>
  <c r="C24" i="81"/>
  <c r="D17" i="81"/>
  <c r="C17" i="81"/>
  <c r="L4" i="81"/>
  <c r="K4" i="81"/>
  <c r="H1" i="81"/>
  <c r="D2" i="85"/>
  <c r="D2" i="82"/>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AB45" i="85" s="1"/>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U45" i="85" l="1"/>
  <c r="S30" i="85"/>
  <c r="H15" i="82"/>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D2" i="35"/>
  <c r="B13" i="76"/>
  <c r="AO13" i="1"/>
  <c r="F20" i="31"/>
  <c r="D2" i="34"/>
  <c r="E12" i="76"/>
  <c r="AO11" i="1"/>
  <c r="E8" i="76"/>
  <c r="D2" i="36"/>
  <c r="B9" i="76"/>
  <c r="AO12" i="1"/>
  <c r="B8" i="76"/>
  <c r="AO9" i="1"/>
  <c r="E7" i="76"/>
  <c r="E11" i="76"/>
  <c r="B10" i="76"/>
  <c r="D2" i="33"/>
  <c r="E9" i="76"/>
  <c r="AO10" i="1"/>
  <c r="E10" i="76"/>
  <c r="B7" i="76"/>
  <c r="E13" i="76"/>
  <c r="B12" i="76"/>
  <c r="E2" i="68"/>
  <c r="D2" i="21"/>
  <c r="D2" i="37"/>
  <c r="E2" i="69"/>
  <c r="B11" i="76"/>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C36" i="69"/>
  <c r="F6" i="73"/>
  <c r="F3" i="73"/>
  <c r="F16" i="15"/>
  <c r="D9" i="69"/>
  <c r="F4" i="73"/>
  <c r="F5" i="73"/>
  <c r="M9" i="67"/>
  <c r="F7" i="73"/>
  <c r="D7" i="73"/>
  <c r="F40" i="15"/>
  <c r="M6" i="67"/>
  <c r="M29" i="15"/>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8" i="83"/>
  <c r="F6" i="67"/>
  <c r="L48" i="86"/>
  <c r="J15" i="67"/>
  <c r="F38" i="15"/>
  <c r="F37" i="15"/>
  <c r="M8" i="86"/>
  <c r="F42" i="83"/>
  <c r="F26" i="67"/>
  <c r="M6" i="15"/>
  <c r="M24" i="83"/>
  <c r="M27" i="86"/>
  <c r="C76" i="67"/>
  <c r="L47" i="15"/>
  <c r="F38" i="67"/>
  <c r="M22" i="67"/>
  <c r="M24" i="67"/>
  <c r="F35" i="15"/>
  <c r="F26" i="83"/>
  <c r="F8" i="83"/>
  <c r="D3" i="73"/>
  <c r="F43" i="15"/>
  <c r="J15" i="15"/>
  <c r="F13" i="15"/>
  <c r="F16" i="83"/>
  <c r="L47" i="67"/>
  <c r="M9" i="15"/>
  <c r="F16" i="86"/>
  <c r="F36" i="83"/>
  <c r="F42" i="67"/>
  <c r="M24" i="15"/>
  <c r="L47" i="83"/>
  <c r="M9" i="86"/>
  <c r="M6" i="83"/>
  <c r="M24" i="86"/>
  <c r="M23" i="86"/>
  <c r="F7" i="86"/>
  <c r="M6" i="86"/>
  <c r="F6" i="86"/>
  <c r="F7" i="15"/>
  <c r="F37" i="86"/>
  <c r="F26" i="86"/>
  <c r="M28" i="67"/>
  <c r="D5" i="73"/>
  <c r="F6" i="83"/>
  <c r="M29" i="86"/>
  <c r="F38" i="86"/>
  <c r="M26" i="83"/>
  <c r="C14" i="15"/>
  <c r="D4" i="73"/>
  <c r="M22" i="15"/>
  <c r="L48" i="83"/>
  <c r="M26" i="67"/>
  <c r="F8" i="86"/>
  <c r="M21" i="15"/>
  <c r="F38" i="83"/>
  <c r="F9" i="83"/>
  <c r="F9" i="67"/>
  <c r="F13" i="67"/>
  <c r="M22" i="83"/>
  <c r="M8" i="15"/>
  <c r="J15" i="86"/>
  <c r="L47" i="86"/>
  <c r="F40" i="83"/>
  <c r="F36" i="67"/>
  <c r="F37" i="83"/>
  <c r="F13" i="83"/>
  <c r="M28" i="15"/>
  <c r="M23" i="83"/>
  <c r="C76" i="86"/>
  <c r="F41" i="15"/>
  <c r="F6" i="15"/>
  <c r="F8" i="15"/>
  <c r="M9" i="83"/>
  <c r="F40" i="67"/>
  <c r="C16" i="15"/>
  <c r="L48" i="15"/>
  <c r="C76" i="15"/>
  <c r="J15" i="83"/>
  <c r="M26" i="86"/>
  <c r="M26" i="15"/>
  <c r="F36" i="86"/>
  <c r="L48" i="67"/>
  <c r="M27" i="15"/>
  <c r="F13" i="86"/>
  <c r="M27" i="83"/>
  <c r="F43" i="86"/>
  <c r="F42" i="15"/>
  <c r="M22" i="86"/>
  <c r="F42" i="86"/>
  <c r="F9" i="15"/>
  <c r="F8" i="67"/>
  <c r="M27" i="67"/>
  <c r="C76" i="83"/>
  <c r="M28" i="86"/>
  <c r="F27" i="69"/>
  <c r="D6" i="73"/>
  <c r="F16" i="67"/>
  <c r="F36" i="15"/>
  <c r="M28" i="83"/>
  <c r="M8" i="67"/>
  <c r="F40" i="86"/>
  <c r="M23" i="15"/>
  <c r="F26" i="15"/>
  <c r="F9" i="86"/>
  <c r="F37" i="67"/>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C17" i="15"/>
  <c r="G1" i="73"/>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AE7" i="1"/>
  <c r="D10" i="69"/>
  <c r="M29" i="83"/>
  <c r="F7" i="67"/>
  <c r="AE8" i="1"/>
  <c r="C34" i="69"/>
  <c r="F43" i="67"/>
  <c r="M29" i="67"/>
  <c r="F43" i="83"/>
  <c r="F7" i="83"/>
  <c r="AE6" i="1"/>
  <c r="I2" i="83" l="1"/>
  <c r="I2" i="67"/>
  <c r="J17" i="15"/>
  <c r="C48" i="15"/>
  <c r="J24" i="15"/>
  <c r="F25" i="12"/>
  <c r="C26" i="12" s="1"/>
  <c r="D25" i="12" s="1"/>
  <c r="F24" i="67"/>
  <c r="C24" i="67" s="1"/>
  <c r="F22" i="68"/>
  <c r="C44" i="68" s="1"/>
  <c r="D41" i="68" s="1"/>
  <c r="F24" i="15"/>
  <c r="C24" i="15" s="1"/>
  <c r="J18" i="86"/>
  <c r="J5" i="86"/>
  <c r="J26" i="86" s="1"/>
  <c r="W7" i="21"/>
  <c r="W7" i="34"/>
  <c r="C48" i="86"/>
  <c r="S7" i="34"/>
  <c r="D20" i="6"/>
  <c r="M19" i="81" s="1"/>
  <c r="C118" i="81" s="1"/>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83"/>
  <c r="F41" i="83"/>
  <c r="C16" i="67"/>
  <c r="F41" i="86"/>
  <c r="F41" i="67"/>
  <c r="E48" i="21" l="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67"/>
  <c r="C14" i="67"/>
  <c r="C14" i="83"/>
  <c r="C17" i="83"/>
  <c r="C17" i="86"/>
  <c r="C14" i="86"/>
  <c r="E6" i="7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19" i="84"/>
  <c r="C20" i="84"/>
  <c r="Q67" i="15" l="1"/>
  <c r="L57" i="15"/>
  <c r="L60" i="15" s="1"/>
  <c r="Q66" i="15" s="1"/>
  <c r="Q75" i="15" s="1"/>
  <c r="C43" i="15"/>
  <c r="Q56" i="15"/>
  <c r="B2" i="15"/>
  <c r="B3" i="15" s="1"/>
  <c r="C83" i="15"/>
  <c r="C82" i="15" s="1"/>
  <c r="Q47" i="15"/>
  <c r="Q53" i="15" s="1"/>
  <c r="C46" i="15"/>
  <c r="C26" i="86"/>
  <c r="C23" i="86"/>
  <c r="C103" i="84"/>
  <c r="C21" i="84"/>
  <c r="C102" i="84"/>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C19" i="81"/>
  <c r="B3" i="69"/>
  <c r="Q57" i="15" l="1"/>
  <c r="Q62" i="15" s="1"/>
  <c r="C29" i="86"/>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83"/>
  <c r="C20" i="9"/>
  <c r="M21" i="83"/>
  <c r="M21" i="67"/>
  <c r="F35" i="67"/>
  <c r="C20" i="81"/>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67"/>
  <c r="L51" i="86"/>
  <c r="H40" i="67" l="1"/>
  <c r="C80" i="67"/>
  <c r="C79" i="67" s="1"/>
  <c r="C40" i="67"/>
  <c r="Q47" i="67" s="1"/>
  <c r="Q53" i="67" s="1"/>
  <c r="C40" i="83"/>
  <c r="C43" i="83" s="1"/>
  <c r="Q69" i="83"/>
  <c r="Q68" i="83" s="1"/>
  <c r="H40" i="83"/>
  <c r="C80" i="86"/>
  <c r="C79" i="86" s="1"/>
  <c r="Q69" i="86"/>
  <c r="Q68" i="86" s="1"/>
  <c r="C40" i="86"/>
  <c r="C45" i="86" s="1"/>
  <c r="C46" i="86" s="1"/>
  <c r="H40" i="86"/>
  <c r="J16" i="86"/>
  <c r="J25"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B2" i="67"/>
  <c r="D11" i="71"/>
  <c r="C10" i="71"/>
  <c r="N65" i="40"/>
  <c r="O63" i="40"/>
  <c r="O65" i="40" s="1"/>
  <c r="N69" i="39"/>
  <c r="O67" i="39"/>
  <c r="O69" i="39" s="1"/>
  <c r="AO6" i="1"/>
  <c r="AO7" i="1"/>
  <c r="D20" i="84"/>
  <c r="D34" i="9"/>
  <c r="D34" i="81"/>
  <c r="D35" i="9"/>
  <c r="D19" i="9"/>
  <c r="D35" i="84"/>
  <c r="D34" i="84"/>
  <c r="D35" i="81"/>
  <c r="D20" i="9"/>
  <c r="D19" i="81"/>
  <c r="D103" i="9" l="1"/>
  <c r="G20" i="9"/>
  <c r="L25" i="84" s="1"/>
  <c r="B3" i="83"/>
  <c r="B2" i="86"/>
  <c r="D103" i="84"/>
  <c r="G20" i="84"/>
  <c r="B7" i="70"/>
  <c r="D21" i="81"/>
  <c r="D102" i="81"/>
  <c r="D22" i="81"/>
  <c r="G19" i="81"/>
  <c r="B6" i="70"/>
  <c r="D22" i="9"/>
  <c r="G19" i="9"/>
  <c r="D102" i="9"/>
  <c r="D21" i="9"/>
  <c r="D10" i="71"/>
  <c r="C9" i="71"/>
  <c r="J7" i="39"/>
  <c r="F7" i="39"/>
  <c r="H7" i="39"/>
  <c r="F7" i="40"/>
  <c r="H7" i="40"/>
  <c r="J7" i="40"/>
  <c r="D20" i="81"/>
  <c r="AO8" i="1"/>
  <c r="D19" i="84"/>
  <c r="C32" i="9" l="1"/>
  <c r="I118" i="9" s="1"/>
  <c r="H118" i="9" s="1"/>
  <c r="D14" i="74" s="1"/>
  <c r="G20" i="81"/>
  <c r="C32" i="81" s="1"/>
  <c r="C35" i="81" s="1"/>
  <c r="G118" i="81" s="1"/>
  <c r="F118" i="81" s="1"/>
  <c r="F119" i="81" s="1"/>
  <c r="D103" i="81"/>
  <c r="I4" i="52"/>
  <c r="C105" i="9"/>
  <c r="G21" i="9"/>
  <c r="M25" i="84"/>
  <c r="G21" i="81"/>
  <c r="M26" i="84"/>
  <c r="L26" i="84"/>
  <c r="C32" i="84"/>
  <c r="I118" i="84" s="1"/>
  <c r="L27" i="84"/>
  <c r="B8" i="70"/>
  <c r="B2" i="70" s="1"/>
  <c r="B3" i="70" s="1"/>
  <c r="D102" i="84"/>
  <c r="D21" i="84"/>
  <c r="D22" i="84"/>
  <c r="G19" i="84"/>
  <c r="C8" i="71"/>
  <c r="D9" i="71"/>
  <c r="H4" i="52"/>
  <c r="H119" i="9"/>
  <c r="H5" i="52" s="1"/>
  <c r="C104" i="9"/>
  <c r="H101" i="9"/>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E14" i="74" l="1"/>
  <c r="H102" i="9"/>
  <c r="R24" i="31" s="1"/>
  <c r="C35" i="9"/>
  <c r="G118" i="9" s="1"/>
  <c r="G4" i="52" s="1"/>
  <c r="B52" i="72" s="1"/>
  <c r="D7" i="53"/>
  <c r="B21" i="72" s="1"/>
  <c r="C34" i="81"/>
  <c r="C35" i="84"/>
  <c r="G118" i="84" s="1"/>
  <c r="F118" i="84" s="1"/>
  <c r="F119" i="84" s="1"/>
  <c r="I118" i="81"/>
  <c r="H102" i="81" s="1"/>
  <c r="G21" i="84"/>
  <c r="M27" i="84"/>
  <c r="M28" i="84" s="1"/>
  <c r="H118" i="84"/>
  <c r="H102" i="84"/>
  <c r="C105" i="84"/>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E118" i="9" l="1"/>
  <c r="F118" i="9"/>
  <c r="C34" i="9"/>
  <c r="C34" i="84"/>
  <c r="E118" i="81"/>
  <c r="D118" i="81" s="1"/>
  <c r="D119" i="81" s="1"/>
  <c r="E118" i="84"/>
  <c r="D118" i="84" s="1"/>
  <c r="D119" i="84" s="1"/>
  <c r="H118" i="81"/>
  <c r="C104" i="81" s="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Q51" i="9" l="1"/>
  <c r="P54" i="9"/>
  <c r="P55" i="9" s="1"/>
  <c r="H119" i="8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P56" i="9" l="1"/>
  <c r="C64" i="81"/>
  <c r="C63" i="81" s="1"/>
  <c r="C67" i="81" s="1"/>
  <c r="C68" i="81" s="1"/>
  <c r="D54" i="81" s="1"/>
  <c r="D48" i="81" s="1"/>
  <c r="M52" i="81" s="1"/>
  <c r="D52" i="81"/>
  <c r="H107" i="81"/>
  <c r="M49"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C96" i="9"/>
  <c r="E96" i="9" s="1"/>
  <c r="E97" i="9" s="1"/>
  <c r="M69" i="9"/>
  <c r="N69" i="9" s="1"/>
  <c r="G14" i="74"/>
  <c r="B6" i="74" s="1"/>
  <c r="F14" i="74"/>
  <c r="B5" i="74"/>
  <c r="E5" i="74" s="1"/>
  <c r="F5" i="74" s="1"/>
  <c r="Q51" i="84" l="1"/>
  <c r="P54" i="84"/>
  <c r="P55" i="84" s="1"/>
  <c r="L67" i="81"/>
  <c r="M67" i="81" s="1"/>
  <c r="Q51" i="81"/>
  <c r="P54" i="81"/>
  <c r="P55" i="81" s="1"/>
  <c r="Q54" i="9"/>
  <c r="Q55" i="9" s="1"/>
  <c r="N59" i="9"/>
  <c r="T24" i="31" s="1"/>
  <c r="T22" i="31" s="1"/>
  <c r="P57" i="9"/>
  <c r="C95" i="8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C97" i="9"/>
  <c r="N58" i="9"/>
  <c r="H111" i="9"/>
  <c r="D19" i="53" s="1"/>
  <c r="D6" i="74"/>
  <c r="C6" i="74"/>
  <c r="D5" i="74"/>
  <c r="C5" i="74"/>
  <c r="Q56" i="9" l="1"/>
  <c r="P56" i="84"/>
  <c r="N61" i="9"/>
  <c r="H112" i="9" s="1"/>
  <c r="D21" i="53" s="1"/>
  <c r="B39" i="72" s="1"/>
  <c r="N60" i="9"/>
  <c r="P56" i="81"/>
  <c r="C97" i="81"/>
  <c r="M69" i="81"/>
  <c r="N69" i="81" s="1"/>
  <c r="C81" i="81"/>
  <c r="D58" i="81" s="1"/>
  <c r="D56" i="81" s="1"/>
  <c r="M54" i="81" s="1"/>
  <c r="N57" i="81" s="1"/>
  <c r="P57" i="81" s="1"/>
  <c r="C97" i="84"/>
  <c r="M69" i="84"/>
  <c r="N69" i="84" s="1"/>
  <c r="C80" i="84"/>
  <c r="E80" i="84" s="1"/>
  <c r="E81" i="84" s="1"/>
  <c r="U24" i="31"/>
  <c r="D126" i="9"/>
  <c r="D127" i="9" s="1"/>
  <c r="D13" i="52" s="1"/>
  <c r="B38" i="72"/>
  <c r="D20" i="53"/>
  <c r="B40" i="72" s="1"/>
  <c r="U22" i="31"/>
  <c r="B8" i="74"/>
  <c r="E8" i="74" s="1"/>
  <c r="F8" i="74" s="1"/>
  <c r="Q54" i="81" l="1"/>
  <c r="C81" i="84"/>
  <c r="D58" i="84" s="1"/>
  <c r="D56" i="84" s="1"/>
  <c r="M54" i="84" s="1"/>
  <c r="N57" i="84" s="1"/>
  <c r="N58" i="81"/>
  <c r="N59" i="81"/>
  <c r="D12" i="52"/>
  <c r="C8" i="74"/>
  <c r="D8" i="74"/>
  <c r="Q55" i="81" l="1"/>
  <c r="Q56" i="81" s="1"/>
  <c r="P57" i="84"/>
  <c r="Q54" i="84"/>
  <c r="N59" i="84"/>
  <c r="N60" i="84" s="1"/>
  <c r="N58" i="84"/>
  <c r="N60" i="81"/>
  <c r="N61" i="81"/>
  <c r="Q55" i="84" l="1"/>
  <c r="Q56" i="84" s="1"/>
  <c r="N6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<sst xmlns="http://schemas.openxmlformats.org/spreadsheetml/2006/main" count="10380" uniqueCount="2882">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</sst>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4" fillId="0" borderId="86" xfId="0" applyFont="1" applyBorder="1" applyAlignment="1" applyProtection="1">
      <alignment horizontal="center" vertical="center" wrapText="1"/>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0</v>
      </c>
    </row>
    <row r="21" spans="1:2">
      <c r="A21" s="3166" t="s">
        <v>21</v>
      </c>
      <c r="B21" s="3167">
        <f ca="1">'预评函-2'!D7</f>
        <v>34440</v>
      </c>
    </row>
    <row r="22" spans="1:2">
      <c r="A22" s="3166" t="s">
        <v>22</v>
      </c>
      <c r="B22" s="3167" t="str">
        <f ca="1">'预评函-2'!D6</f>
        <v>零元整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0</v>
      </c>
    </row>
    <row r="31" spans="1:2">
      <c r="A31" s="3166" t="s">
        <v>31</v>
      </c>
      <c r="B31" s="3167">
        <f ca="1">'预评函-2'!D15</f>
        <v>34440</v>
      </c>
    </row>
    <row r="32" spans="1:2">
      <c r="A32" s="3166" t="s">
        <v>32</v>
      </c>
      <c r="B32" s="3167" t="str">
        <f ca="1">'预评函-2'!D14</f>
        <v>零元整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0</v>
      </c>
    </row>
    <row r="48" spans="1:2">
      <c r="A48" s="3166" t="s">
        <v>48</v>
      </c>
      <c r="B48" s="3167">
        <f ca="1">'预评函-3'!E4</f>
        <v>28275</v>
      </c>
    </row>
    <row r="49" spans="1:2">
      <c r="A49" s="3166" t="s">
        <v>49</v>
      </c>
      <c r="B49" s="3167" t="str">
        <f ca="1">'预评函-3'!D5</f>
        <v>零元整</v>
      </c>
    </row>
    <row r="50" spans="1:2">
      <c r="A50" s="3166" t="s">
        <v>50</v>
      </c>
      <c r="B50" s="3167" t="str">
        <f>'预评函-3'!F2</f>
        <v>在建建筑物价值</v>
      </c>
    </row>
    <row r="51" spans="1:2">
      <c r="A51" s="3166" t="s">
        <v>51</v>
      </c>
      <c r="B51" s="3167">
        <f ca="1">'预评函-3'!F4</f>
        <v>0</v>
      </c>
    </row>
    <row r="52" spans="1:2">
      <c r="A52" s="3166" t="s">
        <v>52</v>
      </c>
      <c r="B52" s="3167">
        <f ca="1">'预评函-3'!G4</f>
        <v>6165</v>
      </c>
    </row>
    <row r="53" spans="1:2">
      <c r="A53" s="3166" t="s">
        <v>53</v>
      </c>
      <c r="B53" s="3167" t="str">
        <f ca="1">'预评函-3'!F5</f>
        <v>零元整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2852</v>
      </c>
      <c r="C19" s="3058"/>
    </row>
    <row r="20" spans="1:3">
      <c r="A20" s="3057" t="s">
        <v>316</v>
      </c>
      <c r="B20" s="3057" t="s">
        <v>2855</v>
      </c>
      <c r="C20" s="3058"/>
    </row>
    <row r="21" spans="1:3">
      <c r="A21" s="3057" t="s">
        <v>260</v>
      </c>
      <c r="B21" s="3059" t="s">
        <v>2853</v>
      </c>
      <c r="C21" s="3058"/>
    </row>
    <row r="22" spans="1:3">
      <c r="A22" s="3057" t="s">
        <v>317</v>
      </c>
      <c r="B22" s="3057" t="s">
        <v>2857</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3"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3"/>
      <c r="B54" s="3061" t="s">
        <v>330</v>
      </c>
      <c r="C54" s="3051" t="s">
        <v>331</v>
      </c>
    </row>
    <row r="55" spans="1:4">
      <c r="A55" s="3243"/>
      <c r="B55" s="3061" t="s">
        <v>332</v>
      </c>
      <c r="C55" s="3051" t="s">
        <v>333</v>
      </c>
    </row>
    <row r="56" spans="1:4">
      <c r="A56" s="3243"/>
      <c r="B56" s="3061" t="s">
        <v>334</v>
      </c>
      <c r="C56" s="3051" t="s">
        <v>335</v>
      </c>
    </row>
    <row r="57" spans="1:4">
      <c r="A57" s="3243"/>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4" t="s">
        <v>340</v>
      </c>
      <c r="J2" s="3244"/>
      <c r="K2" s="3244"/>
      <c r="L2" s="3244"/>
      <c r="M2" s="3244"/>
      <c r="N2" s="3244"/>
      <c r="O2" s="3244"/>
      <c r="P2" s="3244"/>
      <c r="Q2" s="3244"/>
      <c r="R2" s="3244"/>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workbookViewId="0">
      <selection activeCell="B4" sqref="B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49" t="str">
        <f>IF(B10="北京市","北京市",C10)&amp;F10&amp;IF(结果表101!G1="在建","出让国有建设用地使用权及在建建筑物",IF(结果表101!G1="土地","出让国有建设用地使用权",))&amp;B9&amp;"预评估"</f>
        <v>北京市房地产抵押价值预评估</v>
      </c>
      <c r="C1" s="3250"/>
      <c r="D1" s="3250"/>
      <c r="E1" s="3250"/>
      <c r="F1" s="3250"/>
      <c r="G1" s="3250"/>
      <c r="H1" s="3250"/>
      <c r="I1" s="3251"/>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64" t="s">
        <v>447</v>
      </c>
      <c r="E8" s="2900" t="s">
        <v>330</v>
      </c>
      <c r="F8" s="2901"/>
      <c r="G8" s="2658"/>
      <c r="H8" s="2658"/>
      <c r="I8" s="2658"/>
      <c r="J8" s="2522"/>
      <c r="K8" s="2975"/>
      <c r="L8" s="2973"/>
      <c r="M8" s="2973"/>
      <c r="N8" s="2522"/>
      <c r="O8" s="2239"/>
      <c r="P8" s="2522"/>
      <c r="Q8" s="2522"/>
      <c r="R8" s="2522"/>
    </row>
    <row r="9" spans="1:30">
      <c r="A9" s="2902" t="s">
        <v>448</v>
      </c>
      <c r="B9" s="2903" t="s">
        <v>330</v>
      </c>
      <c r="C9" s="2904"/>
      <c r="D9" s="3265"/>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2866</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2844</v>
      </c>
      <c r="F13" s="2922"/>
      <c r="G13" s="2921"/>
      <c r="H13" s="2921"/>
      <c r="I13" s="2921"/>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t="str">
        <f>IF(A13="出让",IF(I13="","",ROUNDDOWN(MIN((I13-$D$3)/365,I14),2)),I14)</f>
        <v/>
      </c>
      <c r="J15" s="2980"/>
      <c r="K15" s="2239"/>
      <c r="L15" s="2239"/>
      <c r="M15" s="2522"/>
      <c r="N15" s="2239"/>
      <c r="O15" s="2522"/>
      <c r="P15" s="2522"/>
      <c r="Q15" s="2522"/>
      <c r="AD15" s="2561"/>
    </row>
    <row r="16" spans="1:30">
      <c r="A16" s="2910" t="s">
        <v>465</v>
      </c>
      <c r="B16" s="3252" t="s">
        <v>466</v>
      </c>
      <c r="C16" s="3253"/>
      <c r="D16" s="3254"/>
      <c r="E16" s="2926" t="s">
        <v>467</v>
      </c>
      <c r="F16" s="3255"/>
      <c r="G16" s="3256"/>
      <c r="H16" s="3256"/>
      <c r="I16" s="3257"/>
      <c r="J16" s="2522"/>
      <c r="K16" s="2981"/>
      <c r="L16" s="2239"/>
      <c r="M16" s="2239"/>
      <c r="N16" s="2522"/>
      <c r="O16" s="2239"/>
      <c r="P16" s="2522"/>
      <c r="Q16" s="2522"/>
      <c r="R16" s="2522"/>
    </row>
    <row r="17" spans="1:28">
      <c r="A17" s="1866" t="s">
        <v>468</v>
      </c>
      <c r="B17" s="1855" t="s">
        <v>469</v>
      </c>
      <c r="C17" s="1472">
        <f>'数据-汇总表'!E3</f>
        <v>205.1</v>
      </c>
      <c r="D17" s="1908" t="s">
        <v>470</v>
      </c>
      <c r="E17" s="3258" t="s">
        <v>471</v>
      </c>
      <c r="F17" s="3259"/>
      <c r="G17" s="3259"/>
      <c r="H17" s="3259"/>
      <c r="I17" s="3260"/>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61" t="s">
        <v>474</v>
      </c>
      <c r="F18" s="3262"/>
      <c r="G18" s="3262"/>
      <c r="H18" s="3262"/>
      <c r="I18" s="3263"/>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68" t="s">
        <v>480</v>
      </c>
      <c r="C20" s="3269"/>
      <c r="D20" s="3270" t="s">
        <v>481</v>
      </c>
      <c r="E20" s="3271"/>
      <c r="F20" s="2935" t="s">
        <v>482</v>
      </c>
      <c r="G20" s="2658"/>
      <c r="H20" s="2658"/>
      <c r="I20" s="2658"/>
      <c r="J20" s="2522"/>
      <c r="K20" s="3266"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66"/>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66"/>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45"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45"/>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45"/>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46"/>
      <c r="B30" s="1855" t="s">
        <v>499</v>
      </c>
      <c r="C30" s="3272"/>
      <c r="D30" s="3273"/>
      <c r="E30" s="2658"/>
      <c r="F30" s="2658"/>
      <c r="G30" s="2658"/>
      <c r="H30" s="2658"/>
      <c r="I30" s="2658"/>
      <c r="J30" s="2522"/>
      <c r="K30" s="2974"/>
      <c r="L30" s="2973"/>
      <c r="M30" s="2973"/>
      <c r="N30" s="2522"/>
      <c r="O30" s="2239"/>
      <c r="P30" s="2522"/>
      <c r="Q30" s="2522"/>
      <c r="R30" s="2522"/>
      <c r="S30" s="2522"/>
      <c r="T30" s="2522"/>
      <c r="U30" s="2522"/>
      <c r="V30" s="2522"/>
    </row>
    <row r="31" spans="1:28">
      <c r="A31" s="3247"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48"/>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48"/>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67" t="s">
        <v>510</v>
      </c>
      <c r="T34" s="1896" t="str">
        <f>NUMBERSTRING(7-K34,1)&amp;"通"</f>
        <v>七通</v>
      </c>
      <c r="U34" s="2522"/>
      <c r="V34" s="2522"/>
    </row>
    <row r="35" spans="1:30">
      <c r="A35" s="2960"/>
      <c r="B35" s="3267" t="s">
        <v>511</v>
      </c>
      <c r="C35" s="3267"/>
      <c r="D35" s="3267"/>
      <c r="E35" s="3267"/>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67"/>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1923</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3" t="s">
        <v>572</v>
      </c>
      <c r="B2" s="3283"/>
      <c r="C2" s="3283"/>
      <c r="D2" s="2424" t="s">
        <v>573</v>
      </c>
      <c r="E2" s="2734" t="s">
        <v>574</v>
      </c>
      <c r="F2" s="2597"/>
      <c r="G2" s="2735"/>
      <c r="H2" s="2736"/>
      <c r="I2" s="2333" t="s">
        <v>575</v>
      </c>
      <c r="J2" s="2597"/>
      <c r="K2" s="2597"/>
      <c r="L2" s="2597"/>
      <c r="M2" s="2597"/>
      <c r="N2" s="1071"/>
      <c r="O2" s="2597"/>
      <c r="P2" s="2597"/>
    </row>
    <row r="3" spans="1:16" ht="14.4">
      <c r="A3" s="3284" t="s">
        <v>576</v>
      </c>
      <c r="B3" s="3284"/>
      <c r="C3" s="3284"/>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5"/>
      <c r="B4" s="3286"/>
      <c r="C4" s="3287"/>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8" t="s">
        <v>581</v>
      </c>
      <c r="C5" s="3288"/>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8" t="s">
        <v>582</v>
      </c>
      <c r="C6" s="3288"/>
      <c r="D6" s="2137">
        <f>ROUND($D$3*E6/$E$3,2)</f>
        <v>0</v>
      </c>
      <c r="E6" s="2742">
        <f>E3-E5</f>
        <v>205.1</v>
      </c>
      <c r="F6" s="2597"/>
      <c r="G6" s="2744" t="s">
        <v>583</v>
      </c>
      <c r="H6" s="2745" t="s">
        <v>579</v>
      </c>
      <c r="I6" s="2783" t="e">
        <f>ROUND(F31/D31,2)</f>
        <v>#DIV/0!</v>
      </c>
      <c r="J6" s="2597"/>
      <c r="K6" s="2597"/>
      <c r="L6" s="2597"/>
      <c r="M6" s="2597"/>
      <c r="N6" s="2597"/>
      <c r="O6" s="2597"/>
      <c r="P6" s="2597"/>
    </row>
    <row r="7" spans="1:16" ht="14.4">
      <c r="A7" s="3274"/>
      <c r="B7" s="3275"/>
      <c r="C7" s="3276"/>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77" t="s">
        <v>597</v>
      </c>
      <c r="L16" s="3278"/>
      <c r="M16" s="3278"/>
      <c r="N16" s="3278"/>
      <c r="O16" s="3278"/>
      <c r="P16" s="3279"/>
    </row>
    <row r="17" spans="1:19" ht="14.4">
      <c r="A17" s="2705" t="s">
        <v>598</v>
      </c>
      <c r="B17" s="2753" t="s">
        <v>599</v>
      </c>
      <c r="C17" s="2158" t="s">
        <v>600</v>
      </c>
      <c r="D17" s="2754" t="s">
        <v>573</v>
      </c>
      <c r="E17" s="2755" t="s">
        <v>574</v>
      </c>
      <c r="F17" s="2756"/>
      <c r="G17" s="2757"/>
      <c r="H17" s="2758" t="s">
        <v>601</v>
      </c>
      <c r="I17" s="2787" t="s">
        <v>602</v>
      </c>
      <c r="J17" s="2185"/>
      <c r="K17" s="3280" t="s">
        <v>603</v>
      </c>
      <c r="L17" s="3281"/>
      <c r="M17" s="3282"/>
      <c r="N17" s="3280" t="s">
        <v>604</v>
      </c>
      <c r="O17" s="3281"/>
      <c r="P17" s="3282"/>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U13" sqref="U13"/>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2E-3</v>
      </c>
      <c r="AL6" s="2720">
        <v>1E-3</v>
      </c>
      <c r="AM6" s="2721">
        <v>5.0000000000000001E-3</v>
      </c>
      <c r="AN6" s="2722" t="s">
        <v>266</v>
      </c>
      <c r="AO6" s="1126">
        <f ca="1">SUMIF(INDIRECT("'"&amp;AN6&amp;"'"&amp;"!A:A"),"总价",INDIRECT("'"&amp;AN6&amp;"'"&amp;"!B:B"))</f>
        <v>435.89530000000002</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6</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2E-3</v>
      </c>
      <c r="AL7" s="2720">
        <v>1E-3</v>
      </c>
      <c r="AM7" s="2721">
        <f>AM6</f>
        <v>5.0000000000000001E-3</v>
      </c>
      <c r="AN7" s="2722" t="s">
        <v>2854</v>
      </c>
      <c r="AO7" s="1126">
        <f t="shared" ref="AO7:AO13" ca="1" si="9">SUMIF(INDIRECT("'"&amp;AN7&amp;"'"&amp;"!A:A"),"总价",INDIRECT("'"&amp;AN7&amp;"'"&amp;"!B:B"))</f>
        <v>86.976500000000001</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27.73</v>
      </c>
      <c r="AF8" s="2124"/>
      <c r="AG8" s="1602">
        <f t="shared" si="8"/>
        <v>0</v>
      </c>
      <c r="AH8" s="2723"/>
      <c r="AI8" s="2718">
        <v>365</v>
      </c>
      <c r="AJ8" s="2124"/>
      <c r="AK8" s="2719">
        <f>AK7</f>
        <v>2E-3</v>
      </c>
      <c r="AL8" s="2720">
        <v>1E-3</v>
      </c>
      <c r="AM8" s="2721">
        <f>AM6</f>
        <v>5.0000000000000001E-3</v>
      </c>
      <c r="AN8" s="2722" t="s">
        <v>2856</v>
      </c>
      <c r="AO8" s="1126">
        <f t="shared" ca="1" si="9"/>
        <v>101.79049999999999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80"/>
      <c r="V19" s="31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8">
        <v>101</v>
      </c>
      <c r="V20" s="3180"/>
      <c r="W20" s="3183"/>
      <c r="X20" s="2408">
        <v>9.26</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2408"/>
      <c r="T21" s="2408"/>
      <c r="U21" s="3180">
        <v>103</v>
      </c>
      <c r="V21" s="3180"/>
      <c r="W21" s="3183">
        <v>7040.3</v>
      </c>
      <c r="X21" s="2408">
        <f>W21/K7/30</f>
        <v>7.666666666666667</v>
      </c>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0">
        <v>104</v>
      </c>
      <c r="V22" s="3180"/>
      <c r="W22" s="3183">
        <v>14981.75</v>
      </c>
      <c r="X22" s="2408">
        <f>W22/90/K8</f>
        <v>3.8730546507419477</v>
      </c>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183"/>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c r="X25" s="3187"/>
      <c r="Y25" s="2408"/>
      <c r="Z25" s="3184"/>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2843</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9" t="s">
        <v>731</v>
      </c>
      <c r="B1" s="3290"/>
      <c r="C1" s="3290"/>
      <c r="D1" s="3290"/>
      <c r="E1" s="3290"/>
      <c r="F1" s="3290"/>
      <c r="G1" s="3290"/>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2794</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2794</v>
      </c>
      <c r="D6" s="2515"/>
      <c r="E6" s="2520"/>
      <c r="F6" s="1896" t="s">
        <v>740</v>
      </c>
      <c r="G6" s="2521"/>
      <c r="H6" s="2397"/>
      <c r="I6" s="2397"/>
      <c r="J6" s="2397"/>
      <c r="K6" s="2397"/>
      <c r="L6" s="2397"/>
      <c r="M6" s="2397"/>
      <c r="N6" s="2397"/>
      <c r="O6" s="2397"/>
      <c r="P6" s="2397"/>
      <c r="Q6" s="2397"/>
    </row>
    <row r="7" spans="1:29">
      <c r="A7" s="2516"/>
      <c r="B7" s="1896" t="s">
        <v>563</v>
      </c>
      <c r="C7" s="3177" t="s">
        <v>2794</v>
      </c>
      <c r="D7" s="2522"/>
      <c r="E7" s="2523"/>
      <c r="F7" s="2524" t="s">
        <v>741</v>
      </c>
      <c r="G7" s="2525"/>
      <c r="H7" s="2397"/>
      <c r="I7" s="2397"/>
      <c r="J7" s="2397"/>
      <c r="K7" s="2397"/>
      <c r="L7" s="2397"/>
      <c r="M7" s="2397"/>
      <c r="N7" s="2397"/>
      <c r="O7" s="2397"/>
      <c r="P7" s="2397"/>
      <c r="Q7" s="2397"/>
    </row>
    <row r="8" spans="1:29">
      <c r="A8" s="2516"/>
      <c r="B8" s="1896" t="s">
        <v>740</v>
      </c>
      <c r="C8" s="3178" t="s">
        <v>2795</v>
      </c>
      <c r="D8" s="2522"/>
      <c r="E8" s="2522"/>
      <c r="F8" s="1458"/>
      <c r="G8" s="1458"/>
      <c r="H8" s="2397"/>
      <c r="I8" s="2397"/>
      <c r="J8" s="2397"/>
      <c r="K8" s="2397"/>
      <c r="L8" s="2397"/>
      <c r="M8" s="2397"/>
      <c r="N8" s="2397"/>
      <c r="O8" s="2397"/>
      <c r="P8" s="2397"/>
      <c r="Q8" s="2397"/>
    </row>
    <row r="9" spans="1:29">
      <c r="A9" s="2516"/>
      <c r="B9" s="1896" t="s">
        <v>742</v>
      </c>
      <c r="C9" s="3177"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14" sqref="D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0</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0</v>
      </c>
      <c r="C5" s="2490">
        <f ca="1">IF(B5=D14,结果表101!H102,ROUND(B5*10000/$B$1,0))</f>
        <v>34440</v>
      </c>
      <c r="D5" s="2490" t="e">
        <f ca="1">ROUND(B5*10000/$B$2,0)</f>
        <v>#DIV/0!</v>
      </c>
      <c r="E5" s="2491">
        <f ca="1">B5*10000</f>
        <v>0</v>
      </c>
      <c r="F5" s="3291" t="str">
        <f ca="1">NUMBERSTRING(INT(E5*10000),2)&amp;"元整"</f>
        <v>零元整</v>
      </c>
      <c r="G5" s="3292"/>
      <c r="H5" s="2492"/>
      <c r="I5" s="2492"/>
      <c r="J5" s="2492"/>
      <c r="K5" s="2492"/>
    </row>
    <row r="6" spans="1:11" ht="15.6">
      <c r="A6" s="2490" t="s">
        <v>756</v>
      </c>
      <c r="B6" s="2490">
        <f ca="1">SUM(G14:G23)</f>
        <v>0</v>
      </c>
      <c r="C6" s="2490">
        <f ca="1">IF(B6=G14,结果表101!H108,ROUND(B6*10000/$B$1,0))</f>
        <v>34440</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1" t="str">
        <f>NUMBERSTRING(INT(E8*10000),2)&amp;"元整"</f>
        <v>零元整</v>
      </c>
      <c r="G8" s="3292"/>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结果表101!B118</f>
        <v>0</v>
      </c>
      <c r="C14" s="2501"/>
      <c r="D14" s="2501">
        <f ca="1">结果表101!H118</f>
        <v>0</v>
      </c>
      <c r="E14" s="2501">
        <f ca="1">结果表101!I118</f>
        <v>34440</v>
      </c>
      <c r="F14" s="2501" t="e">
        <f ca="1">ROUND(D14*10000/C14,0)</f>
        <v>#DIV/0!</v>
      </c>
      <c r="G14" s="2501">
        <f ca="1">D14</f>
        <v>0</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11" sqref="J1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293" t="str">
        <f>项目基本情况!S2</f>
        <v>北京市房地产</v>
      </c>
      <c r="B2" s="3294"/>
      <c r="C2" s="3294"/>
      <c r="D2" s="3294"/>
      <c r="E2" s="3294"/>
      <c r="F2" s="3294"/>
      <c r="G2" s="3294"/>
      <c r="H2" s="3294"/>
      <c r="I2" s="3295"/>
    </row>
    <row r="3" spans="1:12" ht="13.2">
      <c r="A3" s="3296" t="s">
        <v>780</v>
      </c>
      <c r="B3" s="3297"/>
      <c r="C3" s="3297"/>
      <c r="D3" s="3297"/>
      <c r="E3" s="3297"/>
      <c r="F3" s="3297"/>
      <c r="G3" s="3297"/>
      <c r="H3" s="3297"/>
      <c r="I3" s="3297"/>
    </row>
    <row r="4" spans="1:12" ht="14.4">
      <c r="A4" s="2119" t="s">
        <v>781</v>
      </c>
      <c r="B4" s="2120" t="s">
        <v>782</v>
      </c>
      <c r="C4" s="2121" t="s">
        <v>2842</v>
      </c>
      <c r="D4" s="2121" t="s">
        <v>266</v>
      </c>
      <c r="E4" s="3298" t="s">
        <v>783</v>
      </c>
      <c r="F4" s="3299"/>
      <c r="G4" s="3299"/>
      <c r="H4" s="3299"/>
      <c r="I4" s="3300"/>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343" t="s">
        <v>784</v>
      </c>
      <c r="B5" s="3381">
        <v>25</v>
      </c>
      <c r="C5" s="3313"/>
      <c r="D5" s="3312"/>
      <c r="E5" s="1895" t="s">
        <v>785</v>
      </c>
      <c r="F5" s="2125"/>
      <c r="G5" s="2125"/>
      <c r="H5" s="2125"/>
      <c r="I5" s="2249"/>
    </row>
    <row r="6" spans="1:12" ht="13.2">
      <c r="A6" s="3343"/>
      <c r="B6" s="3381"/>
      <c r="C6" s="3314"/>
      <c r="D6" s="3312"/>
      <c r="E6" s="1895" t="s">
        <v>786</v>
      </c>
      <c r="F6" s="2125"/>
      <c r="G6" s="2125"/>
      <c r="H6" s="2125"/>
      <c r="I6" s="2249"/>
    </row>
    <row r="7" spans="1:12" ht="13.2">
      <c r="A7" s="3343"/>
      <c r="B7" s="3381"/>
      <c r="C7" s="3315"/>
      <c r="D7" s="3312"/>
      <c r="E7" s="1895" t="s">
        <v>787</v>
      </c>
      <c r="F7" s="2125"/>
      <c r="G7" s="2125"/>
      <c r="H7" s="2125"/>
      <c r="I7" s="2249"/>
    </row>
    <row r="8" spans="1:12" ht="13.2">
      <c r="A8" s="3343" t="s">
        <v>788</v>
      </c>
      <c r="B8" s="3381">
        <v>15</v>
      </c>
      <c r="C8" s="3313"/>
      <c r="D8" s="3312"/>
      <c r="E8" s="1895" t="s">
        <v>789</v>
      </c>
      <c r="F8" s="2125"/>
      <c r="G8" s="2125"/>
      <c r="H8" s="2125"/>
      <c r="I8" s="2249"/>
    </row>
    <row r="9" spans="1:12" ht="13.2">
      <c r="A9" s="3343"/>
      <c r="B9" s="3381"/>
      <c r="C9" s="3315"/>
      <c r="D9" s="3312"/>
      <c r="E9" s="1895" t="s">
        <v>790</v>
      </c>
      <c r="F9" s="2125"/>
      <c r="G9" s="2125"/>
      <c r="H9" s="2125"/>
      <c r="I9" s="2249"/>
    </row>
    <row r="10" spans="1:12" ht="13.2">
      <c r="A10" s="3343" t="s">
        <v>791</v>
      </c>
      <c r="B10" s="3381">
        <v>15</v>
      </c>
      <c r="C10" s="3313"/>
      <c r="D10" s="3312"/>
      <c r="E10" s="1895" t="s">
        <v>792</v>
      </c>
      <c r="F10" s="2125"/>
      <c r="G10" s="2125"/>
      <c r="H10" s="2125"/>
      <c r="I10" s="2249"/>
    </row>
    <row r="11" spans="1:12" ht="13.2">
      <c r="A11" s="3343"/>
      <c r="B11" s="3381"/>
      <c r="C11" s="3315"/>
      <c r="D11" s="3312"/>
      <c r="E11" s="1895" t="s">
        <v>793</v>
      </c>
      <c r="F11" s="2125"/>
      <c r="G11" s="2125"/>
      <c r="H11" s="2125"/>
      <c r="I11" s="2249"/>
    </row>
    <row r="12" spans="1:12" ht="13.2">
      <c r="A12" s="3343" t="s">
        <v>794</v>
      </c>
      <c r="B12" s="3381">
        <v>15</v>
      </c>
      <c r="C12" s="3313"/>
      <c r="D12" s="3312"/>
      <c r="E12" s="1895" t="s">
        <v>795</v>
      </c>
      <c r="F12" s="2125"/>
      <c r="G12" s="2125"/>
      <c r="H12" s="2125"/>
      <c r="I12" s="2249"/>
    </row>
    <row r="13" spans="1:12" ht="13.2">
      <c r="A13" s="3343"/>
      <c r="B13" s="3381"/>
      <c r="C13" s="3315"/>
      <c r="D13" s="3312"/>
      <c r="E13" s="1895" t="s">
        <v>796</v>
      </c>
      <c r="F13" s="2125"/>
      <c r="G13" s="2125"/>
      <c r="H13" s="2125"/>
      <c r="I13" s="2249"/>
    </row>
    <row r="14" spans="1:12" ht="13.2">
      <c r="A14" s="3343" t="s">
        <v>797</v>
      </c>
      <c r="B14" s="3381">
        <v>30</v>
      </c>
      <c r="C14" s="3313">
        <v>5</v>
      </c>
      <c r="D14" s="3312">
        <v>5</v>
      </c>
      <c r="E14" s="1895" t="s">
        <v>798</v>
      </c>
      <c r="F14" s="2125"/>
      <c r="G14" s="2125"/>
      <c r="H14" s="2125"/>
      <c r="I14" s="2249"/>
    </row>
    <row r="15" spans="1:12" ht="13.2">
      <c r="A15" s="3343"/>
      <c r="B15" s="3381"/>
      <c r="C15" s="3314"/>
      <c r="D15" s="3312"/>
      <c r="E15" s="1895" t="s">
        <v>799</v>
      </c>
      <c r="F15" s="2125"/>
      <c r="G15" s="2125"/>
      <c r="H15" s="2125"/>
      <c r="I15" s="2249"/>
    </row>
    <row r="16" spans="1:12" ht="13.2">
      <c r="A16" s="3343"/>
      <c r="B16" s="3381"/>
      <c r="C16" s="3315"/>
      <c r="D16" s="3312"/>
      <c r="E16" s="1895" t="s">
        <v>800</v>
      </c>
      <c r="F16" s="2125"/>
      <c r="G16" s="2125"/>
      <c r="H16" s="2125"/>
      <c r="I16" s="2249"/>
    </row>
    <row r="17" spans="1:36" ht="14.4">
      <c r="A17" s="2126" t="s">
        <v>801</v>
      </c>
      <c r="B17" s="2127"/>
      <c r="C17" s="2128">
        <f>SUM(C5:C16)</f>
        <v>5</v>
      </c>
      <c r="D17" s="2128">
        <f>SUM(D5:D16)</f>
        <v>5</v>
      </c>
      <c r="E17" s="1458"/>
      <c r="F17" s="1458"/>
      <c r="G17" s="1458"/>
      <c r="H17" s="1458"/>
      <c r="I17" s="1458"/>
      <c r="K17" s="1855"/>
      <c r="L17" s="1855" t="s">
        <v>802</v>
      </c>
      <c r="M17" s="1855" t="s">
        <v>803</v>
      </c>
    </row>
    <row r="18" spans="1:36" ht="31.95" customHeight="1">
      <c r="A18" s="2129" t="s">
        <v>804</v>
      </c>
      <c r="B18" s="2130"/>
      <c r="C18" s="2131">
        <f>ROUND(C17/SUM(C17:D17),2)</f>
        <v>0.5</v>
      </c>
      <c r="D18" s="2131">
        <f>1-C18</f>
        <v>0.5</v>
      </c>
      <c r="E18" s="3301" t="s">
        <v>805</v>
      </c>
      <c r="F18" s="3302"/>
      <c r="G18" s="3302"/>
      <c r="H18" s="3302"/>
      <c r="I18" s="3302"/>
      <c r="K18" s="1855" t="s">
        <v>469</v>
      </c>
      <c r="L18" s="1855">
        <f>IF(C1="",'数据-汇总表'!E3,SUMIF(项目类型,C1,'数据-汇总表'!E17:E26)+SUMIF(项目类型,C1,'数据-汇总表'!I17:I26))</f>
        <v>0</v>
      </c>
      <c r="M18" s="1855">
        <f>IF(C1="",'数据-汇总表'!E3,SUMIF(项目类型,C1,'数据-汇总表'!E17:E26))</f>
        <v>0</v>
      </c>
    </row>
    <row r="19" spans="1:36" ht="14.4">
      <c r="A19" s="1129" t="s">
        <v>806</v>
      </c>
      <c r="B19" s="2132" t="s">
        <v>807</v>
      </c>
      <c r="C19" s="2133">
        <f ca="1">SUMIF(INDIRECT("'"&amp;C4&amp;"'"&amp;"!A:A"),结果表101!B19,INDIRECT("'"&amp;C4&amp;"'"&amp;"!B:B"))</f>
        <v>469.93779999999998</v>
      </c>
      <c r="D19" s="1245">
        <f ca="1">SUMIF(INDIRECT("'"&amp;D4&amp;"'"&amp;"!A:A"),结果表101!B19,INDIRECT("'"&amp;D4&amp;"'"&amp;"!B:B"))</f>
        <v>435.89530000000002</v>
      </c>
      <c r="E19" s="1129" t="s">
        <v>808</v>
      </c>
      <c r="F19" s="2132" t="s">
        <v>807</v>
      </c>
      <c r="G19" s="2134">
        <f ca="1">ROUND(C19*$C$18+D19*$D$18,0)</f>
        <v>453</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SUMIF(INDIRECT("'"&amp;C4&amp;"'"&amp;"!A:A"),结果表101!B20,INDIRECT("'"&amp;C4&amp;"'"&amp;"!B:B"))</f>
        <v>35734</v>
      </c>
      <c r="D20" s="1602">
        <f ca="1">SUMIF(INDIRECT("'"&amp;D4&amp;"'"&amp;"!A:A"),结果表101!B20,INDIRECT("'"&amp;D4&amp;"'"&amp;"!B:B"))</f>
        <v>33145</v>
      </c>
      <c r="E20" s="2136"/>
      <c r="F20" s="2137" t="s">
        <v>810</v>
      </c>
      <c r="G20" s="2138">
        <f ca="1">ROUND(C20*$C$18+D20*$D$18,0)</f>
        <v>34440</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7.809788267962503E-2</v>
      </c>
      <c r="E22" s="1458"/>
      <c r="F22" s="1458"/>
      <c r="G22" s="1458"/>
      <c r="H22" s="1458"/>
      <c r="I22" s="1458"/>
    </row>
    <row r="23" spans="1:36" ht="13.2">
      <c r="A23" s="1998"/>
      <c r="B23" s="1998"/>
      <c r="C23" s="1998"/>
      <c r="D23" s="1998"/>
      <c r="E23" s="1458"/>
      <c r="F23" s="1458"/>
      <c r="G23" s="1458"/>
      <c r="H23" s="1458"/>
      <c r="I23" s="1458"/>
    </row>
    <row r="24" spans="1:36" ht="14.4">
      <c r="A24" s="3374" t="s">
        <v>814</v>
      </c>
      <c r="B24" s="2132" t="s">
        <v>807</v>
      </c>
      <c r="C24" s="2134">
        <f>IF(B30=0,0,D30)</f>
        <v>0</v>
      </c>
      <c r="D24" s="2148"/>
      <c r="E24" s="1458"/>
      <c r="F24" s="1458"/>
      <c r="G24" s="1458"/>
      <c r="H24" s="1458"/>
      <c r="I24" s="1458"/>
    </row>
    <row r="25" spans="1:36" ht="14.4">
      <c r="A25" s="3375"/>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34440</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28275</v>
      </c>
      <c r="D34" s="2169">
        <f ca="1">IF(C33="自定义",ROUND(C34/C32,3),IF(C33="收益比率",SUMIF(INDIRECT("'"&amp;D33&amp;"'"&amp;"!b:b"),"土地收益比率",INDIRECT("'"&amp;D33&amp;"'"&amp;"!c:c")),SUMIF(INDIRECT("'"&amp;D33&amp;"'"&amp;"!b:b"),"土地成本比率",INDIRECT("'"&amp;D33&amp;"'"&amp;"!c:c"))))</f>
        <v>0.82099999999999995</v>
      </c>
      <c r="E34" s="2170" t="s">
        <v>827</v>
      </c>
      <c r="F34" s="2171"/>
      <c r="G34" s="1458"/>
      <c r="H34" s="1458"/>
      <c r="I34" s="1458"/>
    </row>
    <row r="35" spans="1:15" ht="14.4">
      <c r="A35" s="2172"/>
      <c r="B35" s="2173" t="s">
        <v>828</v>
      </c>
      <c r="C35" s="2174">
        <f ca="1">IF(C33="自定义",F35,ROUND(C32*D35,0))</f>
        <v>6165</v>
      </c>
      <c r="D35" s="2175">
        <f ca="1">IF(C33="自定义",ROUND(C35/C32,3),IF(C33="收益比率",SUMIF(INDIRECT("'"&amp;D33&amp;"'"&amp;"!b:b"),"建筑物收益比率",INDIRECT("'"&amp;D33&amp;"'"&amp;"!c:c")),SUMIF(INDIRECT("'"&amp;D33&amp;"'"&amp;"!b:b"),"建筑物成本比率",INDIRECT("'"&amp;D33&amp;"'"&amp;"!c:c"))))</f>
        <v>0.17899999999999999</v>
      </c>
      <c r="E35" s="2176" t="s">
        <v>829</v>
      </c>
      <c r="F35" s="2177"/>
      <c r="G35" s="1458"/>
      <c r="H35" s="1458"/>
      <c r="I35" s="1458"/>
    </row>
    <row r="36" spans="1:15" ht="14.4">
      <c r="A36" s="3376" t="s">
        <v>830</v>
      </c>
      <c r="B36" s="2178" t="s">
        <v>831</v>
      </c>
      <c r="C36" s="2179"/>
      <c r="D36" s="2180"/>
      <c r="E36" s="2181"/>
      <c r="F36" s="2182"/>
      <c r="G36" s="1458"/>
      <c r="H36" s="1458"/>
      <c r="I36" s="1458"/>
    </row>
    <row r="37" spans="1:15" ht="14.4">
      <c r="A37" s="3377"/>
      <c r="B37" s="2183" t="s">
        <v>832</v>
      </c>
      <c r="C37" s="2184"/>
      <c r="D37" s="2185"/>
      <c r="E37" s="2185"/>
      <c r="F37" s="2182"/>
      <c r="G37" s="1458"/>
      <c r="H37" s="1458"/>
      <c r="I37" s="1458"/>
    </row>
    <row r="38" spans="1:15" ht="14.4">
      <c r="A38" s="3378"/>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03" t="s">
        <v>841</v>
      </c>
      <c r="B45" s="3304"/>
      <c r="C45" s="3305"/>
      <c r="D45" s="2204">
        <f ca="1">ROUND(H101*F45,4)</f>
        <v>0</v>
      </c>
      <c r="E45" s="2205" t="s">
        <v>842</v>
      </c>
      <c r="F45" s="2206">
        <v>1</v>
      </c>
      <c r="G45" s="1865" t="s">
        <v>843</v>
      </c>
      <c r="H45" s="1458"/>
      <c r="I45" s="1458"/>
      <c r="J45" s="3306" t="s">
        <v>844</v>
      </c>
      <c r="K45" s="3306"/>
      <c r="L45" s="3306"/>
      <c r="M45" s="3306"/>
      <c r="N45" s="3306"/>
      <c r="O45" s="3306"/>
    </row>
    <row r="46" spans="1:15" ht="14.25" customHeight="1">
      <c r="A46" s="3307" t="s">
        <v>845</v>
      </c>
      <c r="B46" s="3308"/>
      <c r="C46" s="3308"/>
      <c r="D46" s="3308"/>
      <c r="E46" s="3308"/>
      <c r="F46" s="3308"/>
      <c r="G46" s="3309"/>
      <c r="H46" s="2207"/>
      <c r="I46" s="1459"/>
      <c r="J46" s="576">
        <v>1</v>
      </c>
      <c r="K46" s="3310" t="s">
        <v>846</v>
      </c>
      <c r="L46" s="3310"/>
      <c r="M46" s="3311"/>
      <c r="N46" s="3311"/>
      <c r="O46" s="3311"/>
    </row>
    <row r="47" spans="1:15" ht="12" customHeight="1">
      <c r="A47" s="2208" t="s">
        <v>847</v>
      </c>
      <c r="B47" s="2209"/>
      <c r="C47" s="2210"/>
      <c r="D47" s="1904" t="s">
        <v>848</v>
      </c>
      <c r="E47" s="1855" t="s">
        <v>849</v>
      </c>
      <c r="F47" s="2211" t="s">
        <v>850</v>
      </c>
      <c r="G47" s="2212" t="s">
        <v>851</v>
      </c>
      <c r="H47" s="2213"/>
      <c r="I47" s="1459"/>
      <c r="J47" s="576">
        <v>2</v>
      </c>
      <c r="K47" s="3310" t="s">
        <v>852</v>
      </c>
      <c r="L47" s="3310"/>
      <c r="M47" s="3316">
        <f>'数据-取费表'!B2</f>
        <v>45862</v>
      </c>
      <c r="N47" s="3316"/>
      <c r="O47" s="3316"/>
    </row>
    <row r="48" spans="1:15" ht="39.6">
      <c r="A48" s="3317" t="s">
        <v>853</v>
      </c>
      <c r="B48" s="3318"/>
      <c r="C48" s="3318"/>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0" t="s">
        <v>856</v>
      </c>
      <c r="L48" s="3310"/>
      <c r="M48" s="3319">
        <f ca="1">H101</f>
        <v>0</v>
      </c>
      <c r="N48" s="3319"/>
      <c r="O48" s="3319"/>
    </row>
    <row r="49" spans="1:35" ht="25.5" customHeight="1">
      <c r="A49" s="2214" t="s">
        <v>857</v>
      </c>
      <c r="B49" s="3320" t="s">
        <v>858</v>
      </c>
      <c r="C49" s="3320"/>
      <c r="D49" s="2218">
        <v>0</v>
      </c>
      <c r="E49" s="1914" t="s">
        <v>859</v>
      </c>
      <c r="F49" s="2219" t="s">
        <v>124</v>
      </c>
      <c r="G49" s="3326"/>
      <c r="H49" s="2220" t="s">
        <v>860</v>
      </c>
      <c r="I49" s="2255"/>
      <c r="J49" s="576">
        <v>4</v>
      </c>
      <c r="K49" s="3310" t="str">
        <f>IF(项目基本情况!E8="房地产抵押价值","房地产抵押价值","抵押担保权已注销时的房地产抵押价值")</f>
        <v>房地产抵押价值</v>
      </c>
      <c r="L49" s="3310"/>
      <c r="M49" s="3319">
        <f ca="1">IF(项目基本情况!E8="房地产抵押价值",H107,H109)</f>
        <v>0</v>
      </c>
      <c r="N49" s="3319"/>
      <c r="O49" s="3319"/>
    </row>
    <row r="50" spans="1:35" ht="25.5" customHeight="1">
      <c r="A50" s="2221"/>
      <c r="B50" s="3320" t="s">
        <v>861</v>
      </c>
      <c r="C50" s="3320"/>
      <c r="D50" s="2222"/>
      <c r="E50" s="1929"/>
      <c r="F50" s="2219"/>
      <c r="G50" s="3327"/>
      <c r="H50" s="2223" t="s">
        <v>862</v>
      </c>
      <c r="I50" s="2255"/>
      <c r="J50" s="3306" t="s">
        <v>863</v>
      </c>
      <c r="K50" s="3306"/>
      <c r="L50" s="3306"/>
      <c r="M50" s="3306"/>
      <c r="N50" s="3306"/>
      <c r="O50" s="3306"/>
      <c r="P50" s="1522" t="s">
        <v>2868</v>
      </c>
      <c r="Q50" s="3197">
        <v>0.03</v>
      </c>
    </row>
    <row r="51" spans="1:35" ht="20.399999999999999" customHeight="1">
      <c r="A51" s="2224"/>
      <c r="B51" s="3320" t="s">
        <v>864</v>
      </c>
      <c r="C51" s="3320"/>
      <c r="D51" s="1904"/>
      <c r="E51" s="1918"/>
      <c r="F51" s="2219"/>
      <c r="G51" s="3328"/>
      <c r="H51" s="2223" t="s">
        <v>865</v>
      </c>
      <c r="I51" s="2255"/>
      <c r="J51" s="2254" t="s">
        <v>866</v>
      </c>
      <c r="K51" s="3310" t="s">
        <v>867</v>
      </c>
      <c r="L51" s="3310"/>
      <c r="M51" s="2254" t="s">
        <v>868</v>
      </c>
      <c r="N51" s="2254" t="s">
        <v>869</v>
      </c>
      <c r="O51" s="2254" t="s">
        <v>870</v>
      </c>
      <c r="P51" s="1522" t="s">
        <v>2869</v>
      </c>
      <c r="Q51" s="1417">
        <f ca="1">ROUND(M49*S51,4)</f>
        <v>0</v>
      </c>
      <c r="R51" s="1417" t="str">
        <f>N53</f>
        <v>销售额×税（费）率</v>
      </c>
      <c r="S51" s="3197">
        <v>0.01</v>
      </c>
    </row>
    <row r="52" spans="1:35" ht="24" customHeight="1">
      <c r="A52" s="2225" t="s">
        <v>871</v>
      </c>
      <c r="B52" s="3320" t="s">
        <v>872</v>
      </c>
      <c r="C52" s="3320"/>
      <c r="D52" s="1904">
        <f ca="1">ROUND(D45*'数据-取费表'!B41/(1+'数据-取费表'!C42),0)</f>
        <v>0</v>
      </c>
      <c r="E52" s="1908" t="s">
        <v>873</v>
      </c>
      <c r="F52" s="2226">
        <f>'数据-取费表'!B41</f>
        <v>5.5000000000000007E-2</v>
      </c>
      <c r="G52" s="2227"/>
      <c r="H52" s="2019"/>
      <c r="I52" s="2256"/>
      <c r="J52" s="576">
        <v>1</v>
      </c>
      <c r="K52" s="3322" t="s">
        <v>874</v>
      </c>
      <c r="L52" s="3322"/>
      <c r="M52" s="2257">
        <f ca="1">D48</f>
        <v>0</v>
      </c>
      <c r="N52" s="576" t="str">
        <f>E48</f>
        <v>(销售额-原购置价)×税（费）率</v>
      </c>
      <c r="O52" s="2258">
        <f>F48</f>
        <v>5.5000000000000007E-2</v>
      </c>
      <c r="P52" s="3198" t="s">
        <v>2870</v>
      </c>
      <c r="Q52" s="3198" t="s">
        <v>2871</v>
      </c>
      <c r="R52" s="3199"/>
    </row>
    <row r="53" spans="1:35" ht="12" customHeight="1">
      <c r="A53" s="2225" t="s">
        <v>875</v>
      </c>
      <c r="B53" s="3323" t="s">
        <v>876</v>
      </c>
      <c r="C53" s="3324"/>
      <c r="D53" s="1904">
        <f ca="1">ROUND(D45*'数据-取费表'!B41/(1+'数据-取费表'!C42),0)</f>
        <v>0</v>
      </c>
      <c r="E53" s="1908" t="s">
        <v>873</v>
      </c>
      <c r="F53" s="2226">
        <f>'数据-取费表'!B41</f>
        <v>5.5000000000000007E-2</v>
      </c>
      <c r="G53" s="2227"/>
      <c r="H53" s="2019"/>
      <c r="I53" s="2256"/>
      <c r="J53" s="576">
        <v>2</v>
      </c>
      <c r="K53" s="3322" t="s">
        <v>877</v>
      </c>
      <c r="L53" s="3322"/>
      <c r="M53" s="2257">
        <f t="shared" ref="M53:O54" ca="1" si="0">D55</f>
        <v>0</v>
      </c>
      <c r="N53" s="576" t="str">
        <f t="shared" si="0"/>
        <v>销售额×税（费）率</v>
      </c>
      <c r="O53" s="2258">
        <f t="shared" si="0"/>
        <v>5.0000000000000001E-4</v>
      </c>
      <c r="P53" s="3198" t="s">
        <v>2872</v>
      </c>
      <c r="Q53" s="3198" t="s">
        <v>2873</v>
      </c>
      <c r="R53" s="3200" t="s">
        <v>2874</v>
      </c>
    </row>
    <row r="54" spans="1:35" ht="12" customHeight="1">
      <c r="A54" s="2225" t="s">
        <v>878</v>
      </c>
      <c r="B54" s="3323" t="s">
        <v>879</v>
      </c>
      <c r="C54" s="3324"/>
      <c r="D54" s="1904">
        <f ca="1">C68</f>
        <v>0</v>
      </c>
      <c r="E54" s="1918" t="s">
        <v>880</v>
      </c>
      <c r="F54" s="2226">
        <f>'数据-取费表'!B41</f>
        <v>5.5000000000000007E-2</v>
      </c>
      <c r="G54" s="2227"/>
      <c r="H54" s="2228"/>
      <c r="I54" s="2256"/>
      <c r="J54" s="576">
        <v>3</v>
      </c>
      <c r="K54" s="3322" t="s">
        <v>881</v>
      </c>
      <c r="L54" s="3322"/>
      <c r="M54" s="2257">
        <f t="shared" ca="1" si="0"/>
        <v>0</v>
      </c>
      <c r="N54" s="576" t="str">
        <f t="shared" si="0"/>
        <v>增值额×税（费）率</v>
      </c>
      <c r="O54" s="2259" t="str">
        <f t="shared" si="0"/>
        <v>——</v>
      </c>
      <c r="P54" s="3201">
        <f ca="1">ROUND(M49*Q50,4)</f>
        <v>0</v>
      </c>
      <c r="Q54" s="3201">
        <f ca="1">P54+N57+Q51</f>
        <v>0</v>
      </c>
      <c r="R54" s="3199"/>
    </row>
    <row r="55" spans="1:35" ht="24" customHeight="1">
      <c r="A55" s="3325" t="s">
        <v>882</v>
      </c>
      <c r="B55" s="3318"/>
      <c r="C55" s="3318"/>
      <c r="D55" s="2229">
        <f ca="1">IF(H55="个人住宅",0,ROUND(D45*I55,4))</f>
        <v>0</v>
      </c>
      <c r="E55" s="1908" t="s">
        <v>883</v>
      </c>
      <c r="F55" s="2226">
        <f>IF(H55="正常",I55,"免征")</f>
        <v>5.0000000000000001E-4</v>
      </c>
      <c r="G55" s="2227"/>
      <c r="H55" s="2217" t="s">
        <v>884</v>
      </c>
      <c r="I55" s="2260">
        <f>'数据-取费表'!B49</f>
        <v>5.0000000000000001E-4</v>
      </c>
      <c r="J55" s="576" t="str">
        <f>IF(H59="非个人房产","",4)</f>
        <v/>
      </c>
      <c r="K55" s="3322" t="str">
        <f>IF(H59="非个人房产","——","个人所得税")</f>
        <v>——</v>
      </c>
      <c r="L55" s="3322"/>
      <c r="M55" s="2261" t="str">
        <f>D59</f>
        <v>——</v>
      </c>
      <c r="N55" s="557" t="str">
        <f>E59</f>
        <v>——</v>
      </c>
      <c r="O55" s="2262" t="str">
        <f>F59</f>
        <v>——</v>
      </c>
      <c r="P55" s="3201">
        <f ca="1">ROUND(M49-P54,0)</f>
        <v>0</v>
      </c>
      <c r="Q55" s="3201">
        <f ca="1">ROUND(M49-Q54,0)</f>
        <v>0</v>
      </c>
      <c r="R55" s="3199"/>
    </row>
    <row r="56" spans="1:35" ht="25.2">
      <c r="A56" s="3325" t="s">
        <v>885</v>
      </c>
      <c r="B56" s="3318"/>
      <c r="C56" s="3318"/>
      <c r="D56" s="2005">
        <f ca="1">IF(H56="个人住宅",D57,D58)</f>
        <v>0</v>
      </c>
      <c r="E56" s="1908" t="s">
        <v>886</v>
      </c>
      <c r="F56" s="2226" t="str">
        <f>IF(H56="正常",F58,"免征")</f>
        <v>——</v>
      </c>
      <c r="G56" s="2230" t="s">
        <v>887</v>
      </c>
      <c r="H56" s="2231" t="s">
        <v>884</v>
      </c>
      <c r="I56" s="2239"/>
      <c r="J56" s="576" t="str">
        <f>IF(项目基本情况!K6="上海银行",IF(J55="",4,J55+1),"")</f>
        <v/>
      </c>
      <c r="K56" s="3329" t="str">
        <f>IF(项目基本情况!K6="上海银行","其他处置费用","")</f>
        <v/>
      </c>
      <c r="L56" s="3330"/>
      <c r="M56" s="2257" t="str">
        <f>IF(项目基本情况!K6="上海银行",M69,"")</f>
        <v/>
      </c>
      <c r="N56" s="3329" t="str">
        <f>IF(项目基本情况!K6="上海银行","包含处置中涉及的律师、诉讼、拍卖、评估等费用","")</f>
        <v/>
      </c>
      <c r="O56" s="3331"/>
      <c r="P56" s="3201" t="e">
        <f ca="1">ROUND(P55/B118*10000,0)</f>
        <v>#DIV/0!</v>
      </c>
      <c r="Q56" s="3201" t="e">
        <f ca="1">ROUND(Q55/B118*10000,0)</f>
        <v>#DIV/0!</v>
      </c>
      <c r="R56" s="3199"/>
    </row>
    <row r="57" spans="1:35" ht="13.2">
      <c r="A57" s="2225" t="s">
        <v>857</v>
      </c>
      <c r="B57" s="3323" t="s">
        <v>888</v>
      </c>
      <c r="C57" s="3324"/>
      <c r="D57" s="2218">
        <v>0</v>
      </c>
      <c r="E57" s="1914" t="s">
        <v>859</v>
      </c>
      <c r="F57" s="1855"/>
      <c r="G57" s="2227"/>
      <c r="H57" s="2232"/>
      <c r="I57" s="2239"/>
      <c r="J57" s="3322">
        <f>IF(AND(J55="",J56=""),4,IF(项目基本情况!K6="上海银行",结果表101!J56+1,结果表101!J55+1))</f>
        <v>4</v>
      </c>
      <c r="K57" s="3322" t="s">
        <v>889</v>
      </c>
      <c r="L57" s="2264" t="s">
        <v>890</v>
      </c>
      <c r="M57" s="2265"/>
      <c r="N57" s="2266">
        <f ca="1">SUMIF(M52:M56,"&lt;9e307")</f>
        <v>0</v>
      </c>
      <c r="O57" s="2267"/>
      <c r="P57" s="2268" t="e">
        <f ca="1">N57/M49</f>
        <v>#DIV/0!</v>
      </c>
    </row>
    <row r="58" spans="1:35" ht="25.2">
      <c r="A58" s="2225" t="s">
        <v>871</v>
      </c>
      <c r="B58" s="3323" t="s">
        <v>891</v>
      </c>
      <c r="C58" s="3320"/>
      <c r="D58" s="2005">
        <f ca="1">IF(H58="转让取得",C81,C97)</f>
        <v>0</v>
      </c>
      <c r="E58" s="1908" t="s">
        <v>886</v>
      </c>
      <c r="F58" s="1855" t="s">
        <v>124</v>
      </c>
      <c r="G58" s="2227"/>
      <c r="H58" s="2231" t="s">
        <v>892</v>
      </c>
      <c r="I58" s="2239"/>
      <c r="J58" s="3322"/>
      <c r="K58" s="3322"/>
      <c r="L58" s="2264" t="s">
        <v>893</v>
      </c>
      <c r="M58" s="2269"/>
      <c r="N58" s="2270" t="str">
        <f ca="1">NUMBERSTRING(INT(N57*10000),2)&amp;"元整"</f>
        <v>零元整</v>
      </c>
      <c r="O58" s="2271"/>
    </row>
    <row r="59" spans="1:35" ht="24">
      <c r="A59" s="3332" t="s">
        <v>894</v>
      </c>
      <c r="B59" s="3333"/>
      <c r="C59" s="333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7">
        <f>J57+1</f>
        <v>5</v>
      </c>
      <c r="K59" s="3322" t="s">
        <v>896</v>
      </c>
      <c r="L59" s="576" t="s">
        <v>890</v>
      </c>
      <c r="M59" s="2273"/>
      <c r="N59" s="2274">
        <f ca="1">M49-N57</f>
        <v>0</v>
      </c>
      <c r="O59" s="2275"/>
    </row>
    <row r="60" spans="1:35" ht="12" customHeight="1">
      <c r="A60" s="2237"/>
      <c r="B60" s="1998"/>
      <c r="C60" s="1998"/>
      <c r="D60" s="1998"/>
      <c r="E60" s="2238"/>
      <c r="F60" s="2239"/>
      <c r="G60" s="2239"/>
      <c r="H60" s="1459"/>
      <c r="I60" s="1458"/>
      <c r="J60" s="3338"/>
      <c r="K60" s="3322"/>
      <c r="L60" s="2264" t="s">
        <v>893</v>
      </c>
      <c r="M60" s="2269"/>
      <c r="N60" s="2270" t="str">
        <f ca="1">NUMBERSTRING(INT(N59*10000),2)&amp;"元整"</f>
        <v>零元整</v>
      </c>
      <c r="O60" s="2271"/>
    </row>
    <row r="61" spans="1:35" ht="13.2">
      <c r="A61" s="3334" t="s">
        <v>897</v>
      </c>
      <c r="B61" s="3334"/>
      <c r="C61" s="3334"/>
      <c r="D61" s="3334"/>
      <c r="E61" s="3334"/>
      <c r="F61" s="2239"/>
      <c r="G61" s="2239"/>
      <c r="H61" s="1459"/>
      <c r="I61" s="1458"/>
      <c r="J61" s="576">
        <f>J59+1</f>
        <v>6</v>
      </c>
      <c r="K61" s="3322" t="s">
        <v>898</v>
      </c>
      <c r="L61" s="3322"/>
      <c r="M61" s="2276"/>
      <c r="N61" s="2488">
        <f ca="1">ROUND(N59*10000/'数据-汇总表'!E3,0)</f>
        <v>0</v>
      </c>
      <c r="O61" s="2277"/>
    </row>
    <row r="62" spans="1:35" ht="13.2">
      <c r="A62" s="3335" t="s">
        <v>899</v>
      </c>
      <c r="B62" s="3336"/>
      <c r="C62" s="528"/>
      <c r="D62" s="528" t="s">
        <v>900</v>
      </c>
      <c r="E62" s="2240" t="s">
        <v>851</v>
      </c>
      <c r="F62" s="2239"/>
      <c r="G62" s="2239"/>
      <c r="H62" s="1459"/>
      <c r="I62" s="1458"/>
    </row>
    <row r="63" spans="1:35" ht="13.2">
      <c r="A63" s="2241" t="s">
        <v>901</v>
      </c>
      <c r="B63" s="586" t="s">
        <v>902</v>
      </c>
      <c r="C63" s="2242">
        <f ca="1">ROUND((C64+C65)/(1+'数据-取费表'!C42),4)</f>
        <v>0</v>
      </c>
      <c r="D63" s="586"/>
      <c r="E63" s="2243"/>
      <c r="F63" s="2239"/>
      <c r="G63" s="2239"/>
      <c r="H63" s="1459"/>
      <c r="I63" s="1458"/>
      <c r="J63" s="3321" t="s">
        <v>903</v>
      </c>
      <c r="K63" s="2278" t="s">
        <v>904</v>
      </c>
      <c r="L63" s="2278">
        <f ca="1">IF(M49&gt;10000,M49*0.5%,IF(AND(M49&gt;1000,M49&lt;=10000),M49*1%,IF(AND(M49&gt;100,M49&lt;=1000),M49*3%,IF(AND(M49&gt;10,M49&lt;=100),M49*5%,M49*8%))))</f>
        <v>0</v>
      </c>
      <c r="M63" s="1855">
        <f ca="1">ROUND(L63,1)</f>
        <v>0</v>
      </c>
      <c r="N63" s="2279"/>
      <c r="Z63" s="2113"/>
      <c r="AI63" s="2114"/>
    </row>
    <row r="64" spans="1:35" ht="14.25" customHeight="1">
      <c r="A64" s="2244" t="s">
        <v>905</v>
      </c>
      <c r="B64" s="509" t="s">
        <v>906</v>
      </c>
      <c r="C64" s="2245">
        <f ca="1">D45</f>
        <v>0</v>
      </c>
      <c r="D64" s="509" t="s">
        <v>124</v>
      </c>
      <c r="E64" s="2246"/>
      <c r="F64" s="2239"/>
      <c r="G64" s="2239"/>
      <c r="H64" s="1459"/>
      <c r="I64" s="1458"/>
      <c r="J64" s="3321"/>
      <c r="K64" s="2278" t="s">
        <v>907</v>
      </c>
      <c r="L64" s="2278" t="b">
        <f ca="1">IF(M49&gt;2000,M49*0.5%,IF(AND(M49&gt;1000,M49&lt;=2000),M49*0.6%,IF(AND(M49&gt;500,M49&lt;=1000),M49*0.7%,IF(AND(M49&gt;200,M49&lt;=500),M49*0.8%,IF(AND(M49&gt;100,M49&lt;=200),M49*0.9%,IF(AND(M49&gt;50,M49&lt;=100),M49*1%,IF(AND(M49&gt;20,M49&lt;=50),M49*1.5%,IF(AND(M49&gt;10,M49&lt;=20),M49*2%,IF(AND(M49&gt;1,M49&lt;=10),M49*2.5%)))))))))</f>
        <v>0</v>
      </c>
      <c r="M64" s="1855">
        <f t="shared" ref="M64:M65" ca="1" si="1">ROUND(L64,1)</f>
        <v>0</v>
      </c>
      <c r="N64" s="2019" t="s">
        <v>908</v>
      </c>
      <c r="Z64" s="2113"/>
      <c r="AI64" s="2114"/>
    </row>
    <row r="65" spans="1:35" ht="14.25" customHeight="1">
      <c r="A65" s="2244" t="s">
        <v>909</v>
      </c>
      <c r="B65" s="509" t="s">
        <v>910</v>
      </c>
      <c r="C65" s="2281"/>
      <c r="D65" s="509"/>
      <c r="E65" s="2246"/>
      <c r="F65" s="2239"/>
      <c r="G65" s="2239"/>
      <c r="H65" s="1459"/>
      <c r="I65" s="1458"/>
      <c r="J65" s="3321"/>
      <c r="K65" s="2278" t="s">
        <v>911</v>
      </c>
      <c r="L65" s="2278" t="b">
        <f ca="1">IF(M49&gt;1000,M49*0.1%,IF(AND(M49&gt;500,M49&lt;=1000),M49*0.5%,IF(AND(M49&gt;50,M49&lt;=500),M49*1%,IF(AND(M49&gt;1,M49&lt;=50),M49*1.5%))))</f>
        <v>0</v>
      </c>
      <c r="M65" s="1855">
        <f t="shared" ca="1" si="1"/>
        <v>0</v>
      </c>
      <c r="N65" s="2019" t="s">
        <v>908</v>
      </c>
      <c r="Z65" s="2113"/>
      <c r="AI65" s="2114"/>
    </row>
    <row r="66" spans="1:35" ht="14.25" customHeight="1">
      <c r="A66" s="2241" t="s">
        <v>912</v>
      </c>
      <c r="B66" s="2282" t="s">
        <v>913</v>
      </c>
      <c r="C66" s="2283">
        <f>1098.38/1.05</f>
        <v>1046.0761904761905</v>
      </c>
      <c r="D66" s="2282" t="s">
        <v>124</v>
      </c>
      <c r="E66" s="2284" t="s">
        <v>914</v>
      </c>
      <c r="F66" s="2239"/>
      <c r="G66" s="2239"/>
      <c r="H66" s="1459"/>
      <c r="I66" s="1458"/>
      <c r="J66" s="3321"/>
      <c r="K66" s="2278" t="s">
        <v>915</v>
      </c>
      <c r="L66" s="2278">
        <f ca="1">M49*0.5%</f>
        <v>0</v>
      </c>
      <c r="M66" s="1855">
        <f ca="1">IF(L66&gt;0.5,0.5,ROUND(L66,0))</f>
        <v>0</v>
      </c>
      <c r="N66" s="2019" t="s">
        <v>916</v>
      </c>
      <c r="Z66" s="2113"/>
      <c r="AI66" s="2114"/>
    </row>
    <row r="67" spans="1:35" ht="14.25" customHeight="1">
      <c r="A67" s="2241" t="s">
        <v>917</v>
      </c>
      <c r="B67" s="2282" t="s">
        <v>918</v>
      </c>
      <c r="C67" s="2285">
        <f ca="1">C63-C66</f>
        <v>-1046.0761904761905</v>
      </c>
      <c r="D67" s="509" t="s">
        <v>124</v>
      </c>
      <c r="E67" s="2246"/>
      <c r="F67" s="2239"/>
      <c r="G67" s="2239"/>
      <c r="H67" s="1459"/>
      <c r="I67" s="1458"/>
      <c r="J67" s="3321"/>
      <c r="K67" s="2278" t="s">
        <v>919</v>
      </c>
      <c r="L67" s="2278" t="b">
        <f ca="1">IF(M49&gt;=10000,(8.25+(M49-10000)*0.01%),IF(AND(M49&gt;=8000,M49&lt;10000),(7.85+(M49-8000)*0.02%),IF(AND(M49&gt;=5000,M49&lt;8000),(6.65+(M49-5000)*0.04%),IF(AND(M49&gt;=2000,M49&lt;5000),(4.25+(PM49-2000)*0.08%),IF(AND(M49&gt;=1000,M49&lt;2000),(2.75+(M49-1000)*0.15%),IF(AND(M49&gt;=100,M49&lt;1000),(0.5+(M49-100)*0.25%),IF(AND(M49&gt;0,M49&lt;100),M49*0.5%)))))))</f>
        <v>0</v>
      </c>
      <c r="M67" s="1855">
        <f ca="1">ROUND(L67*0.9,1)</f>
        <v>0</v>
      </c>
      <c r="N67" s="2279"/>
      <c r="Z67" s="2113"/>
      <c r="AI67" s="2114"/>
    </row>
    <row r="68" spans="1:35" ht="14.25" customHeight="1">
      <c r="A68" s="2286" t="s">
        <v>920</v>
      </c>
      <c r="B68" s="2287" t="s">
        <v>921</v>
      </c>
      <c r="C68" s="2288">
        <f ca="1">IF(C67&lt;=0,0,ROUND(C67*D68,4))</f>
        <v>0</v>
      </c>
      <c r="D68" s="771">
        <f>'数据-取费表'!B41</f>
        <v>5.5000000000000007E-2</v>
      </c>
      <c r="E68" s="2289"/>
      <c r="F68" s="2239"/>
      <c r="G68" s="2239"/>
      <c r="H68" s="1459"/>
      <c r="I68" s="1458"/>
      <c r="J68" s="3321"/>
      <c r="K68" s="2278" t="s">
        <v>922</v>
      </c>
      <c r="L68" s="2278">
        <f ca="1">IF(M49&gt;10000,M49*0.5%,IF(AND(M49&gt;5000,M49&lt;=10000),M49*1%,IF(AND(M49&gt;1000,M49&lt;=5000),M49*2%,IF(AND(M49&gt;200,M49&lt;=1000),M49*3%,M49*5%))))</f>
        <v>0</v>
      </c>
      <c r="M68" s="1855">
        <f ca="1">ROUND(L68,1)</f>
        <v>0</v>
      </c>
      <c r="N68" s="2279"/>
      <c r="Z68" s="2113"/>
      <c r="AI68" s="2114"/>
    </row>
    <row r="69" spans="1:35" ht="16.5" customHeight="1">
      <c r="A69" s="2290"/>
      <c r="B69" s="2291"/>
      <c r="C69" s="2292"/>
      <c r="D69" s="693"/>
      <c r="E69" s="2293"/>
      <c r="F69" s="2238"/>
      <c r="G69" s="2238"/>
      <c r="H69" s="2198"/>
      <c r="I69" s="1998"/>
      <c r="J69" s="3321"/>
      <c r="K69" s="2278" t="s">
        <v>923</v>
      </c>
      <c r="L69" s="2278"/>
      <c r="M69" s="1855">
        <f ca="1">ROUND(SUM(M63:M68),0)</f>
        <v>0</v>
      </c>
      <c r="N69" s="2358" t="e">
        <f ca="1">M69/M49</f>
        <v>#DIV/0!</v>
      </c>
      <c r="Z69" s="2113"/>
      <c r="AI69" s="2114"/>
    </row>
    <row r="70" spans="1:35" s="886" customFormat="1" ht="13.8">
      <c r="A70" s="3359" t="s">
        <v>924</v>
      </c>
      <c r="B70" s="3360"/>
      <c r="C70" s="3360"/>
      <c r="D70" s="3360"/>
      <c r="E70" s="3360"/>
      <c r="F70" s="3360"/>
      <c r="G70" s="3360"/>
      <c r="H70" s="336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5" t="s">
        <v>899</v>
      </c>
      <c r="B71" s="3336"/>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1288.1679999999999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1288.1679999999999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1046.0761904761905</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261.51900000000001</v>
      </c>
      <c r="D76" s="2304">
        <v>0.05</v>
      </c>
      <c r="E76" s="3323" t="s">
        <v>935</v>
      </c>
      <c r="F76" s="3320"/>
      <c r="G76" s="3320"/>
      <c r="H76" s="3361"/>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30.385999999999999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v>
      </c>
      <c r="D78" s="2310">
        <f>'数据-取费表'!B43</f>
        <v>5.000000000000001E-3</v>
      </c>
      <c r="E78" s="3362" t="s">
        <v>941</v>
      </c>
      <c r="F78" s="3363"/>
      <c r="G78" s="3363"/>
      <c r="H78" s="336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-1288.1679999999999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59" t="s">
        <v>946</v>
      </c>
      <c r="B83" s="3360"/>
      <c r="C83" s="3360"/>
      <c r="D83" s="3360"/>
      <c r="E83" s="3360"/>
      <c r="F83" s="3360"/>
      <c r="G83" s="3360"/>
      <c r="H83" s="336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5" t="s">
        <v>899</v>
      </c>
      <c r="B84" s="3336"/>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1" t="s">
        <v>954</v>
      </c>
      <c r="H90" s="3372"/>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2" t="s">
        <v>958</v>
      </c>
      <c r="F91" s="3363"/>
      <c r="G91" s="336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2" t="s">
        <v>961</v>
      </c>
      <c r="F92" s="3363"/>
      <c r="G92" s="3363"/>
      <c r="H92" s="336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0</v>
      </c>
      <c r="D93" s="2310">
        <f>'数据-取费表'!B43</f>
        <v>5.000000000000001E-3</v>
      </c>
      <c r="E93" s="3362" t="s">
        <v>941</v>
      </c>
      <c r="F93" s="3363"/>
      <c r="G93" s="3363"/>
      <c r="H93" s="336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4" t="s">
        <v>966</v>
      </c>
      <c r="F94" s="3385"/>
      <c r="G94" s="3385"/>
      <c r="H94" s="338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0</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0</v>
      </c>
      <c r="D96" s="509" t="s">
        <v>124</v>
      </c>
      <c r="E96" s="2005" t="str">
        <f ca="1">IF(C96&gt;=200%,"增值额超过扣除项目金额200%",IF(C96&gt;=100%,"增值额超过扣除项目金额100%，未超过200%",IF(C96&gt;=50%,"增值额超过扣除项目金额50%，未超过100%",IF(C96&lt;50%,"增值额未超过扣除项目金额50%"))))</f>
        <v>增值额未超过扣除项目金额50%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0</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5" t="s">
        <v>968</v>
      </c>
      <c r="B100" s="3286"/>
      <c r="C100" s="3286"/>
      <c r="D100" s="3347"/>
      <c r="E100" s="3286" t="s">
        <v>969</v>
      </c>
      <c r="F100" s="3286"/>
      <c r="G100" s="3286"/>
      <c r="H100" s="3347"/>
      <c r="I100" s="1458"/>
    </row>
    <row r="101" spans="1:35" ht="18.75" customHeight="1">
      <c r="A101" s="3348" t="s">
        <v>970</v>
      </c>
      <c r="B101" s="3349"/>
      <c r="C101" s="2334" t="str">
        <f>C4</f>
        <v>比较法-商业</v>
      </c>
      <c r="D101" s="2335" t="str">
        <f>D4</f>
        <v>收益法 (元)</v>
      </c>
      <c r="E101" s="3370" t="s">
        <v>971</v>
      </c>
      <c r="F101" s="3366"/>
      <c r="G101" s="2337" t="s">
        <v>972</v>
      </c>
      <c r="H101" s="2338">
        <f ca="1">H118</f>
        <v>0</v>
      </c>
      <c r="I101" s="1458"/>
    </row>
    <row r="102" spans="1:35" ht="18.75" customHeight="1">
      <c r="A102" s="3379" t="s">
        <v>973</v>
      </c>
      <c r="B102" s="2339" t="s">
        <v>972</v>
      </c>
      <c r="C102" s="2334">
        <f ca="1">IF(D32="楼面单价",ROUND(C19,0),C19)</f>
        <v>470</v>
      </c>
      <c r="D102" s="2335">
        <f ca="1">IF(D32="楼面单价",ROUND(D19,0),D19)</f>
        <v>436</v>
      </c>
      <c r="E102" s="3370"/>
      <c r="F102" s="3366"/>
      <c r="G102" s="2337" t="s">
        <v>99</v>
      </c>
      <c r="H102" s="2227">
        <f ca="1">I118</f>
        <v>34440</v>
      </c>
      <c r="I102" s="1458"/>
    </row>
    <row r="103" spans="1:35" ht="42.75" customHeight="1">
      <c r="A103" s="3379"/>
      <c r="B103" s="2339" t="s">
        <v>99</v>
      </c>
      <c r="C103" s="2340">
        <f ca="1">C20</f>
        <v>35734</v>
      </c>
      <c r="D103" s="2341">
        <f ca="1">D20</f>
        <v>33145</v>
      </c>
      <c r="E103" s="3350" t="s">
        <v>974</v>
      </c>
      <c r="F103" s="3351"/>
      <c r="G103" s="2342" t="s">
        <v>102</v>
      </c>
      <c r="H103" s="2338">
        <f>IF(D36="正常操作",H104+H105+H106,H105+H106)</f>
        <v>0</v>
      </c>
      <c r="I103" s="1458"/>
    </row>
    <row r="104" spans="1:35" ht="18.75" customHeight="1">
      <c r="A104" s="3379" t="s">
        <v>975</v>
      </c>
      <c r="B104" s="2343" t="s">
        <v>972</v>
      </c>
      <c r="C104" s="2344">
        <f ca="1">H118</f>
        <v>0</v>
      </c>
      <c r="D104" s="2345"/>
      <c r="E104" s="2183" t="s">
        <v>976</v>
      </c>
      <c r="F104" s="2346"/>
      <c r="G104" s="2342" t="s">
        <v>102</v>
      </c>
      <c r="H104" s="2347">
        <f>IF(D36="同一抵押权人同一抵押物续贷",C36&amp;"（续贷，未扣减，详见特别提示）",C36)</f>
        <v>0</v>
      </c>
      <c r="I104" s="1458"/>
    </row>
    <row r="105" spans="1:35" ht="18.75" customHeight="1">
      <c r="A105" s="3380"/>
      <c r="B105" s="2348" t="s">
        <v>99</v>
      </c>
      <c r="C105" s="2349">
        <f ca="1">I118</f>
        <v>34440</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5" t="str">
        <f>IF(项目基本情况!E8="已注销","——","3.房地产抵押价值")</f>
        <v>3.房地产抵押价值</v>
      </c>
      <c r="F107" s="3366"/>
      <c r="G107" s="2337" t="s">
        <v>972</v>
      </c>
      <c r="H107" s="2338">
        <f ca="1">IF(E107="——","——",H101-H103)</f>
        <v>0</v>
      </c>
      <c r="I107" s="1458"/>
    </row>
    <row r="108" spans="1:35" ht="18.75" customHeight="1">
      <c r="A108" s="1458"/>
      <c r="B108" s="1458"/>
      <c r="C108" s="1458"/>
      <c r="D108" s="1458"/>
      <c r="E108" s="3365"/>
      <c r="F108" s="3366"/>
      <c r="G108" s="2337" t="s">
        <v>99</v>
      </c>
      <c r="H108" s="2227">
        <f ca="1">IF(H107=H101,H102,ROUND(H107*10000/'数据-汇总表'!E3,0))</f>
        <v>34440</v>
      </c>
      <c r="I108" s="1458"/>
    </row>
    <row r="109" spans="1:35" ht="18.75" customHeight="1">
      <c r="A109" s="1458"/>
      <c r="B109" s="1458"/>
      <c r="C109" s="1458"/>
      <c r="D109" s="1458"/>
      <c r="E109" s="3365" t="str">
        <f>IF(项目基本情况!E8="已注销及未注销","4.抵押担保权已注销时的房地产抵押价值",IF(项目基本情况!E8="已注销","3.抵押担保权已注销时的房地产抵押价值","——"))</f>
        <v>——</v>
      </c>
      <c r="F109" s="3366"/>
      <c r="G109" s="2337" t="s">
        <v>972</v>
      </c>
      <c r="H109" s="2353" t="str">
        <f>IF(E109="——","——",H101-H105-H106)</f>
        <v>——</v>
      </c>
      <c r="I109" s="1458"/>
    </row>
    <row r="110" spans="1:35" ht="18.75" customHeight="1">
      <c r="A110" s="1458"/>
      <c r="B110" s="1458"/>
      <c r="C110" s="1458"/>
      <c r="D110" s="1458"/>
      <c r="E110" s="3365"/>
      <c r="F110" s="3366"/>
      <c r="G110" s="2337" t="s">
        <v>99</v>
      </c>
      <c r="H110" s="2227" t="str">
        <f>IF(H109="——","——",ROUND(H109*10000/'数据-汇总表'!E3,0))</f>
        <v>——</v>
      </c>
      <c r="I110" s="1458"/>
    </row>
    <row r="111" spans="1:35" ht="18.75" customHeight="1">
      <c r="A111" s="1458"/>
      <c r="B111" s="1458"/>
      <c r="C111" s="1458"/>
      <c r="D111" s="1458"/>
      <c r="E111" s="3367" t="str">
        <f>IF(项目基本情况!E9="抵押净值",IF(OR(项目基本情况!E8="已注销",项目基本情况!E8="房地产抵押价值"),"4.抵押净值","5.抵押净值"),"——")</f>
        <v>——</v>
      </c>
      <c r="F111" s="3339"/>
      <c r="G111" s="2337" t="s">
        <v>972</v>
      </c>
      <c r="H111" s="2338" t="str">
        <f>IF(E111="——","——",N59)</f>
        <v>——</v>
      </c>
      <c r="I111" s="1458"/>
    </row>
    <row r="112" spans="1:35" ht="18.75" customHeight="1">
      <c r="A112" s="1458"/>
      <c r="B112" s="1458"/>
      <c r="C112" s="1458"/>
      <c r="D112" s="1458"/>
      <c r="E112" s="3368"/>
      <c r="F112" s="3369"/>
      <c r="G112" s="2354" t="s">
        <v>99</v>
      </c>
      <c r="H112" s="2355" t="str">
        <f>IF(E111="——","——",N61)</f>
        <v>——</v>
      </c>
      <c r="I112" s="1458"/>
    </row>
    <row r="113" spans="1:27" ht="18.75" customHeight="1">
      <c r="A113" s="1458"/>
      <c r="B113" s="1458"/>
      <c r="C113" s="1458"/>
      <c r="D113" s="1458"/>
      <c r="E113" s="3352" t="s">
        <v>978</v>
      </c>
      <c r="F113" s="3352"/>
      <c r="G113" s="3352"/>
      <c r="H113" s="3352"/>
      <c r="I113" s="1458"/>
    </row>
    <row r="114" spans="1:27" ht="3.75" customHeight="1">
      <c r="A114" s="1998"/>
      <c r="B114" s="1998"/>
      <c r="C114" s="1998"/>
      <c r="D114" s="1998"/>
      <c r="E114" s="2237"/>
      <c r="F114" s="2237"/>
      <c r="G114" s="2237"/>
      <c r="H114" s="2237"/>
      <c r="I114" s="1998"/>
    </row>
    <row r="115" spans="1:27" ht="18.75" customHeight="1">
      <c r="A115" s="3353" t="s">
        <v>980</v>
      </c>
      <c r="B115" s="3354"/>
      <c r="C115" s="3354"/>
      <c r="D115" s="3354"/>
      <c r="E115" s="3354"/>
      <c r="F115" s="3354"/>
      <c r="G115" s="3354"/>
      <c r="H115" s="3354"/>
      <c r="I115" s="3355"/>
    </row>
    <row r="116" spans="1:27" ht="27" customHeight="1">
      <c r="A116" s="3343" t="s">
        <v>981</v>
      </c>
      <c r="B116" s="3382" t="s">
        <v>982</v>
      </c>
      <c r="C116" s="3382" t="s">
        <v>983</v>
      </c>
      <c r="D116" s="3356" t="s">
        <v>984</v>
      </c>
      <c r="E116" s="3357"/>
      <c r="F116" s="3358" t="s">
        <v>985</v>
      </c>
      <c r="G116" s="3358"/>
      <c r="H116" s="3343" t="s">
        <v>986</v>
      </c>
      <c r="I116" s="3343"/>
    </row>
    <row r="117" spans="1:27" ht="18.75" customHeight="1">
      <c r="A117" s="3343"/>
      <c r="B117" s="3383"/>
      <c r="C117" s="3383"/>
      <c r="D117" s="868" t="s">
        <v>987</v>
      </c>
      <c r="E117" s="868" t="s">
        <v>810</v>
      </c>
      <c r="F117" s="868" t="s">
        <v>987</v>
      </c>
      <c r="G117" s="868" t="s">
        <v>810</v>
      </c>
      <c r="H117" s="868" t="s">
        <v>987</v>
      </c>
      <c r="I117" s="868" t="s">
        <v>810</v>
      </c>
    </row>
    <row r="118" spans="1:27" ht="24.75" customHeight="1">
      <c r="A118" s="2356" t="str">
        <f>项目基本情况!S2</f>
        <v>北京市房地产</v>
      </c>
      <c r="B118" s="868">
        <f>M18</f>
        <v>0</v>
      </c>
      <c r="C118" s="868">
        <f>M19</f>
        <v>0</v>
      </c>
      <c r="D118" s="868">
        <f ca="1">ROUND(IF(D32="总价",C34,E118*B118/10000),0)</f>
        <v>0</v>
      </c>
      <c r="E118" s="868">
        <f ca="1">ROUND(IF(C33="自定义",IF(D32="楼面单价",C34,D118*10000/B118),I118-G118),0)</f>
        <v>28275</v>
      </c>
      <c r="F118" s="868">
        <f ca="1">ROUND(IF(D32="总价",C35,G118*B118/10000),0)</f>
        <v>0</v>
      </c>
      <c r="G118" s="868">
        <f ca="1">ROUND(IF(D32="楼面单价",C35,F118*10000/B118),0)</f>
        <v>6165</v>
      </c>
      <c r="H118" s="2357">
        <f ca="1">ROUND(IF(D32="总价",C32,I118*B118/10000),0)</f>
        <v>0</v>
      </c>
      <c r="I118" s="868">
        <f ca="1">ROUND(IF(D32="楼面单价",C32,H118*10000/B118),0)</f>
        <v>34440</v>
      </c>
    </row>
    <row r="119" spans="1:27" ht="18.75" customHeight="1">
      <c r="A119" s="3343" t="s">
        <v>988</v>
      </c>
      <c r="B119" s="3343"/>
      <c r="C119" s="3343"/>
      <c r="D119" s="3344" t="str">
        <f ca="1">NUMBERSTRING(INT(D118*10000),2)&amp;"元整"</f>
        <v>零元整</v>
      </c>
      <c r="E119" s="3346"/>
      <c r="F119" s="3344" t="str">
        <f ca="1">NUMBERSTRING(INT(F118*10000),2)&amp;"元整"</f>
        <v>零元整</v>
      </c>
      <c r="G119" s="3346"/>
      <c r="H119" s="3344" t="str">
        <f ca="1">NUMBERSTRING(INT(H118*10000),2)&amp;"元整"</f>
        <v>零元整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4" t="s">
        <v>988</v>
      </c>
      <c r="B121" s="3345"/>
      <c r="C121" s="3346"/>
      <c r="D121" s="3344" t="str">
        <f>IF(D120=0,"零元整",NUMBERSTRING(INT(D120*10000),2)&amp;"元整")</f>
        <v>零元整</v>
      </c>
      <c r="E121" s="3345"/>
      <c r="F121" s="3345"/>
      <c r="G121" s="3345"/>
      <c r="H121" s="3345"/>
      <c r="I121" s="3346"/>
      <c r="AA121" s="1417"/>
    </row>
    <row r="122" spans="1:27" ht="18.75" customHeight="1">
      <c r="A122" s="3339" t="str">
        <f>IF(项目基本情况!B9="房地产市场价值","",MID(E107,3,LEN(E107)-2))</f>
        <v>房地产抵押价值</v>
      </c>
      <c r="B122" s="3339"/>
      <c r="C122" s="3339"/>
      <c r="D122" s="3340">
        <f ca="1">H107</f>
        <v>0</v>
      </c>
      <c r="E122" s="3341"/>
      <c r="F122" s="3341"/>
      <c r="G122" s="3341"/>
      <c r="H122" s="3341"/>
      <c r="I122" s="3342"/>
      <c r="AA122" s="1417"/>
    </row>
    <row r="123" spans="1:27" ht="18.75" customHeight="1">
      <c r="A123" s="3343" t="s">
        <v>988</v>
      </c>
      <c r="B123" s="3343"/>
      <c r="C123" s="3343"/>
      <c r="D123" s="3344" t="str">
        <f ca="1">NUMBERSTRING(INT(D122*10000),2)&amp;"元整"</f>
        <v>零元整</v>
      </c>
      <c r="E123" s="3345"/>
      <c r="F123" s="3345"/>
      <c r="G123" s="3345"/>
      <c r="H123" s="3345"/>
      <c r="I123" s="3346"/>
      <c r="AA123" s="1417"/>
    </row>
    <row r="124" spans="1:27" ht="18.75" customHeight="1">
      <c r="A124" s="3339" t="str">
        <f>IF(项目基本情况!B9="房地产市场价值","",MID(E109,3,LEN(E109)-2))</f>
        <v/>
      </c>
      <c r="B124" s="3339"/>
      <c r="C124" s="3339"/>
      <c r="D124" s="3340" t="str">
        <f>H109</f>
        <v>——</v>
      </c>
      <c r="E124" s="3341"/>
      <c r="F124" s="3341"/>
      <c r="G124" s="3341"/>
      <c r="H124" s="3341"/>
      <c r="I124" s="3342"/>
      <c r="AA124" s="1417"/>
    </row>
    <row r="125" spans="1:27" ht="18.75" customHeight="1">
      <c r="A125" s="3343" t="s">
        <v>988</v>
      </c>
      <c r="B125" s="3343"/>
      <c r="C125" s="3343"/>
      <c r="D125" s="3344" t="e">
        <f>NUMBERSTRING(INT(D124*10000),2)&amp;"元整"</f>
        <v>#VALUE!</v>
      </c>
      <c r="E125" s="3345"/>
      <c r="F125" s="3345"/>
      <c r="G125" s="3345"/>
      <c r="H125" s="3345"/>
      <c r="I125" s="3346"/>
      <c r="AA125" s="1417"/>
    </row>
    <row r="126" spans="1:27" ht="18.75" customHeight="1">
      <c r="A126" s="3339" t="str">
        <f>IF(项目基本情况!B9="房地产市场价值","",MID(E111,3,LEN(E111)-2))</f>
        <v/>
      </c>
      <c r="B126" s="3339"/>
      <c r="C126" s="3339"/>
      <c r="D126" s="3340" t="str">
        <f>H111</f>
        <v>——</v>
      </c>
      <c r="E126" s="3341"/>
      <c r="F126" s="3341"/>
      <c r="G126" s="3341"/>
      <c r="H126" s="3341"/>
      <c r="I126" s="3342"/>
      <c r="AA126" s="1417"/>
    </row>
    <row r="127" spans="1:27" ht="18.75" customHeight="1">
      <c r="A127" s="3343" t="s">
        <v>988</v>
      </c>
      <c r="B127" s="3343"/>
      <c r="C127" s="3343"/>
      <c r="D127" s="3344" t="e">
        <f>NUMBERSTRING(INT(D126*10000),2)&amp;"元整"</f>
        <v>#VALUE!</v>
      </c>
      <c r="E127" s="3345"/>
      <c r="F127" s="3345"/>
      <c r="G127" s="3345"/>
      <c r="H127" s="3345"/>
      <c r="I127" s="3346"/>
      <c r="AA127" s="1417"/>
    </row>
    <row r="128" spans="1:27" ht="21.75" customHeight="1">
      <c r="A128" s="3373" t="s">
        <v>113</v>
      </c>
      <c r="B128" s="3373"/>
      <c r="C128" s="3373"/>
      <c r="D128" s="3373"/>
      <c r="E128" s="3373"/>
      <c r="F128" s="3373"/>
      <c r="G128" s="3373"/>
      <c r="H128" s="3373"/>
      <c r="I128" s="3373"/>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105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5119</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4</v>
      </c>
      <c r="D19" s="356">
        <f ca="1">D9+D10</f>
        <v>205.1</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1</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1</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5</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92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1065</v>
      </c>
    </row>
    <row r="35" spans="1:7" ht="13.5" customHeight="1">
      <c r="A35" s="386" t="s">
        <v>1008</v>
      </c>
      <c r="B35" s="359" t="s">
        <v>1066</v>
      </c>
      <c r="C35" s="364">
        <f ca="1">ROUND(C34*F35,0)</f>
        <v>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4</v>
      </c>
      <c r="D37" s="361">
        <f ca="1">D19</f>
        <v>205.1</v>
      </c>
      <c r="E37" s="399">
        <f>'数据-取费表'!B35</f>
        <v>200</v>
      </c>
      <c r="F37" s="408"/>
      <c r="G37" s="410" t="s">
        <v>1071</v>
      </c>
    </row>
    <row r="38" spans="1:7" ht="13.5" customHeight="1">
      <c r="A38" s="386" t="s">
        <v>1072</v>
      </c>
      <c r="B38" s="359" t="s">
        <v>937</v>
      </c>
      <c r="C38" s="364">
        <f ca="1">ROUND(C34*F38,0)</f>
        <v>2</v>
      </c>
      <c r="D38" s="364"/>
      <c r="E38" s="364"/>
      <c r="F38" s="408">
        <f>'数据-取费表'!B36</f>
        <v>0.02</v>
      </c>
      <c r="G38" s="363" t="s">
        <v>1067</v>
      </c>
    </row>
    <row r="39" spans="1:7" s="335" customFormat="1" ht="13.5" customHeight="1">
      <c r="A39" s="353" t="s">
        <v>1033</v>
      </c>
      <c r="B39" s="354" t="s">
        <v>1036</v>
      </c>
      <c r="C39" s="378">
        <f ca="1">ROUND(C33*F20,0)</f>
        <v>2</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3</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3</v>
      </c>
      <c r="D42" s="388"/>
      <c r="E42" s="388"/>
      <c r="F42" s="389"/>
      <c r="G42" s="3387" t="s">
        <v>1076</v>
      </c>
    </row>
    <row r="43" spans="1:7" ht="13.5" customHeight="1">
      <c r="A43" s="386" t="s">
        <v>1008</v>
      </c>
      <c r="B43" s="359" t="s">
        <v>1046</v>
      </c>
      <c r="C43" s="388">
        <f ca="1">ROUND(IF('数据-取费表'!B22&lt;=1,C39*F22*'数据-取费表'!B21/2,C39*(POWER((1+F22),'数据-取费表'!B21/2)-1)),0)</f>
        <v>0</v>
      </c>
      <c r="D43" s="388"/>
      <c r="E43" s="388"/>
      <c r="F43" s="389"/>
      <c r="G43" s="3388"/>
    </row>
    <row r="44" spans="1:7" ht="13.5" customHeight="1">
      <c r="A44" s="386" t="s">
        <v>1010</v>
      </c>
      <c r="B44" s="359" t="s">
        <v>1048</v>
      </c>
      <c r="C44" s="388">
        <f ca="1">ROUND(IF('数据-取费表'!B22&lt;=1,C40*F22*'数据-取费表'!B21/2,C40*(POWER((1+F22),'数据-取费表'!B21/2)-1)),4)</f>
        <v>5.9999999999999995E-4</v>
      </c>
      <c r="D44" s="388"/>
      <c r="E44" s="388"/>
      <c r="F44" s="389"/>
      <c r="G44" s="3389"/>
    </row>
    <row r="45" spans="1:7" s="335" customFormat="1" ht="13.5" customHeight="1">
      <c r="A45" s="353" t="s">
        <v>1042</v>
      </c>
      <c r="B45" s="394" t="s">
        <v>1053</v>
      </c>
      <c r="C45" s="395">
        <f ca="1">C46</f>
        <v>14</v>
      </c>
      <c r="D45" s="381">
        <f ca="1">C47</f>
        <v>3.0000000000000001E-3</v>
      </c>
      <c r="E45" s="382" t="s">
        <v>1074</v>
      </c>
      <c r="F45" s="396">
        <f ca="1">F27</f>
        <v>0.15</v>
      </c>
      <c r="G45" s="397" t="s">
        <v>1077</v>
      </c>
    </row>
    <row r="46" spans="1:7" s="335" customFormat="1" ht="13.5" customHeight="1">
      <c r="A46" s="386" t="s">
        <v>1006</v>
      </c>
      <c r="B46" s="398" t="s">
        <v>1078</v>
      </c>
      <c r="C46" s="399">
        <f ca="1">ROUND((C33+C39)*F27,0)</f>
        <v>14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120</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100</v>
      </c>
      <c r="D51" s="378"/>
      <c r="E51" s="378"/>
      <c r="F51" s="413"/>
      <c r="G51" s="383" t="s">
        <v>1088</v>
      </c>
    </row>
    <row r="52" spans="1:7" s="334" customFormat="1" ht="16.2">
      <c r="A52" s="414" t="s">
        <v>1089</v>
      </c>
      <c r="B52" s="415"/>
      <c r="C52" s="416">
        <f ca="1">C31+C51</f>
        <v>105</v>
      </c>
      <c r="D52" s="415"/>
      <c r="E52" s="415"/>
      <c r="F52" s="415"/>
      <c r="G52" s="417"/>
    </row>
    <row r="55" spans="1:7" ht="15">
      <c r="B55" s="418" t="s">
        <v>1090</v>
      </c>
      <c r="C55" s="419"/>
    </row>
    <row r="56" spans="1:7">
      <c r="B56" s="420" t="s">
        <v>1091</v>
      </c>
      <c r="C56" s="422">
        <f ca="1">1-C57</f>
        <v>4.8000000000000043E-2</v>
      </c>
    </row>
    <row r="57" spans="1:7">
      <c r="B57" s="420" t="s">
        <v>1092</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3" t="str">
        <f>项目基本情况!B1</f>
        <v>北京市房地产抵押价值预评估</v>
      </c>
      <c r="C37" s="3203"/>
      <c r="D37" s="3203"/>
      <c r="E37" s="3203"/>
      <c r="F37" s="3203"/>
      <c r="G37" s="3203"/>
      <c r="H37" s="3203"/>
      <c r="I37" s="3203"/>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-5</v>
      </c>
      <c r="C2" s="2409" t="s">
        <v>1094</v>
      </c>
      <c r="D2" s="2409"/>
      <c r="E2" s="2407"/>
      <c r="F2" s="2407"/>
      <c r="G2" s="2407"/>
      <c r="H2" s="2407"/>
      <c r="I2" s="2407"/>
      <c r="J2" s="2407"/>
      <c r="K2" s="2407"/>
    </row>
    <row r="3" spans="1:33" ht="18" customHeight="1">
      <c r="A3" s="348" t="s">
        <v>999</v>
      </c>
      <c r="B3" s="349">
        <f ca="1">ROUND(B2*10000/IF(C1="",'数据-汇总表'!E3,INDIRECT("'数据-取费表'!K"&amp;$K$1)),0)</f>
        <v>-244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205.1</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205.1</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4</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905</v>
      </c>
      <c r="B21" s="2439" t="s">
        <v>1125</v>
      </c>
      <c r="C21" s="2440">
        <f ca="1">C16+C17+C18</f>
        <v>4</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1</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1</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-5</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92" t="s">
        <v>1160</v>
      </c>
      <c r="C6" s="1853">
        <f ca="1">ROUND(F6*F8*F7*(1-F9)/10000,0)</f>
        <v>0</v>
      </c>
      <c r="D6" s="1854" t="s">
        <v>1161</v>
      </c>
      <c r="E6" s="1855" t="s">
        <v>1162</v>
      </c>
      <c r="F6" s="1856">
        <f ca="1">INDIRECT("'数据-取费表'!u"&amp;$G$1)</f>
        <v>0</v>
      </c>
      <c r="G6" s="714"/>
      <c r="H6" s="1852" t="s">
        <v>905</v>
      </c>
      <c r="I6" s="3392" t="s">
        <v>1160</v>
      </c>
      <c r="J6" s="1926">
        <f ca="1">ROUND(M6*M8*M7*(1-M9)/10000,0)</f>
        <v>0</v>
      </c>
      <c r="K6" s="1854" t="s">
        <v>1163</v>
      </c>
      <c r="L6" s="1855" t="s">
        <v>1162</v>
      </c>
      <c r="M6" s="1856">
        <f ca="1">INDIRECT("'数据-取费表'!z"&amp;$G$1)</f>
        <v>0</v>
      </c>
    </row>
    <row r="7" spans="1:37" ht="18" customHeight="1">
      <c r="A7" s="1857"/>
      <c r="B7" s="3393"/>
      <c r="C7" s="1858"/>
      <c r="D7" s="1859"/>
      <c r="E7" s="1860" t="s">
        <v>1164</v>
      </c>
      <c r="F7" s="1856">
        <f ca="1">IF(INDIRECT("'数据-取费表'!ah"&amp;$G$1)="",INDIRECT("'数据-取费表'!k"&amp;$G$1),INDIRECT("'数据-取费表'!ah"&amp;$G$1))</f>
        <v>0</v>
      </c>
      <c r="G7" s="714"/>
      <c r="H7" s="1861"/>
      <c r="I7" s="3393"/>
      <c r="J7" s="1862"/>
      <c r="K7" s="1859"/>
      <c r="L7" s="1855" t="s">
        <v>1164</v>
      </c>
      <c r="M7" s="1856">
        <f ca="1">F7</f>
        <v>0</v>
      </c>
    </row>
    <row r="8" spans="1:37" ht="18" customHeight="1">
      <c r="A8" s="1861"/>
      <c r="B8" s="3393"/>
      <c r="C8" s="1862"/>
      <c r="D8" s="1859"/>
      <c r="E8" s="1855" t="s">
        <v>1165</v>
      </c>
      <c r="F8" s="1856">
        <f ca="1">INDIRECT("'数据-取费表'!ai"&amp;$G$1)</f>
        <v>0</v>
      </c>
      <c r="G8" s="714"/>
      <c r="H8" s="1861"/>
      <c r="I8" s="3393"/>
      <c r="J8" s="1862"/>
      <c r="K8" s="1859"/>
      <c r="L8" s="1855" t="s">
        <v>1165</v>
      </c>
      <c r="M8" s="1856">
        <f ca="1">INDIRECT("'数据-取费表'!ai"&amp;$G$1)</f>
        <v>0</v>
      </c>
    </row>
    <row r="9" spans="1:37" ht="18" customHeight="1">
      <c r="A9" s="1861"/>
      <c r="B9" s="3394"/>
      <c r="C9" s="1862"/>
      <c r="D9" s="1859"/>
      <c r="E9" s="1855" t="s">
        <v>1166</v>
      </c>
      <c r="F9" s="1863">
        <f ca="1">INDIRECT("'数据-取费表'!w"&amp;$G$1)</f>
        <v>0</v>
      </c>
      <c r="G9" s="714"/>
      <c r="H9" s="1861"/>
      <c r="I9" s="3394"/>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90" t="s">
        <v>1284</v>
      </c>
      <c r="L53" s="3391"/>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30" t="s">
        <v>1352</v>
      </c>
      <c r="Q4" s="3431"/>
      <c r="R4" s="3436" t="s">
        <v>1348</v>
      </c>
      <c r="S4" s="3437"/>
      <c r="T4" s="3436" t="s">
        <v>1349</v>
      </c>
      <c r="U4" s="3437"/>
      <c r="V4" s="3442" t="s">
        <v>1350</v>
      </c>
      <c r="W4" s="3442"/>
      <c r="X4" s="2102"/>
      <c r="Y4" s="3436" t="s">
        <v>1352</v>
      </c>
      <c r="Z4" s="3437"/>
      <c r="AA4" s="3424" t="s">
        <v>1348</v>
      </c>
      <c r="AB4" s="3424" t="s">
        <v>1349</v>
      </c>
      <c r="AC4" s="3427" t="s">
        <v>1350</v>
      </c>
    </row>
    <row r="5" spans="1:29" ht="13.95" customHeight="1">
      <c r="A5" s="922"/>
      <c r="B5" s="923"/>
      <c r="C5" s="3399" t="s">
        <v>2790</v>
      </c>
      <c r="D5" s="3400"/>
      <c r="E5" s="3399" t="s">
        <v>2790</v>
      </c>
      <c r="F5" s="3400"/>
      <c r="G5" s="3399" t="s">
        <v>2790</v>
      </c>
      <c r="H5" s="3400"/>
      <c r="I5" s="3399" t="s">
        <v>2792</v>
      </c>
      <c r="J5" s="3400"/>
      <c r="K5" s="1064"/>
      <c r="L5" s="1065"/>
      <c r="M5" s="1015"/>
      <c r="N5" s="1015"/>
      <c r="O5" s="1015"/>
      <c r="P5" s="3432"/>
      <c r="Q5" s="3433"/>
      <c r="R5" s="3438"/>
      <c r="S5" s="3439"/>
      <c r="T5" s="3438"/>
      <c r="U5" s="3439"/>
      <c r="V5" s="3411"/>
      <c r="W5" s="3411"/>
      <c r="X5" s="1113"/>
      <c r="Y5" s="3438"/>
      <c r="Z5" s="3439"/>
      <c r="AA5" s="3425"/>
      <c r="AB5" s="3425"/>
      <c r="AC5" s="3428"/>
    </row>
    <row r="6" spans="1:29" ht="14.4">
      <c r="A6" s="924"/>
      <c r="B6" s="925"/>
      <c r="C6" s="3401" t="s">
        <v>1354</v>
      </c>
      <c r="D6" s="3402"/>
      <c r="E6" s="3403" t="s">
        <v>1354</v>
      </c>
      <c r="F6" s="3404"/>
      <c r="G6" s="3401" t="s">
        <v>1354</v>
      </c>
      <c r="H6" s="3402"/>
      <c r="I6" s="3401" t="s">
        <v>1354</v>
      </c>
      <c r="J6" s="3402"/>
      <c r="K6" s="1064" t="s">
        <v>1355</v>
      </c>
      <c r="L6" s="1065"/>
      <c r="M6" s="1015"/>
      <c r="N6" s="1015"/>
      <c r="O6" s="1015"/>
      <c r="P6" s="3434"/>
      <c r="Q6" s="3435"/>
      <c r="R6" s="3438"/>
      <c r="S6" s="3439"/>
      <c r="T6" s="3440"/>
      <c r="U6" s="3441"/>
      <c r="V6" s="3411"/>
      <c r="W6" s="3411"/>
      <c r="X6" s="1113"/>
      <c r="Y6" s="3440"/>
      <c r="Z6" s="3441"/>
      <c r="AA6" s="3426"/>
      <c r="AB6" s="3426"/>
      <c r="AC6" s="3429"/>
    </row>
    <row r="7" spans="1:29" s="899" customFormat="1" ht="14.4">
      <c r="A7" s="927" t="s">
        <v>1356</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05" t="s">
        <v>1357</v>
      </c>
      <c r="Q7" s="3406"/>
      <c r="R7" s="1114" t="s">
        <v>1358</v>
      </c>
      <c r="S7" s="1115">
        <f t="shared" ref="S7:S15" si="0">F7</f>
        <v>100</v>
      </c>
      <c r="T7" s="1114" t="s">
        <v>1358</v>
      </c>
      <c r="U7" s="1115">
        <f t="shared" ref="U7:U15" si="1">H7</f>
        <v>100</v>
      </c>
      <c r="V7" s="1114" t="s">
        <v>1358</v>
      </c>
      <c r="W7" s="1115">
        <f t="shared" ref="W7:W15" si="2">J7</f>
        <v>100</v>
      </c>
      <c r="X7" s="1116"/>
      <c r="Y7" s="3407" t="s">
        <v>1357</v>
      </c>
      <c r="Z7" s="3408"/>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05" t="s">
        <v>1361</v>
      </c>
      <c r="Q8" s="3408"/>
      <c r="R8" s="1114" t="s">
        <v>1358</v>
      </c>
      <c r="S8" s="1115">
        <f t="shared" si="0"/>
        <v>103</v>
      </c>
      <c r="T8" s="1114" t="s">
        <v>1358</v>
      </c>
      <c r="U8" s="1115">
        <f t="shared" si="1"/>
        <v>103</v>
      </c>
      <c r="V8" s="1114" t="s">
        <v>1358</v>
      </c>
      <c r="W8" s="1115">
        <f t="shared" si="2"/>
        <v>103</v>
      </c>
      <c r="X8" s="1116"/>
      <c r="Y8" s="3407" t="s">
        <v>1361</v>
      </c>
      <c r="Z8" s="3408"/>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9"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9"/>
      <c r="Q10" s="790" t="str">
        <f t="shared" si="6"/>
        <v>土地使用年限（年）</v>
      </c>
      <c r="R10" s="1114" t="s">
        <v>1358</v>
      </c>
      <c r="S10" s="1115">
        <f t="shared" si="0"/>
        <v>100</v>
      </c>
      <c r="T10" s="1114" t="s">
        <v>1358</v>
      </c>
      <c r="U10" s="1115">
        <f t="shared" si="1"/>
        <v>100</v>
      </c>
      <c r="V10" s="1114" t="s">
        <v>1358</v>
      </c>
      <c r="W10" s="1115">
        <f t="shared" si="2"/>
        <v>100</v>
      </c>
      <c r="X10" s="1116"/>
      <c r="Y10" s="3381"/>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9"/>
      <c r="Q11" s="790" t="str">
        <f t="shared" si="6"/>
        <v>容积率</v>
      </c>
      <c r="R11" s="1114" t="s">
        <v>1358</v>
      </c>
      <c r="S11" s="1115">
        <f t="shared" si="0"/>
        <v>100</v>
      </c>
      <c r="T11" s="1114" t="s">
        <v>1358</v>
      </c>
      <c r="U11" s="1115">
        <f t="shared" si="1"/>
        <v>100</v>
      </c>
      <c r="V11" s="1114" t="s">
        <v>1358</v>
      </c>
      <c r="W11" s="1115">
        <f t="shared" si="2"/>
        <v>100</v>
      </c>
      <c r="X11" s="1116"/>
      <c r="Y11" s="3381"/>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9"/>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2" t="s">
        <v>1370</v>
      </c>
      <c r="Q15" s="621" t="str">
        <f t="shared" si="6"/>
        <v>办公集聚程度</v>
      </c>
      <c r="R15" s="1118" t="s">
        <v>1358</v>
      </c>
      <c r="S15" s="1119">
        <f t="shared" si="0"/>
        <v>100</v>
      </c>
      <c r="T15" s="1118" t="s">
        <v>1358</v>
      </c>
      <c r="U15" s="1119">
        <f t="shared" si="1"/>
        <v>100</v>
      </c>
      <c r="V15" s="1118" t="s">
        <v>1358</v>
      </c>
      <c r="W15" s="1119">
        <f t="shared" si="2"/>
        <v>100</v>
      </c>
      <c r="X15" s="1113"/>
      <c r="Y15" s="3417"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13"/>
      <c r="Q16" s="621"/>
      <c r="R16" s="1118"/>
      <c r="S16" s="1119"/>
      <c r="T16" s="1118"/>
      <c r="U16" s="1119"/>
      <c r="V16" s="1118"/>
      <c r="W16" s="1119"/>
      <c r="X16" s="1113"/>
      <c r="Y16" s="3418"/>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3"/>
      <c r="Q17" s="621" t="str">
        <f>B17</f>
        <v>交通便捷度</v>
      </c>
      <c r="R17" s="1118" t="s">
        <v>1358</v>
      </c>
      <c r="S17" s="1119">
        <f>F17</f>
        <v>100</v>
      </c>
      <c r="T17" s="1118" t="s">
        <v>1358</v>
      </c>
      <c r="U17" s="1119">
        <f>H17</f>
        <v>100</v>
      </c>
      <c r="V17" s="1118" t="s">
        <v>1358</v>
      </c>
      <c r="W17" s="1119">
        <f>J17</f>
        <v>100</v>
      </c>
      <c r="X17" s="1113"/>
      <c r="Y17" s="3418"/>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13"/>
      <c r="Q18" s="621"/>
      <c r="R18" s="1118"/>
      <c r="S18" s="1119"/>
      <c r="T18" s="1118"/>
      <c r="U18" s="1119"/>
      <c r="V18" s="1118"/>
      <c r="W18" s="1119"/>
      <c r="X18" s="1113"/>
      <c r="Y18" s="3418"/>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3"/>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13"/>
      <c r="Q20" s="621"/>
      <c r="R20" s="1118"/>
      <c r="S20" s="1119"/>
      <c r="T20" s="1118"/>
      <c r="U20" s="1119"/>
      <c r="V20" s="1118"/>
      <c r="W20" s="1119"/>
      <c r="X20" s="1113"/>
      <c r="Y20" s="3418"/>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3"/>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3"/>
      <c r="Q22" s="621"/>
      <c r="R22" s="1118"/>
      <c r="S22" s="1119"/>
      <c r="T22" s="1118"/>
      <c r="U22" s="1119"/>
      <c r="V22" s="1118"/>
      <c r="W22" s="1119"/>
      <c r="X22" s="1113"/>
      <c r="Y22" s="3418"/>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3"/>
      <c r="Q23" s="621" t="str">
        <f>B23</f>
        <v>环境质量</v>
      </c>
      <c r="R23" s="1118" t="s">
        <v>1358</v>
      </c>
      <c r="S23" s="1119">
        <f>F23</f>
        <v>100</v>
      </c>
      <c r="T23" s="1118" t="s">
        <v>1358</v>
      </c>
      <c r="U23" s="1119">
        <f>H23</f>
        <v>100</v>
      </c>
      <c r="V23" s="1118" t="s">
        <v>1358</v>
      </c>
      <c r="W23" s="1119">
        <f>J23</f>
        <v>100</v>
      </c>
      <c r="X23" s="1113"/>
      <c r="Y23" s="3418"/>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13"/>
      <c r="Q24" s="621"/>
      <c r="R24" s="1118"/>
      <c r="S24" s="1119"/>
      <c r="T24" s="1118"/>
      <c r="U24" s="1119"/>
      <c r="V24" s="1118"/>
      <c r="W24" s="1119"/>
      <c r="X24" s="1113"/>
      <c r="Y24" s="3418"/>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3"/>
      <c r="Q25" s="621" t="str">
        <f>B25</f>
        <v>毗邻道路的类型与等级</v>
      </c>
      <c r="R25" s="1118" t="s">
        <v>1358</v>
      </c>
      <c r="S25" s="1119">
        <f>F25</f>
        <v>100</v>
      </c>
      <c r="T25" s="1118" t="s">
        <v>1358</v>
      </c>
      <c r="U25" s="1119">
        <f>H25</f>
        <v>100</v>
      </c>
      <c r="V25" s="1118" t="s">
        <v>1358</v>
      </c>
      <c r="W25" s="1119">
        <f>J25</f>
        <v>100</v>
      </c>
      <c r="X25" s="1113"/>
      <c r="Y25" s="3418"/>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3"/>
      <c r="Q26" s="621"/>
      <c r="R26" s="1118"/>
      <c r="S26" s="1119"/>
      <c r="T26" s="1118"/>
      <c r="U26" s="1119"/>
      <c r="V26" s="1118"/>
      <c r="W26" s="1119"/>
      <c r="X26" s="1113"/>
      <c r="Y26" s="3418"/>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13"/>
      <c r="Q27" s="621" t="str">
        <f t="shared" ref="Q27:Q47" si="11">B27</f>
        <v>楼层</v>
      </c>
      <c r="R27" s="1118" t="s">
        <v>1358</v>
      </c>
      <c r="S27" s="1119">
        <f>F27</f>
        <v>100</v>
      </c>
      <c r="T27" s="1118" t="s">
        <v>1358</v>
      </c>
      <c r="U27" s="1119">
        <f>H27</f>
        <v>100</v>
      </c>
      <c r="V27" s="1118" t="s">
        <v>1358</v>
      </c>
      <c r="W27" s="1119">
        <f>J27</f>
        <v>97</v>
      </c>
      <c r="X27" s="1113"/>
      <c r="Y27" s="3418"/>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3"/>
      <c r="Q28" s="790" t="str">
        <f t="shared" si="11"/>
        <v>朝向</v>
      </c>
      <c r="R28" s="1114" t="s">
        <v>1358</v>
      </c>
      <c r="S28" s="1115">
        <f>F28</f>
        <v>100</v>
      </c>
      <c r="T28" s="1114" t="s">
        <v>1358</v>
      </c>
      <c r="U28" s="1115">
        <f>H28</f>
        <v>100</v>
      </c>
      <c r="V28" s="1114" t="s">
        <v>1358</v>
      </c>
      <c r="W28" s="1115">
        <f>J28</f>
        <v>100</v>
      </c>
      <c r="X28" s="1116"/>
      <c r="Y28" s="3418"/>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3"/>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18"/>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3"/>
      <c r="Q30" s="621">
        <f t="shared" si="11"/>
        <v>111</v>
      </c>
      <c r="R30" s="1118" t="s">
        <v>1358</v>
      </c>
      <c r="S30" s="1119">
        <f t="shared" si="12"/>
        <v>100</v>
      </c>
      <c r="T30" s="1118" t="s">
        <v>1358</v>
      </c>
      <c r="U30" s="1119">
        <f t="shared" si="13"/>
        <v>100</v>
      </c>
      <c r="V30" s="1118" t="s">
        <v>1358</v>
      </c>
      <c r="W30" s="1119">
        <f t="shared" si="14"/>
        <v>100</v>
      </c>
      <c r="X30" s="1113"/>
      <c r="Y30" s="3418"/>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3"/>
      <c r="Q31" s="621">
        <f t="shared" si="11"/>
        <v>111</v>
      </c>
      <c r="R31" s="1118" t="s">
        <v>1358</v>
      </c>
      <c r="S31" s="1119">
        <f t="shared" si="12"/>
        <v>100</v>
      </c>
      <c r="T31" s="1118" t="s">
        <v>1358</v>
      </c>
      <c r="U31" s="1119">
        <f t="shared" si="13"/>
        <v>100</v>
      </c>
      <c r="V31" s="1118" t="s">
        <v>1358</v>
      </c>
      <c r="W31" s="1119">
        <f t="shared" si="14"/>
        <v>100</v>
      </c>
      <c r="X31" s="1113"/>
      <c r="Y31" s="3418"/>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3"/>
      <c r="Q32" s="621">
        <f t="shared" si="11"/>
        <v>111</v>
      </c>
      <c r="R32" s="1118" t="s">
        <v>1358</v>
      </c>
      <c r="S32" s="1119">
        <f t="shared" si="12"/>
        <v>100</v>
      </c>
      <c r="T32" s="1118" t="s">
        <v>1358</v>
      </c>
      <c r="U32" s="1119">
        <f t="shared" si="13"/>
        <v>100</v>
      </c>
      <c r="V32" s="1118" t="s">
        <v>1358</v>
      </c>
      <c r="W32" s="1119">
        <f t="shared" si="14"/>
        <v>100</v>
      </c>
      <c r="X32" s="1113"/>
      <c r="Y32" s="3418"/>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14" t="s">
        <v>1384</v>
      </c>
      <c r="Q33" s="621" t="str">
        <f t="shared" si="11"/>
        <v>建筑类型</v>
      </c>
      <c r="R33" s="1118" t="s">
        <v>1358</v>
      </c>
      <c r="S33" s="1119">
        <f t="shared" si="12"/>
        <v>100</v>
      </c>
      <c r="T33" s="1118" t="s">
        <v>1358</v>
      </c>
      <c r="U33" s="1119">
        <f t="shared" si="13"/>
        <v>100</v>
      </c>
      <c r="V33" s="1118" t="s">
        <v>1358</v>
      </c>
      <c r="W33" s="1119">
        <f t="shared" si="14"/>
        <v>100</v>
      </c>
      <c r="X33" s="1113"/>
      <c r="Y33" s="3419"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15"/>
      <c r="Q34" s="1308" t="str">
        <f t="shared" si="11"/>
        <v>项目建筑规模</v>
      </c>
      <c r="R34" s="1120" t="s">
        <v>1358</v>
      </c>
      <c r="S34" s="1121">
        <f t="shared" si="12"/>
        <v>100</v>
      </c>
      <c r="T34" s="1120" t="s">
        <v>1358</v>
      </c>
      <c r="U34" s="1121">
        <f t="shared" si="13"/>
        <v>100</v>
      </c>
      <c r="V34" s="1120" t="s">
        <v>1358</v>
      </c>
      <c r="W34" s="1121">
        <f t="shared" si="14"/>
        <v>100</v>
      </c>
      <c r="X34" s="1122"/>
      <c r="Y34" s="3419"/>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15"/>
      <c r="Q35" s="621" t="str">
        <f t="shared" si="11"/>
        <v>建筑结构</v>
      </c>
      <c r="R35" s="1118" t="s">
        <v>1358</v>
      </c>
      <c r="S35" s="1119">
        <f t="shared" si="12"/>
        <v>100</v>
      </c>
      <c r="T35" s="1118" t="s">
        <v>1358</v>
      </c>
      <c r="U35" s="1119">
        <f t="shared" si="13"/>
        <v>100</v>
      </c>
      <c r="V35" s="1118" t="s">
        <v>1358</v>
      </c>
      <c r="W35" s="1119">
        <f t="shared" si="14"/>
        <v>100</v>
      </c>
      <c r="X35" s="1113"/>
      <c r="Y35" s="3419"/>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15"/>
      <c r="Q36" s="621" t="str">
        <f t="shared" si="11"/>
        <v>公共部分装修</v>
      </c>
      <c r="R36" s="1118" t="s">
        <v>1358</v>
      </c>
      <c r="S36" s="1119">
        <f t="shared" si="12"/>
        <v>100</v>
      </c>
      <c r="T36" s="1118" t="s">
        <v>1358</v>
      </c>
      <c r="U36" s="1119">
        <f t="shared" si="13"/>
        <v>100</v>
      </c>
      <c r="V36" s="1118" t="s">
        <v>1358</v>
      </c>
      <c r="W36" s="1119">
        <f t="shared" si="14"/>
        <v>100</v>
      </c>
      <c r="X36" s="1113"/>
      <c r="Y36" s="3419"/>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15"/>
      <c r="Q37" s="621" t="str">
        <f t="shared" si="11"/>
        <v>成新度</v>
      </c>
      <c r="R37" s="1118" t="s">
        <v>1358</v>
      </c>
      <c r="S37" s="1119">
        <f t="shared" si="12"/>
        <v>100</v>
      </c>
      <c r="T37" s="1118" t="s">
        <v>1358</v>
      </c>
      <c r="U37" s="1119">
        <f t="shared" si="13"/>
        <v>100</v>
      </c>
      <c r="V37" s="1118" t="s">
        <v>1358</v>
      </c>
      <c r="W37" s="1119">
        <f t="shared" si="14"/>
        <v>100</v>
      </c>
      <c r="X37" s="1113"/>
      <c r="Y37" s="3419"/>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15"/>
      <c r="Q38" s="790" t="str">
        <f t="shared" si="11"/>
        <v>写字楼等级</v>
      </c>
      <c r="R38" s="1114" t="s">
        <v>1358</v>
      </c>
      <c r="S38" s="1115">
        <f t="shared" si="12"/>
        <v>100</v>
      </c>
      <c r="T38" s="1114" t="s">
        <v>1358</v>
      </c>
      <c r="U38" s="1115">
        <f t="shared" si="13"/>
        <v>100</v>
      </c>
      <c r="V38" s="1114" t="s">
        <v>1358</v>
      </c>
      <c r="W38" s="1115">
        <f t="shared" si="14"/>
        <v>100</v>
      </c>
      <c r="X38" s="1116"/>
      <c r="Y38" s="3419"/>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15" t="s">
        <v>1384</v>
      </c>
      <c r="Q39" s="621" t="str">
        <f t="shared" si="11"/>
        <v>物业管理</v>
      </c>
      <c r="R39" s="1118" t="s">
        <v>1358</v>
      </c>
      <c r="S39" s="1119">
        <f t="shared" si="12"/>
        <v>100</v>
      </c>
      <c r="T39" s="1118" t="s">
        <v>1358</v>
      </c>
      <c r="U39" s="1119">
        <f t="shared" si="13"/>
        <v>100</v>
      </c>
      <c r="V39" s="1118" t="s">
        <v>1358</v>
      </c>
      <c r="W39" s="1119">
        <f t="shared" si="14"/>
        <v>100</v>
      </c>
      <c r="X39" s="1113"/>
      <c r="Y39" s="3419"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15"/>
      <c r="Q40" s="621" t="str">
        <f t="shared" si="11"/>
        <v>市政基础设施</v>
      </c>
      <c r="R40" s="1118" t="s">
        <v>1358</v>
      </c>
      <c r="S40" s="1119">
        <f t="shared" si="12"/>
        <v>100</v>
      </c>
      <c r="T40" s="1118" t="s">
        <v>1358</v>
      </c>
      <c r="U40" s="1119">
        <f t="shared" si="13"/>
        <v>100</v>
      </c>
      <c r="V40" s="1118" t="s">
        <v>1358</v>
      </c>
      <c r="W40" s="1119">
        <f t="shared" si="14"/>
        <v>100</v>
      </c>
      <c r="X40" s="1113"/>
      <c r="Y40" s="3419"/>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15"/>
      <c r="Q41" s="621" t="str">
        <f t="shared" si="11"/>
        <v>层高</v>
      </c>
      <c r="R41" s="1118" t="s">
        <v>1358</v>
      </c>
      <c r="S41" s="1119">
        <f t="shared" si="12"/>
        <v>100</v>
      </c>
      <c r="T41" s="1118" t="s">
        <v>1358</v>
      </c>
      <c r="U41" s="1119">
        <f t="shared" si="13"/>
        <v>100</v>
      </c>
      <c r="V41" s="1118" t="s">
        <v>1358</v>
      </c>
      <c r="W41" s="1119">
        <f t="shared" si="14"/>
        <v>100</v>
      </c>
      <c r="X41" s="1113"/>
      <c r="Y41" s="3419"/>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15"/>
      <c r="Q42" s="1308" t="str">
        <f t="shared" si="11"/>
        <v>单套建筑面积</v>
      </c>
      <c r="R42" s="1120" t="s">
        <v>1358</v>
      </c>
      <c r="S42" s="1121">
        <f t="shared" si="12"/>
        <v>100</v>
      </c>
      <c r="T42" s="1120" t="s">
        <v>1358</v>
      </c>
      <c r="U42" s="1121">
        <f t="shared" si="13"/>
        <v>100</v>
      </c>
      <c r="V42" s="1120" t="s">
        <v>1358</v>
      </c>
      <c r="W42" s="1121">
        <f t="shared" si="14"/>
        <v>100</v>
      </c>
      <c r="X42" s="1122"/>
      <c r="Y42" s="3419"/>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15"/>
      <c r="Q43" s="621" t="str">
        <f t="shared" si="11"/>
        <v>内部装修</v>
      </c>
      <c r="R43" s="1118" t="s">
        <v>1358</v>
      </c>
      <c r="S43" s="1119">
        <f t="shared" si="12"/>
        <v>102</v>
      </c>
      <c r="T43" s="1118" t="s">
        <v>1358</v>
      </c>
      <c r="U43" s="1119">
        <f t="shared" si="13"/>
        <v>98</v>
      </c>
      <c r="V43" s="1118" t="s">
        <v>1358</v>
      </c>
      <c r="W43" s="1119">
        <f t="shared" si="14"/>
        <v>100</v>
      </c>
      <c r="X43" s="1113"/>
      <c r="Y43" s="3419"/>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15"/>
      <c r="Q44" s="621" t="str">
        <f t="shared" si="11"/>
        <v>内部装修维护情况</v>
      </c>
      <c r="R44" s="1118" t="s">
        <v>1358</v>
      </c>
      <c r="S44" s="1119">
        <f t="shared" si="12"/>
        <v>100</v>
      </c>
      <c r="T44" s="1118" t="s">
        <v>1358</v>
      </c>
      <c r="U44" s="1119">
        <f t="shared" si="13"/>
        <v>100</v>
      </c>
      <c r="V44" s="1118" t="s">
        <v>1358</v>
      </c>
      <c r="W44" s="1119">
        <f t="shared" si="14"/>
        <v>100</v>
      </c>
      <c r="X44" s="1113"/>
      <c r="Y44" s="3419"/>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15"/>
      <c r="Q45" s="790">
        <f t="shared" si="11"/>
        <v>111</v>
      </c>
      <c r="R45" s="1114" t="s">
        <v>1358</v>
      </c>
      <c r="S45" s="1115">
        <f t="shared" si="12"/>
        <v>100</v>
      </c>
      <c r="T45" s="1114" t="s">
        <v>1358</v>
      </c>
      <c r="U45" s="1115">
        <f t="shared" si="13"/>
        <v>100</v>
      </c>
      <c r="V45" s="1114" t="s">
        <v>1358</v>
      </c>
      <c r="W45" s="1115">
        <f t="shared" si="14"/>
        <v>100</v>
      </c>
      <c r="X45" s="1116"/>
      <c r="Y45" s="3419"/>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15"/>
      <c r="Q46" s="621">
        <f t="shared" si="11"/>
        <v>111</v>
      </c>
      <c r="R46" s="1118" t="s">
        <v>1358</v>
      </c>
      <c r="S46" s="1119">
        <f t="shared" si="12"/>
        <v>100</v>
      </c>
      <c r="T46" s="1118" t="s">
        <v>1358</v>
      </c>
      <c r="U46" s="1119">
        <f t="shared" si="13"/>
        <v>100</v>
      </c>
      <c r="V46" s="1118" t="s">
        <v>1358</v>
      </c>
      <c r="W46" s="1119">
        <f t="shared" si="14"/>
        <v>100</v>
      </c>
      <c r="X46" s="1113"/>
      <c r="Y46" s="3419"/>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16"/>
      <c r="Q47" s="621">
        <f t="shared" si="11"/>
        <v>111</v>
      </c>
      <c r="R47" s="1118" t="s">
        <v>1358</v>
      </c>
      <c r="S47" s="1119">
        <f t="shared" si="12"/>
        <v>100</v>
      </c>
      <c r="T47" s="1118" t="s">
        <v>1358</v>
      </c>
      <c r="U47" s="1119">
        <f t="shared" si="13"/>
        <v>100</v>
      </c>
      <c r="V47" s="1118" t="s">
        <v>1358</v>
      </c>
      <c r="W47" s="1119">
        <f t="shared" si="14"/>
        <v>100</v>
      </c>
      <c r="X47" s="1113"/>
      <c r="Y47" s="3420"/>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09" t="str">
        <f>A48</f>
        <v>成交单价（元/平方米）</v>
      </c>
      <c r="Q48" s="3410"/>
      <c r="R48" s="3411">
        <f>E48</f>
        <v>39809</v>
      </c>
      <c r="S48" s="3411"/>
      <c r="T48" s="3411">
        <f>G48</f>
        <v>36512</v>
      </c>
      <c r="U48" s="3411"/>
      <c r="V48" s="3411">
        <f>I48</f>
        <v>34724</v>
      </c>
      <c r="W48" s="3411"/>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9" t="str">
        <f>A49</f>
        <v>比较价值（元/平方米）</v>
      </c>
      <c r="Q49" s="3410"/>
      <c r="R49" s="3411">
        <f>IF(F1="售价",ROUND(PRODUCT(R48,AA7:AA47),0),ROUND(PRODUCT(R48,AA7:AA47),1))</f>
        <v>37892</v>
      </c>
      <c r="S49" s="3411"/>
      <c r="T49" s="3411">
        <f>IF(F1="售价",ROUND(PRODUCT(T48,AB7:AB47),0),ROUND(PRODUCT(T48,AB7:AB47),1))</f>
        <v>36172</v>
      </c>
      <c r="U49" s="3411"/>
      <c r="V49" s="3411">
        <f>IF(F1="售价",ROUND(PRODUCT(V48,AC7:AC47),0),ROUND(PRODUCT(V48,AC7:AC47),1))</f>
        <v>34755</v>
      </c>
      <c r="W49" s="3411"/>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21" t="str">
        <f>A50</f>
        <v>估价对象XX用房的比较价值（楼面单价，元/平方米）</v>
      </c>
      <c r="Q50" s="3422"/>
      <c r="R50" s="3423">
        <f>IF(F1="售价",ROUND(IF(D49="简单平均",AVERAGE(R49:V49),R49*F49+T49*H49+V49*J49),0),ROUND(IF(D49="简单平均",AVERAGE(R49:V49),R49*F49+T49*H49+V49*J49),1))</f>
        <v>36273</v>
      </c>
      <c r="S50" s="3423"/>
      <c r="T50" s="3423"/>
      <c r="U50" s="3423"/>
      <c r="V50" s="3423"/>
      <c r="W50" s="3423"/>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12" zoomScaleNormal="70" zoomScaleSheetLayoutView="100" workbookViewId="0">
      <selection activeCell="C126" sqref="C126:G1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101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469.93779999999998</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35734</v>
      </c>
      <c r="C3" s="1273" t="s">
        <v>1345</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11" t="s">
        <v>1349</v>
      </c>
      <c r="AC4" s="3449" t="s">
        <v>1350</v>
      </c>
    </row>
    <row r="5" spans="1:29" ht="13.95" customHeight="1">
      <c r="A5" s="922"/>
      <c r="B5" s="923"/>
      <c r="C5" s="3443" t="s">
        <v>1575</v>
      </c>
      <c r="D5" s="3400"/>
      <c r="E5" s="3444" t="s">
        <v>2846</v>
      </c>
      <c r="F5" s="3445"/>
      <c r="G5" s="3399" t="s">
        <v>2847</v>
      </c>
      <c r="H5" s="3400"/>
      <c r="I5" s="3399" t="s">
        <v>2848</v>
      </c>
      <c r="J5" s="3400"/>
      <c r="K5" s="1064"/>
      <c r="L5" s="1065"/>
      <c r="M5" s="1015"/>
      <c r="N5" s="1015"/>
      <c r="O5" s="1015"/>
      <c r="P5" s="3452"/>
      <c r="Q5" s="3433"/>
      <c r="R5" s="3438"/>
      <c r="S5" s="3439"/>
      <c r="T5" s="3438"/>
      <c r="U5" s="3439"/>
      <c r="V5" s="3411"/>
      <c r="W5" s="3411"/>
      <c r="X5" s="1113"/>
      <c r="Y5" s="3438"/>
      <c r="Z5" s="3439"/>
      <c r="AA5" s="3425"/>
      <c r="AB5" s="3411"/>
      <c r="AC5" s="3425"/>
    </row>
    <row r="6" spans="1:29" ht="14.4">
      <c r="A6" s="924"/>
      <c r="B6" s="925"/>
      <c r="C6" s="3401" t="s">
        <v>1354</v>
      </c>
      <c r="D6" s="3402"/>
      <c r="E6" s="3403" t="s">
        <v>2796</v>
      </c>
      <c r="F6" s="3404"/>
      <c r="G6" s="3401" t="s">
        <v>2796</v>
      </c>
      <c r="H6" s="3402"/>
      <c r="I6" s="3401" t="s">
        <v>2796</v>
      </c>
      <c r="J6" s="3402"/>
      <c r="K6" s="1064" t="s">
        <v>1355</v>
      </c>
      <c r="L6" s="1065"/>
      <c r="M6" s="1015"/>
      <c r="N6" s="1015"/>
      <c r="O6" s="1015"/>
      <c r="P6" s="3453"/>
      <c r="Q6" s="3435"/>
      <c r="R6" s="3438"/>
      <c r="S6" s="3439"/>
      <c r="T6" s="3440"/>
      <c r="U6" s="3441"/>
      <c r="V6" s="3411"/>
      <c r="W6" s="3411"/>
      <c r="X6" s="1113"/>
      <c r="Y6" s="3440"/>
      <c r="Z6" s="3441"/>
      <c r="AA6" s="3426"/>
      <c r="AB6" s="3411"/>
      <c r="AC6" s="3426"/>
    </row>
    <row r="7" spans="1:29" s="899" customFormat="1" ht="14.4">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7" t="s">
        <v>1357</v>
      </c>
      <c r="Q7" s="3406"/>
      <c r="R7" s="1114" t="s">
        <v>1358</v>
      </c>
      <c r="S7" s="1115">
        <f t="shared" ref="S7:S15" si="0">F7</f>
        <v>100</v>
      </c>
      <c r="T7" s="1114" t="s">
        <v>1358</v>
      </c>
      <c r="U7" s="1115">
        <f t="shared" ref="U7:U15" si="1">H7</f>
        <v>100</v>
      </c>
      <c r="V7" s="1114" t="s">
        <v>1358</v>
      </c>
      <c r="W7" s="1115">
        <f t="shared" ref="W7:W15" si="2">J7</f>
        <v>100</v>
      </c>
      <c r="X7" s="1116"/>
      <c r="Y7" s="3407" t="s">
        <v>1357</v>
      </c>
      <c r="Z7" s="3408"/>
      <c r="AA7" s="1126">
        <f>D7/F7</f>
        <v>1</v>
      </c>
      <c r="AB7" s="1126">
        <f>D7/H7</f>
        <v>1</v>
      </c>
      <c r="AC7" s="1126">
        <f>D7/J7</f>
        <v>1</v>
      </c>
    </row>
    <row r="8" spans="1:29" s="899" customFormat="1" ht="14.4">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7" t="s">
        <v>1361</v>
      </c>
      <c r="Q8" s="3408"/>
      <c r="R8" s="1114" t="s">
        <v>1358</v>
      </c>
      <c r="S8" s="1115">
        <f t="shared" si="0"/>
        <v>102</v>
      </c>
      <c r="T8" s="1114" t="s">
        <v>1358</v>
      </c>
      <c r="U8" s="1115">
        <f t="shared" si="1"/>
        <v>102</v>
      </c>
      <c r="V8" s="1114" t="s">
        <v>1358</v>
      </c>
      <c r="W8" s="1115">
        <f t="shared" si="2"/>
        <v>102</v>
      </c>
      <c r="X8" s="1116"/>
      <c r="Y8" s="3407" t="s">
        <v>1361</v>
      </c>
      <c r="Z8" s="3408"/>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9"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09"/>
      <c r="Q10" s="790" t="str">
        <f t="shared" si="6"/>
        <v>土地使用年限（年）</v>
      </c>
      <c r="R10" s="1114" t="s">
        <v>1358</v>
      </c>
      <c r="S10" s="1115">
        <f t="shared" si="0"/>
        <v>95</v>
      </c>
      <c r="T10" s="1114" t="s">
        <v>1358</v>
      </c>
      <c r="U10" s="1115">
        <f t="shared" si="1"/>
        <v>95</v>
      </c>
      <c r="V10" s="1114" t="s">
        <v>1358</v>
      </c>
      <c r="W10" s="1115">
        <f t="shared" si="2"/>
        <v>100</v>
      </c>
      <c r="X10" s="1116"/>
      <c r="Y10" s="3381"/>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9"/>
      <c r="Q11" s="790" t="str">
        <f t="shared" si="6"/>
        <v>容积率</v>
      </c>
      <c r="R11" s="1114" t="s">
        <v>1358</v>
      </c>
      <c r="S11" s="1115">
        <f t="shared" si="0"/>
        <v>100</v>
      </c>
      <c r="T11" s="1114" t="s">
        <v>1358</v>
      </c>
      <c r="U11" s="1115">
        <f t="shared" si="1"/>
        <v>100</v>
      </c>
      <c r="V11" s="1114" t="s">
        <v>1358</v>
      </c>
      <c r="W11" s="1115">
        <f t="shared" si="2"/>
        <v>100</v>
      </c>
      <c r="X11" s="1116"/>
      <c r="Y11" s="3381"/>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9"/>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2" t="s">
        <v>1370</v>
      </c>
      <c r="Q15" s="621" t="str">
        <f t="shared" si="6"/>
        <v>商业繁华度</v>
      </c>
      <c r="R15" s="1118" t="s">
        <v>1358</v>
      </c>
      <c r="S15" s="1119">
        <f t="shared" si="0"/>
        <v>100</v>
      </c>
      <c r="T15" s="1118" t="s">
        <v>1358</v>
      </c>
      <c r="U15" s="1119">
        <f t="shared" si="1"/>
        <v>100</v>
      </c>
      <c r="V15" s="1118" t="s">
        <v>1358</v>
      </c>
      <c r="W15" s="1119">
        <f t="shared" si="2"/>
        <v>100</v>
      </c>
      <c r="X15" s="1113"/>
      <c r="Y15" s="3417"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3"/>
      <c r="Q16" s="621"/>
      <c r="R16" s="1118"/>
      <c r="S16" s="1119"/>
      <c r="T16" s="1118"/>
      <c r="U16" s="1119"/>
      <c r="V16" s="1118"/>
      <c r="W16" s="1119"/>
      <c r="X16" s="1113"/>
      <c r="Y16" s="3418"/>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3"/>
      <c r="Q17" s="621" t="str">
        <f>B17</f>
        <v>交通便捷度</v>
      </c>
      <c r="R17" s="1118" t="s">
        <v>1358</v>
      </c>
      <c r="S17" s="1119">
        <f>F17</f>
        <v>102</v>
      </c>
      <c r="T17" s="1118" t="s">
        <v>1358</v>
      </c>
      <c r="U17" s="1119">
        <f>H17</f>
        <v>102</v>
      </c>
      <c r="V17" s="1118" t="s">
        <v>1358</v>
      </c>
      <c r="W17" s="1119">
        <f>J17</f>
        <v>102</v>
      </c>
      <c r="X17" s="1113"/>
      <c r="Y17" s="3418"/>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3"/>
      <c r="Q18" s="621"/>
      <c r="R18" s="1118"/>
      <c r="S18" s="1119"/>
      <c r="T18" s="1118"/>
      <c r="U18" s="1119"/>
      <c r="V18" s="1118"/>
      <c r="W18" s="1119"/>
      <c r="X18" s="1113"/>
      <c r="Y18" s="3418"/>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3"/>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3"/>
      <c r="Q20" s="621"/>
      <c r="R20" s="1118"/>
      <c r="S20" s="1119"/>
      <c r="T20" s="1118"/>
      <c r="U20" s="1119"/>
      <c r="V20" s="1118"/>
      <c r="W20" s="1119"/>
      <c r="X20" s="1113"/>
      <c r="Y20" s="3418"/>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3"/>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3"/>
      <c r="Q22" s="621"/>
      <c r="R22" s="1118"/>
      <c r="S22" s="1119"/>
      <c r="T22" s="1118"/>
      <c r="U22" s="1119"/>
      <c r="V22" s="1118"/>
      <c r="W22" s="1119"/>
      <c r="X22" s="1113"/>
      <c r="Y22" s="3418"/>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3"/>
      <c r="Q23" s="621" t="str">
        <f>B23</f>
        <v>自然及人文环境</v>
      </c>
      <c r="R23" s="1118" t="s">
        <v>1358</v>
      </c>
      <c r="S23" s="1119">
        <f>F23</f>
        <v>100</v>
      </c>
      <c r="T23" s="1118" t="s">
        <v>1358</v>
      </c>
      <c r="U23" s="1119">
        <f>H23</f>
        <v>100</v>
      </c>
      <c r="V23" s="1118" t="s">
        <v>1358</v>
      </c>
      <c r="W23" s="1119">
        <f>J23</f>
        <v>100</v>
      </c>
      <c r="X23" s="1113"/>
      <c r="Y23" s="3418"/>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3"/>
      <c r="Q24" s="621"/>
      <c r="R24" s="1118"/>
      <c r="S24" s="1119"/>
      <c r="T24" s="1118"/>
      <c r="U24" s="1119"/>
      <c r="V24" s="1118"/>
      <c r="W24" s="1119"/>
      <c r="X24" s="1113"/>
      <c r="Y24" s="3418"/>
      <c r="Z24" s="1102"/>
      <c r="AA24" s="1102">
        <v>1</v>
      </c>
      <c r="AB24" s="1102">
        <v>1</v>
      </c>
      <c r="AC24" s="1102">
        <v>1</v>
      </c>
    </row>
    <row r="25" spans="1:29" ht="15">
      <c r="A25" s="943"/>
      <c r="B25" s="3193" t="s">
        <v>1606</v>
      </c>
      <c r="C25" s="976" t="s">
        <v>2875</v>
      </c>
      <c r="D25" s="755">
        <v>100</v>
      </c>
      <c r="E25" s="976" t="s">
        <v>2877</v>
      </c>
      <c r="F25" s="1097">
        <f>SUMIF(86:86,E25,87:87)-SUMIF(86:86,C25,87:87)+100</f>
        <v>98</v>
      </c>
      <c r="G25" s="976" t="s">
        <v>2877</v>
      </c>
      <c r="H25" s="755">
        <f>SUMIF(86:86,G25,87:87)-SUMIF(86:86,C25,87:87)+100</f>
        <v>98</v>
      </c>
      <c r="I25" s="976" t="s">
        <v>2877</v>
      </c>
      <c r="J25" s="755">
        <f>SUMIF(86:86,I25,87:87)-SUMIF(86:86,C25,87:87)+100</f>
        <v>98</v>
      </c>
      <c r="K25" s="1088">
        <v>2</v>
      </c>
      <c r="L25" s="1081"/>
      <c r="M25" s="1015"/>
      <c r="N25" s="1015"/>
      <c r="O25" s="1015"/>
      <c r="P25" s="3413"/>
      <c r="Q25" s="621" t="str">
        <f t="shared" ref="Q25:Q46" si="11">B25</f>
        <v>临街状况</v>
      </c>
      <c r="R25" s="1118" t="s">
        <v>1358</v>
      </c>
      <c r="S25" s="1119">
        <f>F25</f>
        <v>98</v>
      </c>
      <c r="T25" s="1118" t="s">
        <v>1358</v>
      </c>
      <c r="U25" s="1119">
        <f>H25</f>
        <v>98</v>
      </c>
      <c r="V25" s="1118" t="s">
        <v>1358</v>
      </c>
      <c r="W25" s="1119">
        <f>J25</f>
        <v>98</v>
      </c>
      <c r="X25" s="1113"/>
      <c r="Y25" s="3418"/>
      <c r="Z25" s="1102" t="str">
        <f>Q25</f>
        <v>临街状况</v>
      </c>
      <c r="AA25" s="1102">
        <f t="shared" si="3"/>
        <v>1.0204081632653061</v>
      </c>
      <c r="AB25" s="1102">
        <f t="shared" si="4"/>
        <v>1.0204081632653061</v>
      </c>
      <c r="AC25" s="1102">
        <f t="shared" si="5"/>
        <v>1.0204081632653061</v>
      </c>
    </row>
    <row r="26" spans="1:29" ht="15">
      <c r="A26" s="943"/>
      <c r="B26" s="1177" t="s">
        <v>1607</v>
      </c>
      <c r="C26" s="3192" t="s">
        <v>2859</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3"/>
      <c r="Q26" s="621" t="str">
        <f t="shared" si="11"/>
        <v>平面位置/可视性</v>
      </c>
      <c r="R26" s="1118" t="s">
        <v>1358</v>
      </c>
      <c r="S26" s="1119">
        <f>F26</f>
        <v>100</v>
      </c>
      <c r="T26" s="1118" t="s">
        <v>1358</v>
      </c>
      <c r="U26" s="1119">
        <f>H26</f>
        <v>100</v>
      </c>
      <c r="V26" s="1118" t="s">
        <v>1358</v>
      </c>
      <c r="W26" s="1119">
        <f>J26</f>
        <v>100</v>
      </c>
      <c r="X26" s="1113"/>
      <c r="Y26" s="3418"/>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3"/>
      <c r="Q27" s="790" t="str">
        <f t="shared" si="11"/>
        <v>人流量</v>
      </c>
      <c r="R27" s="1114" t="s">
        <v>1358</v>
      </c>
      <c r="S27" s="1115">
        <f>F27</f>
        <v>100</v>
      </c>
      <c r="T27" s="1114" t="s">
        <v>1358</v>
      </c>
      <c r="U27" s="1115">
        <f>H27</f>
        <v>100</v>
      </c>
      <c r="V27" s="1114" t="s">
        <v>1358</v>
      </c>
      <c r="W27" s="1115">
        <f>J27</f>
        <v>100</v>
      </c>
      <c r="X27" s="1116"/>
      <c r="Y27" s="3418"/>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3"/>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8"/>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3"/>
      <c r="Q29" s="621">
        <f t="shared" si="11"/>
        <v>111</v>
      </c>
      <c r="R29" s="1118" t="s">
        <v>1358</v>
      </c>
      <c r="S29" s="1119">
        <f t="shared" si="12"/>
        <v>100</v>
      </c>
      <c r="T29" s="1118" t="s">
        <v>1358</v>
      </c>
      <c r="U29" s="1119">
        <f t="shared" si="13"/>
        <v>100</v>
      </c>
      <c r="V29" s="1118" t="s">
        <v>1358</v>
      </c>
      <c r="W29" s="1119">
        <f t="shared" si="14"/>
        <v>100</v>
      </c>
      <c r="X29" s="1113"/>
      <c r="Y29" s="3418"/>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3"/>
      <c r="Q30" s="621">
        <f t="shared" si="11"/>
        <v>111</v>
      </c>
      <c r="R30" s="1118" t="s">
        <v>1358</v>
      </c>
      <c r="S30" s="1119">
        <f t="shared" si="12"/>
        <v>100</v>
      </c>
      <c r="T30" s="1118" t="s">
        <v>1358</v>
      </c>
      <c r="U30" s="1119">
        <f t="shared" si="13"/>
        <v>100</v>
      </c>
      <c r="V30" s="1118" t="s">
        <v>1358</v>
      </c>
      <c r="W30" s="1119">
        <f t="shared" si="14"/>
        <v>100</v>
      </c>
      <c r="X30" s="1113"/>
      <c r="Y30" s="3418"/>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3"/>
      <c r="Q31" s="621">
        <f t="shared" si="11"/>
        <v>111</v>
      </c>
      <c r="R31" s="1118" t="s">
        <v>1358</v>
      </c>
      <c r="S31" s="1119">
        <f t="shared" si="12"/>
        <v>100</v>
      </c>
      <c r="T31" s="1118" t="s">
        <v>1358</v>
      </c>
      <c r="U31" s="1119">
        <f t="shared" si="13"/>
        <v>100</v>
      </c>
      <c r="V31" s="1118" t="s">
        <v>1358</v>
      </c>
      <c r="W31" s="1119">
        <f t="shared" si="14"/>
        <v>100</v>
      </c>
      <c r="X31" s="1113"/>
      <c r="Y31" s="3418"/>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4" t="s">
        <v>1384</v>
      </c>
      <c r="Q32" s="621" t="str">
        <f t="shared" si="11"/>
        <v>商业类型</v>
      </c>
      <c r="R32" s="1118" t="s">
        <v>1358</v>
      </c>
      <c r="S32" s="1119">
        <f t="shared" si="12"/>
        <v>100</v>
      </c>
      <c r="T32" s="1118" t="s">
        <v>1358</v>
      </c>
      <c r="U32" s="1119">
        <f t="shared" si="13"/>
        <v>100</v>
      </c>
      <c r="V32" s="1118" t="s">
        <v>1358</v>
      </c>
      <c r="W32" s="1119">
        <f t="shared" si="14"/>
        <v>100</v>
      </c>
      <c r="X32" s="1113"/>
      <c r="Y32" s="3419" t="s">
        <v>1384</v>
      </c>
      <c r="Z32" s="1102" t="str">
        <f t="shared" si="15"/>
        <v>商业类型</v>
      </c>
      <c r="AA32" s="1102">
        <f t="shared" si="3"/>
        <v>1</v>
      </c>
      <c r="AB32" s="1102">
        <f t="shared" si="4"/>
        <v>1</v>
      </c>
      <c r="AC32" s="1102">
        <f t="shared" si="5"/>
        <v>1</v>
      </c>
    </row>
    <row r="33" spans="1:29" s="901" customFormat="1" ht="15">
      <c r="A33" s="996"/>
      <c r="B33" s="3193" t="s">
        <v>1385</v>
      </c>
      <c r="C33" s="945">
        <f>'数据-基础表'!I13</f>
        <v>131.51</v>
      </c>
      <c r="D33" s="942">
        <v>100</v>
      </c>
      <c r="E33" s="945">
        <v>93.81</v>
      </c>
      <c r="F33" s="940">
        <f>LOOKUP(E33,103:103,104:104)-LOOKUP(C33,103:103,104:104)+100</f>
        <v>102</v>
      </c>
      <c r="G33" s="944">
        <v>126.85</v>
      </c>
      <c r="H33" s="942">
        <f>LOOKUP(G33,103:103,104:104)-LOOKUP(C33,103:103,104:104)+100</f>
        <v>100</v>
      </c>
      <c r="I33" s="944">
        <v>105.19</v>
      </c>
      <c r="J33" s="942">
        <f>LOOKUP(I33,103:103,104:104)-LOOKUP(C33,103:103,104:104)+100</f>
        <v>100</v>
      </c>
      <c r="K33" s="1087"/>
      <c r="L33" s="1079"/>
      <c r="M33" s="1089"/>
      <c r="N33" s="1089"/>
      <c r="O33" s="1089"/>
      <c r="P33" s="3415"/>
      <c r="Q33" s="1308" t="str">
        <f t="shared" si="11"/>
        <v>项目建筑规模</v>
      </c>
      <c r="R33" s="1120" t="s">
        <v>1358</v>
      </c>
      <c r="S33" s="1121">
        <f t="shared" si="12"/>
        <v>102</v>
      </c>
      <c r="T33" s="1120" t="s">
        <v>1358</v>
      </c>
      <c r="U33" s="1121">
        <f t="shared" si="13"/>
        <v>100</v>
      </c>
      <c r="V33" s="1120" t="s">
        <v>1358</v>
      </c>
      <c r="W33" s="1121">
        <f t="shared" si="14"/>
        <v>100</v>
      </c>
      <c r="X33" s="1122"/>
      <c r="Y33" s="3419"/>
      <c r="Z33" s="1127" t="str">
        <f t="shared" si="15"/>
        <v>项目建筑规模</v>
      </c>
      <c r="AA33" s="1102">
        <f t="shared" si="3"/>
        <v>0.98039215686274506</v>
      </c>
      <c r="AB33" s="1102">
        <f t="shared" si="4"/>
        <v>1</v>
      </c>
      <c r="AC33" s="1102">
        <f t="shared" si="5"/>
        <v>1</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15"/>
      <c r="Q34" s="621" t="str">
        <f t="shared" si="11"/>
        <v>建筑结构</v>
      </c>
      <c r="R34" s="1118" t="s">
        <v>1358</v>
      </c>
      <c r="S34" s="1119">
        <f t="shared" si="12"/>
        <v>100</v>
      </c>
      <c r="T34" s="1118" t="s">
        <v>1358</v>
      </c>
      <c r="U34" s="1119">
        <f t="shared" si="13"/>
        <v>100</v>
      </c>
      <c r="V34" s="1118" t="s">
        <v>1358</v>
      </c>
      <c r="W34" s="1119">
        <f t="shared" si="14"/>
        <v>100</v>
      </c>
      <c r="X34" s="1113"/>
      <c r="Y34" s="3419"/>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5"/>
      <c r="Q35" s="621" t="str">
        <f t="shared" si="11"/>
        <v>公共部分装修</v>
      </c>
      <c r="R35" s="1118" t="s">
        <v>1358</v>
      </c>
      <c r="S35" s="1119">
        <f t="shared" si="12"/>
        <v>100</v>
      </c>
      <c r="T35" s="1118" t="s">
        <v>1358</v>
      </c>
      <c r="U35" s="1119">
        <f t="shared" si="13"/>
        <v>100</v>
      </c>
      <c r="V35" s="1118" t="s">
        <v>1358</v>
      </c>
      <c r="W35" s="1119">
        <f t="shared" si="14"/>
        <v>100</v>
      </c>
      <c r="X35" s="1113"/>
      <c r="Y35" s="3419"/>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15"/>
      <c r="Q36" s="621" t="str">
        <f t="shared" si="11"/>
        <v>成新度</v>
      </c>
      <c r="R36" s="1118" t="s">
        <v>1358</v>
      </c>
      <c r="S36" s="1119">
        <f t="shared" si="12"/>
        <v>96</v>
      </c>
      <c r="T36" s="1118" t="s">
        <v>1358</v>
      </c>
      <c r="U36" s="1119">
        <f t="shared" si="13"/>
        <v>96</v>
      </c>
      <c r="V36" s="1118" t="s">
        <v>1358</v>
      </c>
      <c r="W36" s="1119">
        <f t="shared" si="14"/>
        <v>98</v>
      </c>
      <c r="X36" s="1113"/>
      <c r="Y36" s="3419"/>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5"/>
      <c r="Q37" s="790" t="str">
        <f t="shared" si="11"/>
        <v>市政基础设施</v>
      </c>
      <c r="R37" s="1114" t="s">
        <v>1358</v>
      </c>
      <c r="S37" s="1115">
        <f t="shared" si="12"/>
        <v>100</v>
      </c>
      <c r="T37" s="1114" t="s">
        <v>1358</v>
      </c>
      <c r="U37" s="1115">
        <f t="shared" si="13"/>
        <v>100</v>
      </c>
      <c r="V37" s="1114" t="s">
        <v>1358</v>
      </c>
      <c r="W37" s="1115">
        <f t="shared" si="14"/>
        <v>100</v>
      </c>
      <c r="X37" s="1116"/>
      <c r="Y37" s="3419"/>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5" t="s">
        <v>1384</v>
      </c>
      <c r="Q38" s="621" t="str">
        <f t="shared" si="11"/>
        <v>业态</v>
      </c>
      <c r="R38" s="1118" t="s">
        <v>1358</v>
      </c>
      <c r="S38" s="1119">
        <f t="shared" si="12"/>
        <v>100</v>
      </c>
      <c r="T38" s="1118" t="s">
        <v>1358</v>
      </c>
      <c r="U38" s="1119">
        <f t="shared" si="13"/>
        <v>100</v>
      </c>
      <c r="V38" s="1118" t="s">
        <v>1358</v>
      </c>
      <c r="W38" s="1119">
        <f t="shared" si="14"/>
        <v>100</v>
      </c>
      <c r="X38" s="1113"/>
      <c r="Y38" s="3419"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5"/>
      <c r="Q39" s="621" t="str">
        <f t="shared" si="11"/>
        <v>层高</v>
      </c>
      <c r="R39" s="1118" t="s">
        <v>1358</v>
      </c>
      <c r="S39" s="1119">
        <f t="shared" si="12"/>
        <v>100</v>
      </c>
      <c r="T39" s="1118" t="s">
        <v>1358</v>
      </c>
      <c r="U39" s="1119">
        <f t="shared" si="13"/>
        <v>100</v>
      </c>
      <c r="V39" s="1118" t="s">
        <v>1358</v>
      </c>
      <c r="W39" s="1119">
        <f t="shared" si="14"/>
        <v>100</v>
      </c>
      <c r="X39" s="1113"/>
      <c r="Y39" s="3419"/>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5"/>
      <c r="Q40" s="621" t="str">
        <f t="shared" si="11"/>
        <v>单套建筑面积</v>
      </c>
      <c r="R40" s="1118" t="s">
        <v>1358</v>
      </c>
      <c r="S40" s="1119">
        <f t="shared" si="12"/>
        <v>100</v>
      </c>
      <c r="T40" s="1118" t="s">
        <v>1358</v>
      </c>
      <c r="U40" s="1119">
        <f t="shared" si="13"/>
        <v>100</v>
      </c>
      <c r="V40" s="1118" t="s">
        <v>1358</v>
      </c>
      <c r="W40" s="1119">
        <f t="shared" si="14"/>
        <v>100</v>
      </c>
      <c r="X40" s="1113"/>
      <c r="Y40" s="3419"/>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5"/>
      <c r="Q41" s="1308" t="str">
        <f t="shared" si="11"/>
        <v>进深比</v>
      </c>
      <c r="R41" s="1120" t="s">
        <v>1358</v>
      </c>
      <c r="S41" s="1121">
        <f t="shared" si="12"/>
        <v>100</v>
      </c>
      <c r="T41" s="1120" t="s">
        <v>1358</v>
      </c>
      <c r="U41" s="1121">
        <f t="shared" si="13"/>
        <v>100</v>
      </c>
      <c r="V41" s="1120" t="s">
        <v>1358</v>
      </c>
      <c r="W41" s="1121">
        <f t="shared" si="14"/>
        <v>100</v>
      </c>
      <c r="X41" s="1122"/>
      <c r="Y41" s="3419"/>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5"/>
      <c r="Q42" s="621" t="str">
        <f t="shared" si="11"/>
        <v>内部装修</v>
      </c>
      <c r="R42" s="1118" t="s">
        <v>1358</v>
      </c>
      <c r="S42" s="1119">
        <f t="shared" si="12"/>
        <v>100</v>
      </c>
      <c r="T42" s="1118" t="s">
        <v>1358</v>
      </c>
      <c r="U42" s="1119">
        <f t="shared" si="13"/>
        <v>98</v>
      </c>
      <c r="V42" s="1118" t="s">
        <v>1358</v>
      </c>
      <c r="W42" s="1119">
        <f t="shared" si="14"/>
        <v>100</v>
      </c>
      <c r="X42" s="1113"/>
      <c r="Y42" s="3419"/>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5"/>
      <c r="Q43" s="621" t="str">
        <f t="shared" si="11"/>
        <v>内部装修维护情况</v>
      </c>
      <c r="R43" s="1118" t="s">
        <v>1358</v>
      </c>
      <c r="S43" s="1119">
        <f t="shared" si="12"/>
        <v>100</v>
      </c>
      <c r="T43" s="1118" t="s">
        <v>1358</v>
      </c>
      <c r="U43" s="1119">
        <f t="shared" si="13"/>
        <v>100</v>
      </c>
      <c r="V43" s="1118" t="s">
        <v>1358</v>
      </c>
      <c r="W43" s="1119">
        <f t="shared" si="14"/>
        <v>100</v>
      </c>
      <c r="X43" s="1113"/>
      <c r="Y43" s="3419"/>
      <c r="Z43" s="1102" t="str">
        <f t="shared" si="15"/>
        <v>内部装修维护情况</v>
      </c>
      <c r="AA43" s="1102">
        <f t="shared" si="3"/>
        <v>1</v>
      </c>
      <c r="AB43" s="1102">
        <f t="shared" si="4"/>
        <v>1</v>
      </c>
      <c r="AC43" s="1102">
        <f t="shared" si="5"/>
        <v>1</v>
      </c>
    </row>
    <row r="44" spans="1:29" s="899" customFormat="1" ht="15">
      <c r="A44" s="993"/>
      <c r="B44" s="3194" t="s">
        <v>2879</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5"/>
      <c r="Q44" s="790" t="str">
        <f t="shared" si="11"/>
        <v>进深比</v>
      </c>
      <c r="R44" s="1114" t="s">
        <v>1358</v>
      </c>
      <c r="S44" s="1115">
        <f t="shared" si="12"/>
        <v>100</v>
      </c>
      <c r="T44" s="1114" t="s">
        <v>1358</v>
      </c>
      <c r="U44" s="1115">
        <f t="shared" si="13"/>
        <v>100</v>
      </c>
      <c r="V44" s="1114" t="s">
        <v>1358</v>
      </c>
      <c r="W44" s="1115">
        <f t="shared" si="14"/>
        <v>100</v>
      </c>
      <c r="X44" s="1116"/>
      <c r="Y44" s="3419"/>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5"/>
      <c r="Q45" s="621">
        <f t="shared" si="11"/>
        <v>0</v>
      </c>
      <c r="R45" s="1118" t="s">
        <v>1358</v>
      </c>
      <c r="S45" s="1119">
        <f t="shared" si="12"/>
        <v>100</v>
      </c>
      <c r="T45" s="1118" t="s">
        <v>1358</v>
      </c>
      <c r="U45" s="1119">
        <f t="shared" si="13"/>
        <v>100</v>
      </c>
      <c r="V45" s="1118" t="s">
        <v>1358</v>
      </c>
      <c r="W45" s="1119">
        <f t="shared" si="14"/>
        <v>100</v>
      </c>
      <c r="X45" s="1113"/>
      <c r="Y45" s="3419"/>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6"/>
      <c r="Q46" s="621">
        <f t="shared" si="11"/>
        <v>0</v>
      </c>
      <c r="R46" s="1118" t="s">
        <v>1358</v>
      </c>
      <c r="S46" s="1119">
        <f t="shared" si="12"/>
        <v>100</v>
      </c>
      <c r="T46" s="1118" t="s">
        <v>1358</v>
      </c>
      <c r="U46" s="1119">
        <f t="shared" si="13"/>
        <v>100</v>
      </c>
      <c r="V46" s="1118" t="s">
        <v>1358</v>
      </c>
      <c r="W46" s="1119">
        <f t="shared" si="14"/>
        <v>100</v>
      </c>
      <c r="X46" s="1113"/>
      <c r="Y46" s="3420"/>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0" t="str">
        <f>A47</f>
        <v>成交单价（元/平方米）</v>
      </c>
      <c r="Q47" s="3410"/>
      <c r="R47" s="3411">
        <f>E47</f>
        <v>33579</v>
      </c>
      <c r="S47" s="3411"/>
      <c r="T47" s="3411">
        <f>G47</f>
        <v>35081</v>
      </c>
      <c r="U47" s="3411"/>
      <c r="V47" s="3411">
        <f>I47</f>
        <v>33274</v>
      </c>
      <c r="W47" s="3411"/>
      <c r="X47" s="1055"/>
      <c r="Y47" s="1128"/>
      <c r="Z47" s="1055"/>
      <c r="AA47" s="1055"/>
      <c r="AB47" s="1055"/>
      <c r="AC47" s="1055"/>
    </row>
    <row r="48" spans="1:29" ht="14.4">
      <c r="A48" s="1006" t="s">
        <v>1401</v>
      </c>
      <c r="B48" s="1293"/>
      <c r="C48" s="1294">
        <f>R49</f>
        <v>35734</v>
      </c>
      <c r="D48" s="1009" t="s">
        <v>1402</v>
      </c>
      <c r="E48" s="1295">
        <f>R48</f>
        <v>35404</v>
      </c>
      <c r="F48" s="1010"/>
      <c r="G48" s="1294">
        <f>T48</f>
        <v>38497</v>
      </c>
      <c r="H48" s="1010"/>
      <c r="I48" s="1295">
        <f>V48</f>
        <v>33301</v>
      </c>
      <c r="J48" s="1010"/>
      <c r="K48" s="1095">
        <f>F48+H48+J48</f>
        <v>0</v>
      </c>
      <c r="L48" s="1094"/>
      <c r="M48" s="1015"/>
      <c r="N48" s="1015"/>
      <c r="O48" s="1015"/>
      <c r="P48" s="3410" t="str">
        <f>A48</f>
        <v>比较价值（元/平方米）</v>
      </c>
      <c r="Q48" s="3410"/>
      <c r="R48" s="3411">
        <f>IF(F1="售价",ROUND(PRODUCT(R47,AA7:AA46),0),ROUND(PRODUCT(R47,AA7:AA46),1))</f>
        <v>35404</v>
      </c>
      <c r="S48" s="3411"/>
      <c r="T48" s="3411">
        <f>IF(F1="售价",ROUND(PRODUCT(T47,AB7:AB46),0),ROUND(PRODUCT(T47,AB7:AB46),1))</f>
        <v>38497</v>
      </c>
      <c r="U48" s="3411"/>
      <c r="V48" s="3411">
        <f>IF(F1="售价",ROUND(PRODUCT(V47,AC7:AC46),0),ROUND(PRODUCT(V47,AC7:AC46),1))</f>
        <v>33301</v>
      </c>
      <c r="W48" s="3411"/>
      <c r="X48" s="1055"/>
      <c r="Y48" s="1055"/>
      <c r="Z48" s="1055"/>
      <c r="AA48" s="1055"/>
      <c r="AB48" s="1055"/>
      <c r="AC48" s="1055"/>
    </row>
    <row r="49" spans="1:29" ht="14.4">
      <c r="A49" s="1012" t="s">
        <v>1403</v>
      </c>
      <c r="B49" s="1013"/>
      <c r="C49" s="925">
        <f>R49</f>
        <v>35734</v>
      </c>
      <c r="D49" s="925"/>
      <c r="E49" s="925"/>
      <c r="F49" s="925"/>
      <c r="G49" s="925"/>
      <c r="H49" s="925"/>
      <c r="I49" s="925"/>
      <c r="J49" s="925"/>
      <c r="K49" s="1096"/>
      <c r="L49" s="1094"/>
      <c r="M49" s="1015"/>
      <c r="N49" s="1015"/>
      <c r="O49" s="1015"/>
      <c r="P49" s="3446" t="str">
        <f>A49</f>
        <v>估价对象XX用房的比较价值（楼面单价，元/平方米）</v>
      </c>
      <c r="Q49" s="3447"/>
      <c r="R49" s="3448">
        <f>IF(F1="售价",ROUND(IF(D48="简单平均",AVERAGE(R48:V48),R48*F48+T48*H48+V48*J48),0),ROUND(IF(D48="简单平均",AVERAGE(R48:V48),R48*F48+T48*H48+V48*J48),1))</f>
        <v>35734</v>
      </c>
      <c r="S49" s="3448"/>
      <c r="T49" s="3448"/>
      <c r="U49" s="3448"/>
      <c r="V49" s="3448"/>
      <c r="W49" s="3448"/>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5.4349444593347007E-2</v>
      </c>
      <c r="F52" s="1019" t="str">
        <f>IF(OR(E52&gt;=0.3,E52&lt;=-0.3),"超过30%","")</f>
        <v/>
      </c>
      <c r="G52" s="1018">
        <f>IF(G47&lt;G48,G48/G47-1,G47/G48-1)</f>
        <v>9.7374647244947488E-2</v>
      </c>
      <c r="H52" s="1019" t="str">
        <f>IF(OR(G52&gt;=0.3,G52&lt;=-0.3),"超过30%","")</f>
        <v/>
      </c>
      <c r="I52" s="1018">
        <f>IF(I47&lt;I48,I48/I47-1,I47/I48-1)</f>
        <v>8.1144437098035205E-4</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8.736300982939782E-2</v>
      </c>
      <c r="F53" s="1019" t="str">
        <f>IF(OR(E53&gt;=0.2,E53&lt;=-0.2),"超过20%","")</f>
        <v/>
      </c>
      <c r="G53" s="1018">
        <f>IF(G48&lt;I48,I48/G48-1,G48/I48-1)</f>
        <v>0.15603135040989757</v>
      </c>
      <c r="H53" s="1019" t="str">
        <f>IF(OR(G53&gt;=0.2,G53&lt;=-0.2),"超过20%","")</f>
        <v/>
      </c>
      <c r="I53" s="1018">
        <f>IF(I48&lt;E48,E48/I48-1,I48/E48-1)</f>
        <v>6.3151256719017557E-2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2876</v>
      </c>
      <c r="D86" s="2106" t="s">
        <v>2878</v>
      </c>
      <c r="E86" s="2106" t="s">
        <v>2858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C1" zoomScale="85" zoomScaleNormal="70" zoomScaleSheetLayoutView="85" workbookViewId="0">
      <selection activeCell="D5" sqref="D5"/>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101</v>
      </c>
      <c r="D1" s="1827" t="s">
        <v>124</v>
      </c>
      <c r="E1" s="1828" t="s">
        <v>1147</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435.89530000000002</v>
      </c>
      <c r="C2" s="1833" t="s">
        <v>1149</v>
      </c>
      <c r="D2" s="1834">
        <f ca="1">C40+J29+L46</f>
        <v>4358953</v>
      </c>
      <c r="E2" s="1835" t="s">
        <v>1438</v>
      </c>
      <c r="F2" s="1836"/>
      <c r="G2" s="1837"/>
      <c r="H2" s="1838"/>
      <c r="I2" s="3202">
        <f ca="1">F6*F7*F8/12</f>
        <v>28000.670833333334</v>
      </c>
      <c r="J2" s="1838"/>
      <c r="K2" s="1993"/>
      <c r="L2" s="1838"/>
      <c r="M2" s="1838"/>
    </row>
    <row r="3" spans="1:37" ht="18" customHeight="1">
      <c r="A3" s="1839" t="s">
        <v>1150</v>
      </c>
      <c r="B3" s="1840">
        <f ca="1">IF(ISERROR(D2/F43),0,ROUND(D2/F43,0))</f>
        <v>33145</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302785</v>
      </c>
      <c r="D5" s="1849" t="s">
        <v>1159</v>
      </c>
      <c r="E5" s="1850"/>
      <c r="F5" s="1851"/>
      <c r="G5" s="714"/>
      <c r="H5" s="1846">
        <v>1</v>
      </c>
      <c r="I5" s="1847" t="s">
        <v>1158</v>
      </c>
      <c r="J5" s="1848">
        <f ca="1">J6+J10+J12</f>
        <v>0</v>
      </c>
      <c r="K5" s="1849" t="s">
        <v>1159</v>
      </c>
      <c r="L5" s="1850"/>
      <c r="M5" s="1851"/>
    </row>
    <row r="6" spans="1:37" ht="18" customHeight="1">
      <c r="A6" s="1852" t="s">
        <v>905</v>
      </c>
      <c r="B6" s="3392" t="s">
        <v>1160</v>
      </c>
      <c r="C6" s="1853">
        <f ca="1">ROUND(F6*F8*F7*(1-F9),0)</f>
        <v>302407</v>
      </c>
      <c r="D6" s="1854" t="s">
        <v>1439</v>
      </c>
      <c r="E6" s="1855" t="s">
        <v>1162</v>
      </c>
      <c r="F6" s="1856">
        <f ca="1">INDIRECT("'数据-取费表'!u"&amp;$G$1)</f>
        <v>7</v>
      </c>
      <c r="G6" s="714"/>
      <c r="H6" s="1852" t="s">
        <v>905</v>
      </c>
      <c r="I6" s="3392" t="s">
        <v>1160</v>
      </c>
      <c r="J6" s="1926">
        <f ca="1">ROUND(M6*M8*M7*(1-M9),0)</f>
        <v>0</v>
      </c>
      <c r="K6" s="1996" t="s">
        <v>1440</v>
      </c>
      <c r="L6" s="1855" t="s">
        <v>1162</v>
      </c>
      <c r="M6" s="1856">
        <f ca="1">INDIRECT("'数据-取费表'!z"&amp;$G$1)</f>
        <v>0</v>
      </c>
    </row>
    <row r="7" spans="1:37" ht="18" customHeight="1">
      <c r="A7" s="1857"/>
      <c r="B7" s="3393"/>
      <c r="C7" s="1858"/>
      <c r="D7" s="1859"/>
      <c r="E7" s="1860" t="s">
        <v>1164</v>
      </c>
      <c r="F7" s="1856">
        <f ca="1">IF(INDIRECT("'数据-取费表'!ah"&amp;$G$1)="",INDIRECT("'数据-取费表'!k"&amp;$G$1),INDIRECT("'数据-取费表'!ah"&amp;$G$1))</f>
        <v>131.51</v>
      </c>
      <c r="G7" s="714"/>
      <c r="H7" s="1861"/>
      <c r="I7" s="3393"/>
      <c r="J7" s="1862"/>
      <c r="K7" s="1859"/>
      <c r="L7" s="1855" t="s">
        <v>1164</v>
      </c>
      <c r="M7" s="1856">
        <f ca="1">F7</f>
        <v>131.51</v>
      </c>
    </row>
    <row r="8" spans="1:37" ht="18" customHeight="1">
      <c r="A8" s="1861"/>
      <c r="B8" s="3393"/>
      <c r="C8" s="1862"/>
      <c r="D8" s="1859"/>
      <c r="E8" s="1855" t="s">
        <v>1165</v>
      </c>
      <c r="F8" s="1856">
        <f ca="1">INDIRECT("'数据-取费表'!ai"&amp;$G$1)</f>
        <v>365</v>
      </c>
      <c r="G8" s="714"/>
      <c r="H8" s="1861"/>
      <c r="I8" s="3393"/>
      <c r="J8" s="1862"/>
      <c r="K8" s="1859"/>
      <c r="L8" s="1855" t="s">
        <v>1165</v>
      </c>
      <c r="M8" s="1856">
        <f ca="1">INDIRECT("'数据-取费表'!ai"&amp;$G$1)</f>
        <v>365</v>
      </c>
    </row>
    <row r="9" spans="1:37" ht="18" customHeight="1">
      <c r="A9" s="1861"/>
      <c r="B9" s="3394"/>
      <c r="C9" s="1862"/>
      <c r="D9" s="1859"/>
      <c r="E9" s="1855" t="s">
        <v>1166</v>
      </c>
      <c r="F9" s="1863">
        <f ca="1">INDIRECT("'数据-取费表'!w"&amp;$G$1)</f>
        <v>0.1</v>
      </c>
      <c r="G9" s="714"/>
      <c r="H9" s="1861"/>
      <c r="I9" s="3394"/>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378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636979</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526040</v>
      </c>
      <c r="D14" s="1886" t="s">
        <v>1177</v>
      </c>
      <c r="E14" s="1887"/>
      <c r="F14" s="1888"/>
      <c r="G14" s="714"/>
      <c r="H14" s="1884" t="s">
        <v>905</v>
      </c>
      <c r="I14" s="1855" t="s">
        <v>1178</v>
      </c>
      <c r="J14" s="1469">
        <f ca="1">C29</f>
        <v>767444</v>
      </c>
      <c r="K14" s="2005"/>
      <c r="L14" s="2006"/>
      <c r="M14" s="2007"/>
    </row>
    <row r="15" spans="1:37" s="1823" customFormat="1" ht="18" customHeight="1">
      <c r="A15" s="1884" t="s">
        <v>933</v>
      </c>
      <c r="B15" s="1855" t="s">
        <v>1107</v>
      </c>
      <c r="C15" s="1469">
        <f ca="1">ROUND(C14*F15,0)</f>
        <v>26302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1535</v>
      </c>
      <c r="K16" s="1904" t="s">
        <v>1183</v>
      </c>
      <c r="L16" s="1905"/>
      <c r="M16" s="1851"/>
    </row>
    <row r="17" spans="1:37" s="1823" customFormat="1" ht="18" customHeight="1">
      <c r="A17" s="1884" t="s">
        <v>1184</v>
      </c>
      <c r="B17" s="1855" t="s">
        <v>1185</v>
      </c>
      <c r="C17" s="1469">
        <f ca="1">ROUND(F17*(F43+INDIRECT("'数据-取费表'!S"&amp;$G$1)),0)</f>
        <v>26302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10521</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589165</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11783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1535</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-1535</v>
      </c>
      <c r="K25" s="1923" t="s">
        <v>1221</v>
      </c>
      <c r="L25" s="1924"/>
      <c r="M25" s="1925"/>
    </row>
    <row r="26" spans="1:37" ht="18" customHeight="1">
      <c r="A26" s="1884" t="s">
        <v>928</v>
      </c>
      <c r="B26" s="1855" t="s">
        <v>1222</v>
      </c>
      <c r="C26" s="1469">
        <f ca="1">ROUND((C19+C20)*F26,0)</f>
        <v>90142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767444</v>
      </c>
      <c r="D29" s="1901"/>
      <c r="E29" s="1877"/>
      <c r="F29" s="1902"/>
      <c r="G29" s="1891"/>
      <c r="H29" s="1903" t="s">
        <v>1237</v>
      </c>
      <c r="I29" s="1932" t="s">
        <v>1238</v>
      </c>
      <c r="J29" s="1933">
        <f ca="1">ROUND(J26/(1+F40)^F41,0)</f>
        <v>0</v>
      </c>
      <c r="K29" s="1934" t="s">
        <v>1239</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54087</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50401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15840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34561</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1535</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637</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1514</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248698</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4317634</v>
      </c>
      <c r="D40" s="1914" t="s">
        <v>1227</v>
      </c>
      <c r="E40" s="1855" t="s">
        <v>1228</v>
      </c>
      <c r="F40" s="1863">
        <f ca="1">INDIRECT("'数据-取费表'!I"&amp;$G$1)</f>
        <v>5.5E-2</v>
      </c>
      <c r="G40" s="714"/>
      <c r="H40" s="1927">
        <f ca="1">C39/C5</f>
        <v>0.82136829763693708</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32831</v>
      </c>
      <c r="D43" s="1934" t="s">
        <v>1244</v>
      </c>
      <c r="E43" s="1935" t="s">
        <v>1245</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-434.8177</v>
      </c>
      <c r="D45" s="1941" t="s">
        <v>1446</v>
      </c>
      <c r="E45" s="1937"/>
      <c r="F45" s="1937"/>
      <c r="O45" s="2021" t="s">
        <v>1246</v>
      </c>
      <c r="P45" s="1927"/>
      <c r="Q45" s="1927"/>
      <c r="R45" s="1927"/>
    </row>
    <row r="46" spans="1:18" s="714" customFormat="1">
      <c r="A46" s="1942" t="s">
        <v>1247</v>
      </c>
      <c r="C46" s="1943">
        <f ca="1">ROUND(C45,0)</f>
        <v>-435</v>
      </c>
      <c r="D46" s="1944" t="str">
        <f>C2</f>
        <v>万元</v>
      </c>
      <c r="I46" s="2022" t="s">
        <v>1248</v>
      </c>
      <c r="J46" s="2023"/>
      <c r="K46" s="2024"/>
      <c r="L46" s="2025">
        <f ca="1">IF(M47="住宅",0,IF(L48&gt;J51,L60,J60))</f>
        <v>41319</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4317634</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41319</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767444</v>
      </c>
      <c r="R49" s="2070" t="s">
        <v>1256</v>
      </c>
    </row>
    <row r="50" spans="1:18" s="714" customFormat="1">
      <c r="A50" s="1960"/>
      <c r="B50" s="1431"/>
      <c r="C50" s="1961"/>
      <c r="D50" s="1962"/>
      <c r="E50" s="1963" t="s">
        <v>1164</v>
      </c>
      <c r="F50" s="1964">
        <f ca="1">F7</f>
        <v>131.51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3726207</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0" t="s">
        <v>1284</v>
      </c>
      <c r="L53" s="3391"/>
      <c r="O53" s="2033" t="s">
        <v>1109</v>
      </c>
      <c r="P53" s="2034" t="s">
        <v>1285</v>
      </c>
      <c r="Q53" s="2070">
        <f ca="1">Q47+Q48</f>
        <v>4358953</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c r="A56" s="1972">
        <v>2</v>
      </c>
      <c r="B56" s="1973" t="s">
        <v>1173</v>
      </c>
      <c r="C56" s="378">
        <f ca="1">C13</f>
        <v>636979</v>
      </c>
      <c r="D56" s="1974"/>
      <c r="E56" s="1975"/>
      <c r="F56" s="1971"/>
      <c r="I56" s="2058" t="s">
        <v>1290</v>
      </c>
      <c r="J56" s="2059" t="s">
        <v>1450</v>
      </c>
      <c r="K56" s="2035" t="s">
        <v>1291</v>
      </c>
      <c r="L56" s="2038" t="str">
        <f ca="1">IF(L48&lt;J51,"——",L48-J51)</f>
        <v>——</v>
      </c>
      <c r="O56" s="2033" t="s">
        <v>1012</v>
      </c>
      <c r="P56" s="2034" t="s">
        <v>1255</v>
      </c>
      <c r="Q56" s="2070">
        <f ca="1">C40+J29</f>
        <v>4317634</v>
      </c>
      <c r="R56" s="2070" t="s">
        <v>1256</v>
      </c>
    </row>
    <row r="57" spans="1:18" s="714" customFormat="1" ht="24">
      <c r="A57" s="1976"/>
      <c r="B57" s="1977" t="s">
        <v>1236</v>
      </c>
      <c r="C57" s="388">
        <f ca="1">C29</f>
        <v>767444</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2172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41319</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4317634</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1535</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637</v>
      </c>
      <c r="D65" s="1985" t="s">
        <v>1213</v>
      </c>
      <c r="E65" s="1977" t="s">
        <v>1180</v>
      </c>
      <c r="F65" s="1921">
        <f t="shared" ca="1" si="0"/>
        <v>1E-3</v>
      </c>
      <c r="I65" s="2066" t="s">
        <v>1314</v>
      </c>
      <c r="J65" s="1032">
        <v>40</v>
      </c>
      <c r="K65" s="1032">
        <v>30</v>
      </c>
      <c r="L65" s="1032">
        <v>50</v>
      </c>
      <c r="M65" s="2068">
        <v>0.02</v>
      </c>
      <c r="O65" s="2033" t="s">
        <v>1012</v>
      </c>
      <c r="P65" s="2034" t="s">
        <v>1255</v>
      </c>
      <c r="Q65" s="2070">
        <f ca="1">C40+J29</f>
        <v>4317634</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-2172</v>
      </c>
      <c r="D67" s="1984" t="s">
        <v>1221</v>
      </c>
      <c r="E67" s="2073"/>
      <c r="F67" s="2074"/>
      <c r="O67" s="2041" t="s">
        <v>1267</v>
      </c>
      <c r="P67" s="2034" t="s">
        <v>1298</v>
      </c>
      <c r="Q67" s="2094">
        <f ca="1">L51</f>
        <v>3726207</v>
      </c>
      <c r="R67" s="2070" t="s">
        <v>1315</v>
      </c>
    </row>
    <row r="68" spans="1:18" s="714" customFormat="1" ht="15.6">
      <c r="A68" s="2075" t="s">
        <v>1225</v>
      </c>
      <c r="B68" s="2076" t="s">
        <v>1242</v>
      </c>
      <c r="C68" s="1926">
        <f ca="1">ROUND(C67*(1-((1+F70)/(1+F68))^F69)/(F68-F70),0)</f>
        <v>-30543</v>
      </c>
      <c r="D68" s="1987" t="s">
        <v>1227</v>
      </c>
      <c r="E68" s="1977" t="s">
        <v>1228</v>
      </c>
      <c r="F68" s="1863">
        <f ca="1">F40</f>
        <v>5.5E-2</v>
      </c>
      <c r="O68" s="2041" t="s">
        <v>1271</v>
      </c>
      <c r="P68" s="2093" t="s">
        <v>1316</v>
      </c>
      <c r="Q68" s="2070">
        <f ca="1">ROUND(Q69-Q70*Q71,0)</f>
        <v>204109</v>
      </c>
      <c r="R68" s="2070" t="s">
        <v>1317</v>
      </c>
    </row>
    <row r="69" spans="1:18" s="714" customFormat="1">
      <c r="A69" s="2077"/>
      <c r="B69" s="2078"/>
      <c r="C69" s="1862"/>
      <c r="D69" s="2079" t="s">
        <v>1231</v>
      </c>
      <c r="E69" s="1977" t="s">
        <v>1232</v>
      </c>
      <c r="F69" s="1930">
        <f ca="1">F41</f>
        <v>27.73</v>
      </c>
      <c r="O69" s="2041" t="s">
        <v>1318</v>
      </c>
      <c r="P69" s="2093" t="s">
        <v>1319</v>
      </c>
      <c r="Q69" s="2070">
        <f ca="1">C39</f>
        <v>248698</v>
      </c>
      <c r="R69" s="2070" t="s">
        <v>1256</v>
      </c>
    </row>
    <row r="70" spans="1:18" s="714" customFormat="1">
      <c r="A70" s="2080"/>
      <c r="B70" s="2081"/>
      <c r="C70" s="1881"/>
      <c r="D70" s="1989"/>
      <c r="E70" s="1977" t="s">
        <v>1235</v>
      </c>
      <c r="F70" s="1967"/>
      <c r="O70" s="2041" t="s">
        <v>1320</v>
      </c>
      <c r="P70" s="2093" t="s">
        <v>1321</v>
      </c>
      <c r="Q70" s="2070">
        <f ca="1">C13</f>
        <v>636979</v>
      </c>
      <c r="R70" s="2070" t="s">
        <v>1256</v>
      </c>
    </row>
    <row r="71" spans="1:18" s="714" customFormat="1">
      <c r="A71" s="2082" t="s">
        <v>1237</v>
      </c>
      <c r="B71" s="2083" t="s">
        <v>1243</v>
      </c>
      <c r="C71" s="1933">
        <f ca="1">ROUND(C68/F71,0)</f>
        <v>-232</v>
      </c>
      <c r="D71" s="2084" t="s">
        <v>1244</v>
      </c>
      <c r="E71" s="2085" t="s">
        <v>1245</v>
      </c>
      <c r="F71" s="1936">
        <f ca="1">F43</f>
        <v>131.51</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44589</v>
      </c>
      <c r="D75" s="714"/>
      <c r="E75" s="714"/>
      <c r="F75" s="714"/>
      <c r="K75" s="2020"/>
      <c r="L75" s="714"/>
      <c r="O75" s="2033" t="s">
        <v>1109</v>
      </c>
      <c r="P75" s="2034" t="s">
        <v>1285</v>
      </c>
      <c r="Q75" s="2070">
        <f ca="1">Q65+Q66</f>
        <v>4317634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0.82099999999999995</v>
      </c>
    </row>
    <row r="80" spans="1:18">
      <c r="B80" s="2087" t="s">
        <v>1331</v>
      </c>
      <c r="C80" s="421">
        <f ca="1">ROUND(C75/C39,3)</f>
        <v>0.17899999999999999</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56" t="s">
        <v>1456</v>
      </c>
      <c r="K2" s="3457"/>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58" t="s">
        <v>1464</v>
      </c>
      <c r="K3" s="3459"/>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58" t="s">
        <v>1465</v>
      </c>
      <c r="K4" s="3459"/>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60" t="s">
        <v>1469</v>
      </c>
      <c r="B6" s="3461"/>
      <c r="C6" s="3462"/>
      <c r="D6" s="1678"/>
      <c r="E6" s="1679"/>
      <c r="F6" s="1680"/>
      <c r="G6" s="1681"/>
      <c r="H6" s="1669"/>
      <c r="I6" s="1754"/>
      <c r="J6" s="3469">
        <v>1</v>
      </c>
      <c r="K6" s="3472"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69"/>
      <c r="K7" s="3473"/>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63" t="s">
        <v>1483</v>
      </c>
      <c r="C8" s="3464"/>
      <c r="D8" s="1692" t="s">
        <v>1484</v>
      </c>
      <c r="E8" s="1693" t="s">
        <v>1485</v>
      </c>
      <c r="F8" s="1694" t="s">
        <v>1486</v>
      </c>
      <c r="G8" s="1695"/>
      <c r="H8" s="1669"/>
      <c r="I8" s="1754"/>
      <c r="J8" s="3469"/>
      <c r="K8" s="3473"/>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63" t="s">
        <v>1489</v>
      </c>
      <c r="C9" s="3464"/>
      <c r="D9" s="1692">
        <f>ROUND(D6*E9,0)</f>
        <v>0</v>
      </c>
      <c r="E9" s="1696"/>
      <c r="F9" s="1697" t="s">
        <v>1490</v>
      </c>
      <c r="G9" s="1681"/>
      <c r="H9" s="1669"/>
      <c r="I9" s="1754"/>
      <c r="J9" s="3469"/>
      <c r="K9" s="3473"/>
      <c r="L9" s="1774" t="s">
        <v>1491</v>
      </c>
      <c r="M9" s="1775"/>
      <c r="N9" s="1674"/>
      <c r="O9" s="1776"/>
      <c r="P9" s="1776"/>
      <c r="Q9" s="1707">
        <v>365</v>
      </c>
      <c r="R9" s="1808">
        <f t="shared" si="0"/>
        <v>0</v>
      </c>
      <c r="S9" s="1723"/>
      <c r="T9" s="1723"/>
      <c r="U9" s="1723"/>
      <c r="V9" s="1754"/>
    </row>
    <row r="10" spans="1:22" s="1651" customFormat="1" ht="13.2" customHeight="1">
      <c r="A10" s="1689">
        <v>2</v>
      </c>
      <c r="B10" s="3463" t="s">
        <v>1492</v>
      </c>
      <c r="C10" s="3464"/>
      <c r="D10" s="1692">
        <f>ROUND(D6*E10,0)</f>
        <v>0</v>
      </c>
      <c r="E10" s="1696"/>
      <c r="F10" s="1697" t="s">
        <v>1493</v>
      </c>
      <c r="G10" s="1681"/>
      <c r="H10" s="1669"/>
      <c r="I10" s="1754"/>
      <c r="J10" s="3469"/>
      <c r="K10" s="3473"/>
      <c r="L10" s="1774" t="s">
        <v>1494</v>
      </c>
      <c r="M10" s="1775"/>
      <c r="N10" s="1674"/>
      <c r="O10" s="1776"/>
      <c r="P10" s="1776"/>
      <c r="Q10" s="1707">
        <v>365</v>
      </c>
      <c r="R10" s="1808">
        <f t="shared" si="0"/>
        <v>0</v>
      </c>
      <c r="S10" s="1723"/>
      <c r="T10" s="1723"/>
      <c r="U10" s="1723"/>
      <c r="V10" s="1754"/>
    </row>
    <row r="11" spans="1:22" s="1651" customFormat="1" ht="13.2" customHeight="1">
      <c r="A11" s="1689">
        <v>3</v>
      </c>
      <c r="B11" s="3463" t="s">
        <v>1495</v>
      </c>
      <c r="C11" s="3464"/>
      <c r="D11" s="1692">
        <f>D12+D14+D15+D16</f>
        <v>0</v>
      </c>
      <c r="E11" s="1698" t="e">
        <f>D11/D6</f>
        <v>#DIV/0!</v>
      </c>
      <c r="F11" s="1694"/>
      <c r="G11" s="1695"/>
      <c r="H11" s="1669"/>
      <c r="I11" s="1754"/>
      <c r="J11" s="3469"/>
      <c r="K11" s="3473"/>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5" t="s">
        <v>1498</v>
      </c>
      <c r="C12" s="3466"/>
      <c r="D12" s="1702">
        <f>ROUND(D13*1.2%*(1-30%),0)</f>
        <v>0</v>
      </c>
      <c r="E12" s="1703">
        <v>1.2E-2</v>
      </c>
      <c r="F12" s="1694" t="s">
        <v>1499</v>
      </c>
      <c r="G12" s="1695"/>
      <c r="H12" s="1669"/>
      <c r="I12" s="1754"/>
      <c r="J12" s="3469"/>
      <c r="K12" s="3473"/>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69"/>
      <c r="K13" s="3473"/>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5" t="s">
        <v>1504</v>
      </c>
      <c r="C14" s="3466"/>
      <c r="D14" s="1702">
        <f>ROUND(E14*B5/10000,0)</f>
        <v>0</v>
      </c>
      <c r="E14" s="1707"/>
      <c r="F14" s="1694" t="s">
        <v>1505</v>
      </c>
      <c r="G14" s="1695"/>
      <c r="H14" s="1669"/>
      <c r="I14" s="1754"/>
      <c r="J14" s="3469"/>
      <c r="K14" s="3474"/>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5" t="s">
        <v>1508</v>
      </c>
      <c r="C15" s="3466"/>
      <c r="D15" s="1702">
        <f>ROUND(D6*E15,0)</f>
        <v>0</v>
      </c>
      <c r="E15" s="1703">
        <v>5.5E-2</v>
      </c>
      <c r="F15" s="1694" t="s">
        <v>1509</v>
      </c>
      <c r="G15" s="1681"/>
      <c r="H15" s="1669"/>
      <c r="I15" s="1754"/>
      <c r="J15" s="3469">
        <v>2</v>
      </c>
      <c r="K15" s="3472"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5" t="s">
        <v>1516</v>
      </c>
      <c r="C16" s="3466"/>
      <c r="D16" s="1708">
        <f>D6*E16</f>
        <v>0</v>
      </c>
      <c r="E16" s="1709"/>
      <c r="F16" s="1697" t="s">
        <v>1517</v>
      </c>
      <c r="G16" s="1681"/>
      <c r="H16" s="1669"/>
      <c r="I16" s="1754"/>
      <c r="J16" s="3469"/>
      <c r="K16" s="3473"/>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7" t="s">
        <v>1519</v>
      </c>
      <c r="C17" s="3468"/>
      <c r="D17" s="1711">
        <f>ROUND(D6*E17,0)</f>
        <v>0</v>
      </c>
      <c r="E17" s="1712"/>
      <c r="F17" s="1713" t="s">
        <v>1520</v>
      </c>
      <c r="G17" s="1681"/>
      <c r="H17" s="1669"/>
      <c r="I17" s="1754"/>
      <c r="J17" s="3469"/>
      <c r="K17" s="3473"/>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69"/>
      <c r="K18" s="3473"/>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69"/>
      <c r="K19" s="3474"/>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9">
        <v>3</v>
      </c>
      <c r="K20" s="3472"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69"/>
      <c r="K21" s="3473"/>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69"/>
      <c r="K22" s="3473"/>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69"/>
      <c r="K23" s="3473"/>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69"/>
      <c r="K24" s="3474"/>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70">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71"/>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56" t="s">
        <v>1456</v>
      </c>
      <c r="K32" s="3457"/>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58" t="s">
        <v>1464</v>
      </c>
      <c r="K33" s="3459"/>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58" t="s">
        <v>1465</v>
      </c>
      <c r="K34" s="3459"/>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69">
        <v>1</v>
      </c>
      <c r="K36" s="3472"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69"/>
      <c r="K37" s="3473"/>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9"/>
      <c r="K38" s="3473"/>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69"/>
      <c r="K39" s="3473"/>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69"/>
      <c r="K40" s="3474"/>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70">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71"/>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624.66229999999996</v>
      </c>
      <c r="C2" s="1636" t="s">
        <v>1566</v>
      </c>
      <c r="D2" s="1637" t="s">
        <v>1567</v>
      </c>
      <c r="E2" s="1638">
        <f>SUM(E6:E13)</f>
        <v>205.1</v>
      </c>
      <c r="F2" s="1634"/>
      <c r="G2" s="1400"/>
      <c r="H2" s="1400"/>
      <c r="I2" s="1400"/>
      <c r="J2" s="1400"/>
      <c r="K2" s="1400"/>
      <c r="L2" s="1400"/>
      <c r="M2" s="1400"/>
      <c r="N2" s="1400"/>
      <c r="O2" s="1400"/>
      <c r="P2" s="1400"/>
      <c r="Q2" s="1400"/>
      <c r="R2" s="1400"/>
      <c r="S2" s="1400"/>
    </row>
    <row r="3" spans="1:22" ht="15.6">
      <c r="A3" s="1635" t="s">
        <v>999</v>
      </c>
      <c r="B3" s="1639">
        <f ca="1">ROUND(B2*10000/E2,0)</f>
        <v>30456</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5" t="s">
        <v>1570</v>
      </c>
      <c r="C5" s="3476"/>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435.89530000000002</v>
      </c>
      <c r="C6" s="1636" t="s">
        <v>1566</v>
      </c>
      <c r="D6" s="1634"/>
      <c r="E6" s="1646">
        <f>IF(OR(A6=0,F6="否"),0,'数据-取费表'!K6+'数据-取费表'!S6)</f>
        <v>131.51</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86.976500000000001</v>
      </c>
      <c r="C7" s="1636" t="s">
        <v>1566</v>
      </c>
      <c r="D7" s="1634"/>
      <c r="E7" s="1646">
        <f>IF(OR(A7=0,F7="否"),0,'数据-取费表'!K7+'数据-取费表'!S7)</f>
        <v>30.61</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101.79049999999999</v>
      </c>
      <c r="C8" s="1636" t="s">
        <v>1566</v>
      </c>
      <c r="D8" s="1634"/>
      <c r="E8" s="1646">
        <f>IF(OR(A8=0,F8="否"),0,'数据-取费表'!K8+'数据-取费表'!S8)</f>
        <v>42.98</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395" t="s">
        <v>1347</v>
      </c>
      <c r="D4" s="3396"/>
      <c r="E4" s="3397" t="s">
        <v>1348</v>
      </c>
      <c r="F4" s="3398"/>
      <c r="G4" s="3395" t="s">
        <v>1349</v>
      </c>
      <c r="H4" s="3396"/>
      <c r="I4" s="3395" t="s">
        <v>1350</v>
      </c>
      <c r="J4" s="3396"/>
      <c r="K4" s="1569"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49" t="s">
        <v>1349</v>
      </c>
      <c r="AC4" s="3449" t="s">
        <v>1350</v>
      </c>
    </row>
    <row r="5" spans="1:29">
      <c r="A5" s="922"/>
      <c r="B5" s="923"/>
      <c r="C5" s="3443" t="s">
        <v>1575</v>
      </c>
      <c r="D5" s="3400"/>
      <c r="E5" s="3477" t="s">
        <v>1576</v>
      </c>
      <c r="F5" s="3445"/>
      <c r="G5" s="3443" t="s">
        <v>1577</v>
      </c>
      <c r="H5" s="3400"/>
      <c r="I5" s="3443" t="s">
        <v>1353</v>
      </c>
      <c r="J5" s="3400"/>
      <c r="K5" s="1570"/>
      <c r="L5" s="1065"/>
      <c r="M5" s="1015"/>
      <c r="N5" s="1015"/>
      <c r="O5" s="1015"/>
      <c r="P5" s="3452"/>
      <c r="Q5" s="3433"/>
      <c r="R5" s="3438"/>
      <c r="S5" s="3439"/>
      <c r="T5" s="3438"/>
      <c r="U5" s="3439"/>
      <c r="V5" s="3411"/>
      <c r="W5" s="3411"/>
      <c r="X5" s="1113"/>
      <c r="Y5" s="3438"/>
      <c r="Z5" s="3439"/>
      <c r="AA5" s="3425"/>
      <c r="AB5" s="3425"/>
      <c r="AC5" s="3425"/>
    </row>
    <row r="6" spans="1:29" ht="14.4">
      <c r="A6" s="924"/>
      <c r="B6" s="925"/>
      <c r="C6" s="3401" t="s">
        <v>1354</v>
      </c>
      <c r="D6" s="3402"/>
      <c r="E6" s="3403" t="s">
        <v>1354</v>
      </c>
      <c r="F6" s="3404"/>
      <c r="G6" s="3401" t="s">
        <v>1354</v>
      </c>
      <c r="H6" s="3402"/>
      <c r="I6" s="3401" t="s">
        <v>1354</v>
      </c>
      <c r="J6" s="3402"/>
      <c r="K6" s="1570" t="s">
        <v>1355</v>
      </c>
      <c r="L6" s="1065"/>
      <c r="M6" s="1015"/>
      <c r="N6" s="1015"/>
      <c r="O6" s="1015"/>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07" t="s">
        <v>1357</v>
      </c>
      <c r="Q7" s="3406"/>
      <c r="R7" s="1114" t="s">
        <v>1358</v>
      </c>
      <c r="S7" s="1115">
        <f t="shared" ref="S7:S15" si="0">F7</f>
        <v>0</v>
      </c>
      <c r="T7" s="1114" t="s">
        <v>1358</v>
      </c>
      <c r="U7" s="1115">
        <f t="shared" ref="U7:U15" si="1">H7</f>
        <v>0</v>
      </c>
      <c r="V7" s="1114" t="s">
        <v>1358</v>
      </c>
      <c r="W7" s="1115">
        <f t="shared" ref="W7:W15" si="2">J7</f>
        <v>0</v>
      </c>
      <c r="X7" s="1116"/>
      <c r="Y7" s="3407" t="s">
        <v>1357</v>
      </c>
      <c r="Z7" s="3408"/>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07" t="s">
        <v>1361</v>
      </c>
      <c r="Q8" s="3408"/>
      <c r="R8" s="1114" t="s">
        <v>1358</v>
      </c>
      <c r="S8" s="1115">
        <f t="shared" si="0"/>
        <v>100</v>
      </c>
      <c r="T8" s="1114" t="s">
        <v>1358</v>
      </c>
      <c r="U8" s="1115">
        <f t="shared" si="1"/>
        <v>100</v>
      </c>
      <c r="V8" s="1114" t="s">
        <v>1358</v>
      </c>
      <c r="W8" s="1115">
        <f t="shared" si="2"/>
        <v>100</v>
      </c>
      <c r="X8" s="1116"/>
      <c r="Y8" s="3407" t="s">
        <v>1361</v>
      </c>
      <c r="Z8" s="3408"/>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9"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9"/>
      <c r="Q10" s="790" t="str">
        <f t="shared" si="6"/>
        <v>土地使用年限（年）</v>
      </c>
      <c r="R10" s="1114" t="s">
        <v>1358</v>
      </c>
      <c r="S10" s="1115">
        <f t="shared" si="0"/>
        <v>100</v>
      </c>
      <c r="T10" s="1114" t="s">
        <v>1358</v>
      </c>
      <c r="U10" s="1115">
        <f t="shared" si="1"/>
        <v>100</v>
      </c>
      <c r="V10" s="1114" t="s">
        <v>1358</v>
      </c>
      <c r="W10" s="1115">
        <f t="shared" si="2"/>
        <v>100</v>
      </c>
      <c r="X10" s="1116"/>
      <c r="Y10" s="3381"/>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9"/>
      <c r="Q11" s="790" t="str">
        <f t="shared" si="6"/>
        <v>容积率</v>
      </c>
      <c r="R11" s="1114" t="s">
        <v>1358</v>
      </c>
      <c r="S11" s="1115" t="e">
        <f t="shared" si="0"/>
        <v>#N/A</v>
      </c>
      <c r="T11" s="1114" t="s">
        <v>1358</v>
      </c>
      <c r="U11" s="1115" t="e">
        <f t="shared" si="1"/>
        <v>#N/A</v>
      </c>
      <c r="V11" s="1114" t="s">
        <v>1358</v>
      </c>
      <c r="W11" s="1115" t="e">
        <f t="shared" si="2"/>
        <v>#N/A</v>
      </c>
      <c r="X11" s="1116"/>
      <c r="Y11" s="3381"/>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9"/>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2" t="s">
        <v>1370</v>
      </c>
      <c r="Q15" s="621" t="str">
        <f t="shared" si="6"/>
        <v>居住社区成熟度</v>
      </c>
      <c r="R15" s="1118" t="s">
        <v>1358</v>
      </c>
      <c r="S15" s="1119">
        <f t="shared" si="0"/>
        <v>100</v>
      </c>
      <c r="T15" s="1118" t="s">
        <v>1358</v>
      </c>
      <c r="U15" s="1119">
        <f t="shared" si="1"/>
        <v>100</v>
      </c>
      <c r="V15" s="1118" t="s">
        <v>1358</v>
      </c>
      <c r="W15" s="1119">
        <f t="shared" si="2"/>
        <v>100</v>
      </c>
      <c r="X15" s="1113"/>
      <c r="Y15" s="3417"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3"/>
      <c r="Q16" s="621"/>
      <c r="R16" s="1118"/>
      <c r="S16" s="1119"/>
      <c r="T16" s="1118"/>
      <c r="U16" s="1119"/>
      <c r="V16" s="1118"/>
      <c r="W16" s="1119"/>
      <c r="X16" s="1113"/>
      <c r="Y16" s="3418"/>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3"/>
      <c r="Q17" s="621" t="str">
        <f>B17</f>
        <v>交通便捷度</v>
      </c>
      <c r="R17" s="1118" t="s">
        <v>1358</v>
      </c>
      <c r="S17" s="1119">
        <f>F17</f>
        <v>100</v>
      </c>
      <c r="T17" s="1118" t="s">
        <v>1358</v>
      </c>
      <c r="U17" s="1119">
        <f>H17</f>
        <v>100</v>
      </c>
      <c r="V17" s="1118" t="s">
        <v>1358</v>
      </c>
      <c r="W17" s="1119">
        <f>J17</f>
        <v>100</v>
      </c>
      <c r="X17" s="1113"/>
      <c r="Y17" s="3418"/>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3"/>
      <c r="Q18" s="621"/>
      <c r="R18" s="1118"/>
      <c r="S18" s="1119"/>
      <c r="T18" s="1118"/>
      <c r="U18" s="1119"/>
      <c r="V18" s="1118"/>
      <c r="W18" s="1119"/>
      <c r="X18" s="1113"/>
      <c r="Y18" s="3418"/>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3"/>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3"/>
      <c r="Q20" s="621"/>
      <c r="R20" s="1118"/>
      <c r="S20" s="1119"/>
      <c r="T20" s="1118"/>
      <c r="U20" s="1119"/>
      <c r="V20" s="1118"/>
      <c r="W20" s="1119"/>
      <c r="X20" s="1113"/>
      <c r="Y20" s="3418"/>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3"/>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3"/>
      <c r="Q22" s="621"/>
      <c r="R22" s="1118"/>
      <c r="S22" s="1119"/>
      <c r="T22" s="1118"/>
      <c r="U22" s="1119"/>
      <c r="V22" s="1118"/>
      <c r="W22" s="1119"/>
      <c r="X22" s="1113"/>
      <c r="Y22" s="3418"/>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3"/>
      <c r="Q23" s="621" t="str">
        <f>B23</f>
        <v>自然及人文环境</v>
      </c>
      <c r="R23" s="1118" t="s">
        <v>1358</v>
      </c>
      <c r="S23" s="1119">
        <f>F23</f>
        <v>100</v>
      </c>
      <c r="T23" s="1118" t="s">
        <v>1358</v>
      </c>
      <c r="U23" s="1119">
        <f>H23</f>
        <v>100</v>
      </c>
      <c r="V23" s="1118" t="s">
        <v>1358</v>
      </c>
      <c r="W23" s="1119">
        <f>J23</f>
        <v>100</v>
      </c>
      <c r="X23" s="1113"/>
      <c r="Y23" s="3418"/>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3"/>
      <c r="Q24" s="621"/>
      <c r="R24" s="1118"/>
      <c r="S24" s="1119"/>
      <c r="T24" s="1118"/>
      <c r="U24" s="1119"/>
      <c r="V24" s="1118"/>
      <c r="W24" s="1119"/>
      <c r="X24" s="1113"/>
      <c r="Y24" s="3418"/>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3"/>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18"/>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3"/>
      <c r="Q26" s="621" t="str">
        <f t="shared" si="11"/>
        <v>朝向</v>
      </c>
      <c r="R26" s="1118" t="s">
        <v>1358</v>
      </c>
      <c r="S26" s="1119">
        <f t="shared" si="12"/>
        <v>100</v>
      </c>
      <c r="T26" s="1118" t="s">
        <v>1358</v>
      </c>
      <c r="U26" s="1119">
        <f t="shared" si="13"/>
        <v>100</v>
      </c>
      <c r="V26" s="1118" t="s">
        <v>1358</v>
      </c>
      <c r="W26" s="1119">
        <f t="shared" si="14"/>
        <v>100</v>
      </c>
      <c r="X26" s="1113"/>
      <c r="Y26" s="3418"/>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3"/>
      <c r="Q27" s="790">
        <f t="shared" si="11"/>
        <v>111</v>
      </c>
      <c r="R27" s="1114" t="s">
        <v>1358</v>
      </c>
      <c r="S27" s="1115">
        <f t="shared" si="12"/>
        <v>100</v>
      </c>
      <c r="T27" s="1114" t="s">
        <v>1358</v>
      </c>
      <c r="U27" s="1115">
        <f t="shared" si="13"/>
        <v>100</v>
      </c>
      <c r="V27" s="1114" t="s">
        <v>1358</v>
      </c>
      <c r="W27" s="1115">
        <f t="shared" si="14"/>
        <v>100</v>
      </c>
      <c r="X27" s="1116"/>
      <c r="Y27" s="3418"/>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3"/>
      <c r="Q28" s="621">
        <f t="shared" si="11"/>
        <v>111</v>
      </c>
      <c r="R28" s="1118" t="s">
        <v>1358</v>
      </c>
      <c r="S28" s="1119">
        <f t="shared" si="12"/>
        <v>100</v>
      </c>
      <c r="T28" s="1118" t="s">
        <v>1358</v>
      </c>
      <c r="U28" s="1119">
        <f t="shared" si="13"/>
        <v>100</v>
      </c>
      <c r="V28" s="1118" t="s">
        <v>1358</v>
      </c>
      <c r="W28" s="1119">
        <f t="shared" si="14"/>
        <v>100</v>
      </c>
      <c r="X28" s="1113"/>
      <c r="Y28" s="3418"/>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3"/>
      <c r="Q29" s="621">
        <f t="shared" si="11"/>
        <v>111</v>
      </c>
      <c r="R29" s="1118" t="s">
        <v>1358</v>
      </c>
      <c r="S29" s="1119">
        <f t="shared" si="12"/>
        <v>100</v>
      </c>
      <c r="T29" s="1118" t="s">
        <v>1358</v>
      </c>
      <c r="U29" s="1119">
        <f t="shared" si="13"/>
        <v>100</v>
      </c>
      <c r="V29" s="1118" t="s">
        <v>1358</v>
      </c>
      <c r="W29" s="1119">
        <f t="shared" si="14"/>
        <v>100</v>
      </c>
      <c r="X29" s="1113"/>
      <c r="Y29" s="3418"/>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3"/>
      <c r="Q30" s="621">
        <f t="shared" si="11"/>
        <v>111</v>
      </c>
      <c r="R30" s="1118" t="s">
        <v>1358</v>
      </c>
      <c r="S30" s="1119">
        <f t="shared" si="12"/>
        <v>100</v>
      </c>
      <c r="T30" s="1118" t="s">
        <v>1358</v>
      </c>
      <c r="U30" s="1119">
        <f t="shared" si="13"/>
        <v>100</v>
      </c>
      <c r="V30" s="1118" t="s">
        <v>1358</v>
      </c>
      <c r="W30" s="1119">
        <f t="shared" si="14"/>
        <v>100</v>
      </c>
      <c r="X30" s="1113"/>
      <c r="Y30" s="3418"/>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3"/>
      <c r="Q31" s="621">
        <f t="shared" si="11"/>
        <v>111</v>
      </c>
      <c r="R31" s="1118" t="s">
        <v>1358</v>
      </c>
      <c r="S31" s="1119">
        <f t="shared" si="12"/>
        <v>100</v>
      </c>
      <c r="T31" s="1118" t="s">
        <v>1358</v>
      </c>
      <c r="U31" s="1119">
        <f t="shared" si="13"/>
        <v>100</v>
      </c>
      <c r="V31" s="1118" t="s">
        <v>1358</v>
      </c>
      <c r="W31" s="1119">
        <f t="shared" si="14"/>
        <v>100</v>
      </c>
      <c r="X31" s="1113"/>
      <c r="Y31" s="3418"/>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14" t="s">
        <v>1384</v>
      </c>
      <c r="Q32" s="621" t="str">
        <f t="shared" si="11"/>
        <v>建筑类型</v>
      </c>
      <c r="R32" s="1118" t="s">
        <v>1358</v>
      </c>
      <c r="S32" s="1119">
        <f t="shared" si="12"/>
        <v>100</v>
      </c>
      <c r="T32" s="1118" t="s">
        <v>1358</v>
      </c>
      <c r="U32" s="1119">
        <f t="shared" si="13"/>
        <v>100</v>
      </c>
      <c r="V32" s="1118" t="s">
        <v>1358</v>
      </c>
      <c r="W32" s="1119">
        <f t="shared" si="14"/>
        <v>100</v>
      </c>
      <c r="X32" s="1113"/>
      <c r="Y32" s="3419"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15"/>
      <c r="Q33" s="1308" t="str">
        <f t="shared" si="11"/>
        <v>项目建筑规模</v>
      </c>
      <c r="R33" s="1120" t="s">
        <v>1358</v>
      </c>
      <c r="S33" s="1121" t="e">
        <f t="shared" si="12"/>
        <v>#N/A</v>
      </c>
      <c r="T33" s="1120" t="s">
        <v>1358</v>
      </c>
      <c r="U33" s="1121" t="e">
        <f t="shared" si="13"/>
        <v>#N/A</v>
      </c>
      <c r="V33" s="1120" t="s">
        <v>1358</v>
      </c>
      <c r="W33" s="1121" t="e">
        <f t="shared" si="14"/>
        <v>#N/A</v>
      </c>
      <c r="X33" s="1122"/>
      <c r="Y33" s="3419"/>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15"/>
      <c r="Q34" s="621" t="str">
        <f t="shared" si="11"/>
        <v>建筑结构</v>
      </c>
      <c r="R34" s="1118" t="s">
        <v>1358</v>
      </c>
      <c r="S34" s="1119">
        <f t="shared" si="12"/>
        <v>100</v>
      </c>
      <c r="T34" s="1118" t="s">
        <v>1358</v>
      </c>
      <c r="U34" s="1119">
        <f t="shared" si="13"/>
        <v>100</v>
      </c>
      <c r="V34" s="1118" t="s">
        <v>1358</v>
      </c>
      <c r="W34" s="1119">
        <f t="shared" si="14"/>
        <v>100</v>
      </c>
      <c r="X34" s="1113"/>
      <c r="Y34" s="3419"/>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15"/>
      <c r="Q35" s="621" t="str">
        <f t="shared" si="11"/>
        <v>建筑品质</v>
      </c>
      <c r="R35" s="1118" t="s">
        <v>1358</v>
      </c>
      <c r="S35" s="1119">
        <f t="shared" si="12"/>
        <v>100</v>
      </c>
      <c r="T35" s="1118" t="s">
        <v>1358</v>
      </c>
      <c r="U35" s="1119">
        <f t="shared" si="13"/>
        <v>100</v>
      </c>
      <c r="V35" s="1118" t="s">
        <v>1358</v>
      </c>
      <c r="W35" s="1119">
        <f t="shared" si="14"/>
        <v>100</v>
      </c>
      <c r="X35" s="1113"/>
      <c r="Y35" s="3419"/>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15"/>
      <c r="Q36" s="621" t="str">
        <f t="shared" si="11"/>
        <v>公共部分装修</v>
      </c>
      <c r="R36" s="1118" t="s">
        <v>1358</v>
      </c>
      <c r="S36" s="1119">
        <f t="shared" si="12"/>
        <v>100</v>
      </c>
      <c r="T36" s="1118" t="s">
        <v>1358</v>
      </c>
      <c r="U36" s="1119">
        <f t="shared" si="13"/>
        <v>100</v>
      </c>
      <c r="V36" s="1118" t="s">
        <v>1358</v>
      </c>
      <c r="W36" s="1119">
        <f t="shared" si="14"/>
        <v>100</v>
      </c>
      <c r="X36" s="1113"/>
      <c r="Y36" s="3419"/>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15"/>
      <c r="Q37" s="790" t="str">
        <f t="shared" si="11"/>
        <v>成新度</v>
      </c>
      <c r="R37" s="1114" t="s">
        <v>1358</v>
      </c>
      <c r="S37" s="1115" t="e">
        <f t="shared" si="12"/>
        <v>#N/A</v>
      </c>
      <c r="T37" s="1114" t="s">
        <v>1358</v>
      </c>
      <c r="U37" s="1115" t="e">
        <f t="shared" si="13"/>
        <v>#N/A</v>
      </c>
      <c r="V37" s="1114" t="s">
        <v>1358</v>
      </c>
      <c r="W37" s="1115" t="e">
        <f t="shared" si="14"/>
        <v>#N/A</v>
      </c>
      <c r="X37" s="1116"/>
      <c r="Y37" s="3419"/>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15" t="s">
        <v>1384</v>
      </c>
      <c r="Q38" s="621" t="str">
        <f t="shared" si="11"/>
        <v>物业管理</v>
      </c>
      <c r="R38" s="1118" t="s">
        <v>1358</v>
      </c>
      <c r="S38" s="1119">
        <f t="shared" si="12"/>
        <v>100</v>
      </c>
      <c r="T38" s="1118" t="s">
        <v>1358</v>
      </c>
      <c r="U38" s="1119">
        <f t="shared" si="13"/>
        <v>100</v>
      </c>
      <c r="V38" s="1118" t="s">
        <v>1358</v>
      </c>
      <c r="W38" s="1119">
        <f t="shared" si="14"/>
        <v>100</v>
      </c>
      <c r="X38" s="1113"/>
      <c r="Y38" s="3419"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15"/>
      <c r="Q39" s="621" t="str">
        <f t="shared" si="11"/>
        <v>市政基础设施</v>
      </c>
      <c r="R39" s="1118" t="s">
        <v>1358</v>
      </c>
      <c r="S39" s="1119">
        <f t="shared" si="12"/>
        <v>100</v>
      </c>
      <c r="T39" s="1118" t="s">
        <v>1358</v>
      </c>
      <c r="U39" s="1119">
        <f t="shared" si="13"/>
        <v>100</v>
      </c>
      <c r="V39" s="1118" t="s">
        <v>1358</v>
      </c>
      <c r="W39" s="1119">
        <f t="shared" si="14"/>
        <v>100</v>
      </c>
      <c r="X39" s="1113"/>
      <c r="Y39" s="3419"/>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15"/>
      <c r="Q40" s="621" t="str">
        <f t="shared" si="11"/>
        <v>房型</v>
      </c>
      <c r="R40" s="1118" t="s">
        <v>1358</v>
      </c>
      <c r="S40" s="1119">
        <f t="shared" si="12"/>
        <v>100</v>
      </c>
      <c r="T40" s="1118" t="s">
        <v>1358</v>
      </c>
      <c r="U40" s="1119">
        <f t="shared" si="13"/>
        <v>100</v>
      </c>
      <c r="V40" s="1118" t="s">
        <v>1358</v>
      </c>
      <c r="W40" s="1119">
        <f t="shared" si="14"/>
        <v>100</v>
      </c>
      <c r="X40" s="1113"/>
      <c r="Y40" s="3419"/>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15"/>
      <c r="Q41" s="1308" t="str">
        <f t="shared" si="11"/>
        <v>单套/主力户型建筑面积</v>
      </c>
      <c r="R41" s="1120" t="s">
        <v>1358</v>
      </c>
      <c r="S41" s="1121">
        <f t="shared" si="12"/>
        <v>100</v>
      </c>
      <c r="T41" s="1120" t="s">
        <v>1358</v>
      </c>
      <c r="U41" s="1121">
        <f t="shared" si="13"/>
        <v>100</v>
      </c>
      <c r="V41" s="1120" t="s">
        <v>1358</v>
      </c>
      <c r="W41" s="1121">
        <f t="shared" si="14"/>
        <v>100</v>
      </c>
      <c r="X41" s="1122"/>
      <c r="Y41" s="3419"/>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15"/>
      <c r="Q42" s="621" t="str">
        <f t="shared" si="11"/>
        <v>内部装修</v>
      </c>
      <c r="R42" s="1118" t="s">
        <v>1358</v>
      </c>
      <c r="S42" s="1119">
        <f t="shared" si="12"/>
        <v>100</v>
      </c>
      <c r="T42" s="1118" t="s">
        <v>1358</v>
      </c>
      <c r="U42" s="1119">
        <f t="shared" si="13"/>
        <v>100</v>
      </c>
      <c r="V42" s="1118" t="s">
        <v>1358</v>
      </c>
      <c r="W42" s="1119">
        <f t="shared" si="14"/>
        <v>100</v>
      </c>
      <c r="X42" s="1113"/>
      <c r="Y42" s="3419"/>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15"/>
      <c r="Q43" s="621" t="str">
        <f t="shared" si="11"/>
        <v>内部装修维护情况</v>
      </c>
      <c r="R43" s="1118" t="s">
        <v>1358</v>
      </c>
      <c r="S43" s="1119">
        <f t="shared" si="12"/>
        <v>100</v>
      </c>
      <c r="T43" s="1118" t="s">
        <v>1358</v>
      </c>
      <c r="U43" s="1119">
        <f t="shared" si="13"/>
        <v>100</v>
      </c>
      <c r="V43" s="1118" t="s">
        <v>1358</v>
      </c>
      <c r="W43" s="1119">
        <f t="shared" si="14"/>
        <v>100</v>
      </c>
      <c r="X43" s="1113"/>
      <c r="Y43" s="3419"/>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15"/>
      <c r="Q44" s="790">
        <f t="shared" si="11"/>
        <v>111</v>
      </c>
      <c r="R44" s="1114" t="s">
        <v>1358</v>
      </c>
      <c r="S44" s="1115">
        <f t="shared" si="12"/>
        <v>100</v>
      </c>
      <c r="T44" s="1114" t="s">
        <v>1358</v>
      </c>
      <c r="U44" s="1115">
        <f t="shared" si="13"/>
        <v>100</v>
      </c>
      <c r="V44" s="1114" t="s">
        <v>1358</v>
      </c>
      <c r="W44" s="1115">
        <f t="shared" si="14"/>
        <v>100</v>
      </c>
      <c r="X44" s="1116"/>
      <c r="Y44" s="3419"/>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15"/>
      <c r="Q45" s="621">
        <f t="shared" si="11"/>
        <v>111</v>
      </c>
      <c r="R45" s="1118" t="s">
        <v>1358</v>
      </c>
      <c r="S45" s="1119">
        <f t="shared" si="12"/>
        <v>100</v>
      </c>
      <c r="T45" s="1118" t="s">
        <v>1358</v>
      </c>
      <c r="U45" s="1119">
        <f t="shared" si="13"/>
        <v>100</v>
      </c>
      <c r="V45" s="1118" t="s">
        <v>1358</v>
      </c>
      <c r="W45" s="1119">
        <f t="shared" si="14"/>
        <v>100</v>
      </c>
      <c r="X45" s="1113"/>
      <c r="Y45" s="3419"/>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16"/>
      <c r="Q46" s="621">
        <f t="shared" si="11"/>
        <v>111</v>
      </c>
      <c r="R46" s="1118" t="s">
        <v>1358</v>
      </c>
      <c r="S46" s="1119">
        <f t="shared" si="12"/>
        <v>100</v>
      </c>
      <c r="T46" s="1118" t="s">
        <v>1358</v>
      </c>
      <c r="U46" s="1119">
        <f t="shared" si="13"/>
        <v>100</v>
      </c>
      <c r="V46" s="1118" t="s">
        <v>1358</v>
      </c>
      <c r="W46" s="1119">
        <f t="shared" si="14"/>
        <v>100</v>
      </c>
      <c r="X46" s="1113"/>
      <c r="Y46" s="3420"/>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0" t="str">
        <f>A47</f>
        <v>成交单价（元/平方米）</v>
      </c>
      <c r="Q47" s="3410"/>
      <c r="R47" s="3411">
        <f>E47</f>
        <v>0</v>
      </c>
      <c r="S47" s="3411"/>
      <c r="T47" s="3411">
        <f>G47</f>
        <v>0</v>
      </c>
      <c r="U47" s="3411"/>
      <c r="V47" s="3411">
        <f>I47</f>
        <v>0</v>
      </c>
      <c r="W47" s="3411"/>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78" t="s">
        <v>1614</v>
      </c>
      <c r="D1" s="3479"/>
      <c r="E1" s="3479"/>
      <c r="F1" s="3479"/>
      <c r="G1" s="3479"/>
      <c r="H1" s="3479"/>
      <c r="I1" s="3479"/>
      <c r="J1" s="3479"/>
      <c r="K1" s="3479"/>
      <c r="L1" s="3479"/>
      <c r="M1" s="3479"/>
      <c r="N1" s="3479"/>
      <c r="O1" s="3479"/>
      <c r="P1" s="3479"/>
      <c r="Q1" s="3479"/>
      <c r="R1" s="3479"/>
      <c r="S1" s="3480"/>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706.36429999999996</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34440</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205.1</v>
      </c>
      <c r="C22" s="3481" t="s">
        <v>124</v>
      </c>
      <c r="D22" s="3482"/>
      <c r="E22" s="3482"/>
      <c r="F22" s="3482"/>
      <c r="G22" s="3482"/>
      <c r="H22" s="3482"/>
      <c r="I22" s="3482"/>
      <c r="J22" s="3482"/>
      <c r="K22" s="3482"/>
      <c r="L22" s="3482"/>
      <c r="M22" s="3482"/>
      <c r="N22" s="3482"/>
      <c r="O22" s="3482"/>
      <c r="P22" s="3482"/>
      <c r="Q22" s="3483"/>
      <c r="R22" s="1469">
        <f ca="1">ROUND(S22*10000/B22,0)</f>
        <v>34440</v>
      </c>
      <c r="S22" s="1469">
        <f ca="1">SUM(S24:S10000)</f>
        <v>706.36429999999996</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结果表101!H102</f>
        <v>34440</v>
      </c>
      <c r="S24" s="1525">
        <f t="shared" ref="S24:S32" ca="1" si="11">ROUND(R24*B24/10000,4)</f>
        <v>452.92039999999997</v>
      </c>
      <c r="T24" s="1526">
        <f ca="1">结果表101!N59</f>
        <v>0</v>
      </c>
      <c r="U24" s="1526">
        <f ca="1">结果表101!N61</f>
        <v>0</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34440</v>
      </c>
      <c r="S25" s="1468">
        <f t="shared" ca="1" si="11"/>
        <v>105.4208</v>
      </c>
      <c r="T25" s="1417" t="e">
        <f>#REF!</f>
        <v>#REF!</v>
      </c>
      <c r="U25" s="1417" t="e">
        <f>#REF!</f>
        <v>#REF!</v>
      </c>
    </row>
    <row r="26" spans="1:45">
      <c r="A26" s="1476">
        <f>'数据-基础表'!C15</f>
        <v>104</v>
      </c>
      <c r="B26" s="1477">
        <f>'数据-基础表'!G15</f>
        <v>42.98</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34440</v>
      </c>
      <c r="S26" s="1468">
        <f t="shared" ca="1" si="11"/>
        <v>148.0231</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34440</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34440</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34440</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34440</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34440</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34440</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395" t="s">
        <v>1347</v>
      </c>
      <c r="D4" s="3396"/>
      <c r="E4" s="3397" t="s">
        <v>1348</v>
      </c>
      <c r="F4" s="3398"/>
      <c r="G4" s="3395" t="s">
        <v>1349</v>
      </c>
      <c r="H4" s="3396"/>
      <c r="I4" s="3395" t="s">
        <v>1350</v>
      </c>
      <c r="J4" s="3396"/>
      <c r="K4" s="1064" t="s">
        <v>1351</v>
      </c>
      <c r="L4" s="1380"/>
      <c r="M4" s="1050"/>
      <c r="N4" s="1050"/>
      <c r="O4" s="1050"/>
      <c r="P4" s="3450" t="s">
        <v>1352</v>
      </c>
      <c r="Q4" s="3451"/>
      <c r="R4" s="3454" t="s">
        <v>1348</v>
      </c>
      <c r="S4" s="3455"/>
      <c r="T4" s="3454" t="s">
        <v>1349</v>
      </c>
      <c r="U4" s="3455"/>
      <c r="V4" s="3411" t="s">
        <v>1350</v>
      </c>
      <c r="W4" s="3411"/>
      <c r="X4" s="1113"/>
      <c r="Y4" s="3454" t="s">
        <v>1352</v>
      </c>
      <c r="Z4" s="3455"/>
      <c r="AA4" s="3449" t="s">
        <v>1348</v>
      </c>
      <c r="AB4" s="3425" t="s">
        <v>1349</v>
      </c>
      <c r="AC4" s="3449" t="s">
        <v>1350</v>
      </c>
    </row>
    <row r="5" spans="1:29">
      <c r="A5" s="922"/>
      <c r="B5" s="923"/>
      <c r="C5" s="3443" t="s">
        <v>1575</v>
      </c>
      <c r="D5" s="3400"/>
      <c r="E5" s="3477" t="s">
        <v>1576</v>
      </c>
      <c r="F5" s="3445"/>
      <c r="G5" s="3443" t="s">
        <v>1577</v>
      </c>
      <c r="H5" s="3400"/>
      <c r="I5" s="3443" t="s">
        <v>1353</v>
      </c>
      <c r="J5" s="3400"/>
      <c r="K5" s="1064"/>
      <c r="L5" s="1380"/>
      <c r="M5" s="1050"/>
      <c r="N5" s="1050"/>
      <c r="O5" s="1050"/>
      <c r="P5" s="3452"/>
      <c r="Q5" s="3433"/>
      <c r="R5" s="3438"/>
      <c r="S5" s="3439"/>
      <c r="T5" s="3438"/>
      <c r="U5" s="3439"/>
      <c r="V5" s="3411"/>
      <c r="W5" s="3411"/>
      <c r="X5" s="1113"/>
      <c r="Y5" s="3438"/>
      <c r="Z5" s="3439"/>
      <c r="AA5" s="3425"/>
      <c r="AB5" s="3425"/>
      <c r="AC5" s="3425"/>
    </row>
    <row r="6" spans="1:29" ht="14.4">
      <c r="A6" s="924"/>
      <c r="B6" s="925"/>
      <c r="C6" s="3401" t="s">
        <v>1354</v>
      </c>
      <c r="D6" s="3402"/>
      <c r="E6" s="3403" t="s">
        <v>1354</v>
      </c>
      <c r="F6" s="3404"/>
      <c r="G6" s="3401" t="s">
        <v>1354</v>
      </c>
      <c r="H6" s="3402"/>
      <c r="I6" s="3401" t="s">
        <v>1354</v>
      </c>
      <c r="J6" s="3402"/>
      <c r="K6" s="1064" t="s">
        <v>1355</v>
      </c>
      <c r="L6" s="1380"/>
      <c r="M6" s="1050"/>
      <c r="N6" s="1050"/>
      <c r="O6" s="1050"/>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7" t="s">
        <v>1357</v>
      </c>
      <c r="Q7" s="3406"/>
      <c r="R7" s="1114" t="s">
        <v>1358</v>
      </c>
      <c r="S7" s="1115">
        <f t="shared" ref="S7:S15" si="0">F7</f>
        <v>0</v>
      </c>
      <c r="T7" s="1114" t="s">
        <v>1358</v>
      </c>
      <c r="U7" s="1115">
        <f t="shared" ref="U7:U15" si="1">H7</f>
        <v>0</v>
      </c>
      <c r="V7" s="1114" t="s">
        <v>1358</v>
      </c>
      <c r="W7" s="1115">
        <f t="shared" ref="W7:W15" si="2">J7</f>
        <v>0</v>
      </c>
      <c r="X7" s="1116"/>
      <c r="Y7" s="3407" t="s">
        <v>1357</v>
      </c>
      <c r="Z7" s="3408"/>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7" t="s">
        <v>1361</v>
      </c>
      <c r="Q8" s="3408"/>
      <c r="R8" s="1114" t="s">
        <v>1358</v>
      </c>
      <c r="S8" s="1115">
        <f t="shared" si="0"/>
        <v>100</v>
      </c>
      <c r="T8" s="1114" t="s">
        <v>1358</v>
      </c>
      <c r="U8" s="1115">
        <f t="shared" si="1"/>
        <v>100</v>
      </c>
      <c r="V8" s="1114" t="s">
        <v>1358</v>
      </c>
      <c r="W8" s="1115">
        <f t="shared" si="2"/>
        <v>100</v>
      </c>
      <c r="X8" s="1116"/>
      <c r="Y8" s="3407" t="s">
        <v>1361</v>
      </c>
      <c r="Z8" s="3408"/>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0"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0"/>
      <c r="Q10" s="790" t="str">
        <f t="shared" si="6"/>
        <v>土地使用年限（年）</v>
      </c>
      <c r="R10" s="1114" t="s">
        <v>1358</v>
      </c>
      <c r="S10" s="1115">
        <f t="shared" si="0"/>
        <v>100</v>
      </c>
      <c r="T10" s="1114" t="s">
        <v>1358</v>
      </c>
      <c r="U10" s="1115">
        <f t="shared" si="1"/>
        <v>100</v>
      </c>
      <c r="V10" s="1114" t="s">
        <v>1358</v>
      </c>
      <c r="W10" s="1115">
        <f t="shared" si="2"/>
        <v>100</v>
      </c>
      <c r="X10" s="1116"/>
      <c r="Y10" s="3381"/>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0"/>
      <c r="Q11" s="790" t="str">
        <f t="shared" si="6"/>
        <v>容积率</v>
      </c>
      <c r="R11" s="1114" t="s">
        <v>1358</v>
      </c>
      <c r="S11" s="1115">
        <f t="shared" si="0"/>
        <v>100</v>
      </c>
      <c r="T11" s="1114" t="s">
        <v>1358</v>
      </c>
      <c r="U11" s="1115">
        <f t="shared" si="1"/>
        <v>100</v>
      </c>
      <c r="V11" s="1114" t="s">
        <v>1358</v>
      </c>
      <c r="W11" s="1115">
        <f t="shared" si="2"/>
        <v>100</v>
      </c>
      <c r="X11" s="1116"/>
      <c r="Y11" s="3381"/>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0"/>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0"/>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0"/>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17" t="s">
        <v>1370</v>
      </c>
      <c r="Q15" s="621" t="str">
        <f t="shared" si="6"/>
        <v>产业集聚程度</v>
      </c>
      <c r="R15" s="1118" t="s">
        <v>1358</v>
      </c>
      <c r="S15" s="1119">
        <f t="shared" si="0"/>
        <v>100</v>
      </c>
      <c r="T15" s="1118" t="s">
        <v>1358</v>
      </c>
      <c r="U15" s="1119">
        <f t="shared" si="1"/>
        <v>100</v>
      </c>
      <c r="V15" s="1118" t="s">
        <v>1358</v>
      </c>
      <c r="W15" s="1119">
        <f t="shared" si="2"/>
        <v>100</v>
      </c>
      <c r="X15" s="1113"/>
      <c r="Y15" s="3417"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8"/>
      <c r="Q16" s="621"/>
      <c r="R16" s="1118"/>
      <c r="S16" s="1119"/>
      <c r="T16" s="1118"/>
      <c r="U16" s="1119"/>
      <c r="V16" s="1118"/>
      <c r="W16" s="1119"/>
      <c r="X16" s="1113"/>
      <c r="Y16" s="3418"/>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8"/>
      <c r="Q17" s="621" t="str">
        <f>B17</f>
        <v>交通便捷度</v>
      </c>
      <c r="R17" s="1118" t="s">
        <v>1358</v>
      </c>
      <c r="S17" s="1119">
        <f>F17</f>
        <v>100</v>
      </c>
      <c r="T17" s="1118" t="s">
        <v>1358</v>
      </c>
      <c r="U17" s="1119">
        <f>H17</f>
        <v>100</v>
      </c>
      <c r="V17" s="1118" t="s">
        <v>1358</v>
      </c>
      <c r="W17" s="1119">
        <f>J17</f>
        <v>100</v>
      </c>
      <c r="X17" s="1113"/>
      <c r="Y17" s="3418"/>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8"/>
      <c r="Q18" s="621"/>
      <c r="R18" s="1118"/>
      <c r="S18" s="1119"/>
      <c r="T18" s="1118"/>
      <c r="U18" s="1119"/>
      <c r="V18" s="1118"/>
      <c r="W18" s="1119"/>
      <c r="X18" s="1113"/>
      <c r="Y18" s="3418"/>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8"/>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8"/>
      <c r="Q20" s="621"/>
      <c r="R20" s="1118"/>
      <c r="S20" s="1119"/>
      <c r="T20" s="1118"/>
      <c r="U20" s="1119"/>
      <c r="V20" s="1118"/>
      <c r="W20" s="1119"/>
      <c r="X20" s="1113"/>
      <c r="Y20" s="3418"/>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8"/>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8"/>
      <c r="Q22" s="621"/>
      <c r="R22" s="1118"/>
      <c r="S22" s="1119"/>
      <c r="T22" s="1118"/>
      <c r="U22" s="1119"/>
      <c r="V22" s="1118"/>
      <c r="W22" s="1119"/>
      <c r="X22" s="1113"/>
      <c r="Y22" s="3418"/>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8"/>
      <c r="Q23" s="621" t="str">
        <f>B23</f>
        <v>环境质量</v>
      </c>
      <c r="R23" s="1118" t="s">
        <v>1358</v>
      </c>
      <c r="S23" s="1119">
        <f>F23</f>
        <v>100</v>
      </c>
      <c r="T23" s="1118" t="s">
        <v>1358</v>
      </c>
      <c r="U23" s="1119">
        <f>H23</f>
        <v>100</v>
      </c>
      <c r="V23" s="1118" t="s">
        <v>1358</v>
      </c>
      <c r="W23" s="1119">
        <f>J23</f>
        <v>100</v>
      </c>
      <c r="X23" s="1113"/>
      <c r="Y23" s="3418"/>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8"/>
      <c r="Q24" s="621"/>
      <c r="R24" s="1118"/>
      <c r="S24" s="1119"/>
      <c r="T24" s="1118"/>
      <c r="U24" s="1119"/>
      <c r="V24" s="1118"/>
      <c r="W24" s="1119"/>
      <c r="X24" s="1113"/>
      <c r="Y24" s="3418"/>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8"/>
      <c r="Q25" s="621">
        <f>B25</f>
        <v>111</v>
      </c>
      <c r="R25" s="1118" t="s">
        <v>1358</v>
      </c>
      <c r="S25" s="1119">
        <f>F25</f>
        <v>100</v>
      </c>
      <c r="T25" s="1118" t="s">
        <v>1358</v>
      </c>
      <c r="U25" s="1119">
        <f>H25</f>
        <v>100</v>
      </c>
      <c r="V25" s="1118" t="s">
        <v>1358</v>
      </c>
      <c r="W25" s="1119">
        <f>J25</f>
        <v>100</v>
      </c>
      <c r="X25" s="1113"/>
      <c r="Y25" s="3418"/>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8"/>
      <c r="Q26" s="621">
        <f t="shared" ref="Q26:Q40" si="11">B26</f>
        <v>111</v>
      </c>
      <c r="R26" s="1118" t="s">
        <v>1358</v>
      </c>
      <c r="S26" s="1119">
        <f>F26</f>
        <v>100</v>
      </c>
      <c r="T26" s="1118" t="s">
        <v>1358</v>
      </c>
      <c r="U26" s="1119">
        <f>H26</f>
        <v>100</v>
      </c>
      <c r="V26" s="1118" t="s">
        <v>1358</v>
      </c>
      <c r="W26" s="1119">
        <f>J26</f>
        <v>100</v>
      </c>
      <c r="X26" s="1113"/>
      <c r="Y26" s="3418"/>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8"/>
      <c r="Q27" s="790">
        <f t="shared" si="11"/>
        <v>111</v>
      </c>
      <c r="R27" s="1114" t="s">
        <v>1358</v>
      </c>
      <c r="S27" s="1115">
        <f>F27</f>
        <v>100</v>
      </c>
      <c r="T27" s="1114" t="s">
        <v>1358</v>
      </c>
      <c r="U27" s="1115">
        <f>H27</f>
        <v>100</v>
      </c>
      <c r="V27" s="1114" t="s">
        <v>1358</v>
      </c>
      <c r="W27" s="1115">
        <f>J27</f>
        <v>100</v>
      </c>
      <c r="X27" s="1116"/>
      <c r="Y27" s="3418"/>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8"/>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18"/>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4" t="s">
        <v>1384</v>
      </c>
      <c r="Q29" s="621" t="str">
        <f t="shared" si="11"/>
        <v>建筑类型</v>
      </c>
      <c r="R29" s="1118" t="s">
        <v>1358</v>
      </c>
      <c r="S29" s="1119">
        <f t="shared" si="12"/>
        <v>100</v>
      </c>
      <c r="T29" s="1118" t="s">
        <v>1358</v>
      </c>
      <c r="U29" s="1119">
        <f t="shared" si="13"/>
        <v>100</v>
      </c>
      <c r="V29" s="1118" t="s">
        <v>1358</v>
      </c>
      <c r="W29" s="1119">
        <f t="shared" si="14"/>
        <v>100</v>
      </c>
      <c r="X29" s="1113"/>
      <c r="Y29" s="3419"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9"/>
      <c r="Q30" s="1308" t="str">
        <f t="shared" si="11"/>
        <v>项目建筑规模</v>
      </c>
      <c r="R30" s="1120" t="s">
        <v>1358</v>
      </c>
      <c r="S30" s="1121" t="e">
        <f t="shared" si="12"/>
        <v>#N/A</v>
      </c>
      <c r="T30" s="1120" t="s">
        <v>1358</v>
      </c>
      <c r="U30" s="1121" t="e">
        <f t="shared" si="13"/>
        <v>#N/A</v>
      </c>
      <c r="V30" s="1120" t="s">
        <v>1358</v>
      </c>
      <c r="W30" s="1121" t="e">
        <f t="shared" si="14"/>
        <v>#N/A</v>
      </c>
      <c r="X30" s="1122"/>
      <c r="Y30" s="3419"/>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9"/>
      <c r="Q31" s="621" t="str">
        <f t="shared" si="11"/>
        <v>建筑结构</v>
      </c>
      <c r="R31" s="1118" t="s">
        <v>1358</v>
      </c>
      <c r="S31" s="1119">
        <f t="shared" si="12"/>
        <v>100</v>
      </c>
      <c r="T31" s="1118" t="s">
        <v>1358</v>
      </c>
      <c r="U31" s="1119">
        <f t="shared" si="13"/>
        <v>100</v>
      </c>
      <c r="V31" s="1118" t="s">
        <v>1358</v>
      </c>
      <c r="W31" s="1119">
        <f t="shared" si="14"/>
        <v>100</v>
      </c>
      <c r="X31" s="1113"/>
      <c r="Y31" s="3419"/>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9"/>
      <c r="Q32" s="621" t="str">
        <f t="shared" si="11"/>
        <v>公共部分装修</v>
      </c>
      <c r="R32" s="1118" t="s">
        <v>1358</v>
      </c>
      <c r="S32" s="1119">
        <f t="shared" si="12"/>
        <v>100</v>
      </c>
      <c r="T32" s="1118" t="s">
        <v>1358</v>
      </c>
      <c r="U32" s="1119">
        <f t="shared" si="13"/>
        <v>100</v>
      </c>
      <c r="V32" s="1118" t="s">
        <v>1358</v>
      </c>
      <c r="W32" s="1119">
        <f t="shared" si="14"/>
        <v>100</v>
      </c>
      <c r="X32" s="1113"/>
      <c r="Y32" s="3419"/>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9"/>
      <c r="Q33" s="621" t="str">
        <f t="shared" si="11"/>
        <v>成新度</v>
      </c>
      <c r="R33" s="1118" t="s">
        <v>1358</v>
      </c>
      <c r="S33" s="1119" t="e">
        <f t="shared" si="12"/>
        <v>#N/A</v>
      </c>
      <c r="T33" s="1118" t="s">
        <v>1358</v>
      </c>
      <c r="U33" s="1119" t="e">
        <f t="shared" si="13"/>
        <v>#N/A</v>
      </c>
      <c r="V33" s="1118" t="s">
        <v>1358</v>
      </c>
      <c r="W33" s="1119" t="e">
        <f t="shared" si="14"/>
        <v>#N/A</v>
      </c>
      <c r="X33" s="1113"/>
      <c r="Y33" s="3419"/>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9"/>
      <c r="Q34" s="790" t="str">
        <f t="shared" si="11"/>
        <v>物业管理</v>
      </c>
      <c r="R34" s="1114" t="s">
        <v>1358</v>
      </c>
      <c r="S34" s="1115">
        <f t="shared" si="12"/>
        <v>100</v>
      </c>
      <c r="T34" s="1114" t="s">
        <v>1358</v>
      </c>
      <c r="U34" s="1115">
        <f t="shared" si="13"/>
        <v>100</v>
      </c>
      <c r="V34" s="1114" t="s">
        <v>1358</v>
      </c>
      <c r="W34" s="1115">
        <f t="shared" si="14"/>
        <v>100</v>
      </c>
      <c r="X34" s="1116"/>
      <c r="Y34" s="3419"/>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9" t="s">
        <v>1384</v>
      </c>
      <c r="Q35" s="621" t="str">
        <f t="shared" si="11"/>
        <v>市政基础设施</v>
      </c>
      <c r="R35" s="1118" t="s">
        <v>1358</v>
      </c>
      <c r="S35" s="1119">
        <f t="shared" si="12"/>
        <v>100</v>
      </c>
      <c r="T35" s="1118" t="s">
        <v>1358</v>
      </c>
      <c r="U35" s="1119">
        <f t="shared" si="13"/>
        <v>100</v>
      </c>
      <c r="V35" s="1118" t="s">
        <v>1358</v>
      </c>
      <c r="W35" s="1119">
        <f t="shared" si="14"/>
        <v>100</v>
      </c>
      <c r="X35" s="1113"/>
      <c r="Y35" s="3419"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9"/>
      <c r="Q36" s="621" t="str">
        <f t="shared" si="11"/>
        <v>内部装修</v>
      </c>
      <c r="R36" s="1118" t="s">
        <v>1358</v>
      </c>
      <c r="S36" s="1119">
        <f t="shared" si="12"/>
        <v>100</v>
      </c>
      <c r="T36" s="1118" t="s">
        <v>1358</v>
      </c>
      <c r="U36" s="1119">
        <f t="shared" si="13"/>
        <v>100</v>
      </c>
      <c r="V36" s="1118" t="s">
        <v>1358</v>
      </c>
      <c r="W36" s="1119">
        <f t="shared" si="14"/>
        <v>100</v>
      </c>
      <c r="X36" s="1113"/>
      <c r="Y36" s="3419"/>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9"/>
      <c r="Q37" s="621" t="str">
        <f t="shared" si="11"/>
        <v>内部装修状况</v>
      </c>
      <c r="R37" s="1118" t="s">
        <v>1358</v>
      </c>
      <c r="S37" s="1119">
        <f t="shared" si="12"/>
        <v>100</v>
      </c>
      <c r="T37" s="1118" t="s">
        <v>1358</v>
      </c>
      <c r="U37" s="1119">
        <f t="shared" si="13"/>
        <v>100</v>
      </c>
      <c r="V37" s="1118" t="s">
        <v>1358</v>
      </c>
      <c r="W37" s="1119">
        <f t="shared" si="14"/>
        <v>100</v>
      </c>
      <c r="X37" s="1113"/>
      <c r="Y37" s="3419"/>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9"/>
      <c r="Q38" s="1308">
        <f t="shared" si="11"/>
        <v>111</v>
      </c>
      <c r="R38" s="1120" t="s">
        <v>1358</v>
      </c>
      <c r="S38" s="1121">
        <f t="shared" si="12"/>
        <v>100</v>
      </c>
      <c r="T38" s="1120" t="s">
        <v>1358</v>
      </c>
      <c r="U38" s="1121">
        <f t="shared" si="13"/>
        <v>100</v>
      </c>
      <c r="V38" s="1120" t="s">
        <v>1358</v>
      </c>
      <c r="W38" s="1121">
        <f t="shared" si="14"/>
        <v>100</v>
      </c>
      <c r="X38" s="1122"/>
      <c r="Y38" s="3419"/>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9"/>
      <c r="Q39" s="621">
        <f t="shared" si="11"/>
        <v>111</v>
      </c>
      <c r="R39" s="1118" t="s">
        <v>1358</v>
      </c>
      <c r="S39" s="1119">
        <f t="shared" si="12"/>
        <v>100</v>
      </c>
      <c r="T39" s="1118" t="s">
        <v>1358</v>
      </c>
      <c r="U39" s="1119">
        <f t="shared" si="13"/>
        <v>100</v>
      </c>
      <c r="V39" s="1118" t="s">
        <v>1358</v>
      </c>
      <c r="W39" s="1119">
        <f t="shared" si="14"/>
        <v>100</v>
      </c>
      <c r="X39" s="1113"/>
      <c r="Y39" s="3419"/>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0"/>
      <c r="Q40" s="621">
        <f t="shared" si="11"/>
        <v>111</v>
      </c>
      <c r="R40" s="1118" t="s">
        <v>1358</v>
      </c>
      <c r="S40" s="1119">
        <f t="shared" si="12"/>
        <v>100</v>
      </c>
      <c r="T40" s="1118" t="s">
        <v>1358</v>
      </c>
      <c r="U40" s="1119">
        <f t="shared" si="13"/>
        <v>100</v>
      </c>
      <c r="V40" s="1118" t="s">
        <v>1358</v>
      </c>
      <c r="W40" s="1119">
        <f t="shared" si="14"/>
        <v>100</v>
      </c>
      <c r="X40" s="1113"/>
      <c r="Y40" s="3420"/>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0" t="str">
        <f>A41</f>
        <v>成交单价（元/平方米）</v>
      </c>
      <c r="Q41" s="3410"/>
      <c r="R41" s="3411">
        <f>E41</f>
        <v>0</v>
      </c>
      <c r="S41" s="3411"/>
      <c r="T41" s="3411">
        <f>G41</f>
        <v>0</v>
      </c>
      <c r="U41" s="3411"/>
      <c r="V41" s="3411">
        <f>I41</f>
        <v>0</v>
      </c>
      <c r="W41" s="3411"/>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25" t="s">
        <v>1349</v>
      </c>
      <c r="AC4" s="3449" t="s">
        <v>1350</v>
      </c>
    </row>
    <row r="5" spans="1:29">
      <c r="A5" s="922"/>
      <c r="B5" s="923"/>
      <c r="C5" s="3443" t="s">
        <v>1575</v>
      </c>
      <c r="D5" s="3400"/>
      <c r="E5" s="3477" t="s">
        <v>1576</v>
      </c>
      <c r="F5" s="3445"/>
      <c r="G5" s="3443" t="s">
        <v>1577</v>
      </c>
      <c r="H5" s="3400"/>
      <c r="I5" s="3443" t="s">
        <v>1353</v>
      </c>
      <c r="J5" s="3400"/>
      <c r="K5" s="1064"/>
      <c r="L5" s="1065"/>
      <c r="M5" s="1015"/>
      <c r="N5" s="1015"/>
      <c r="O5" s="1015"/>
      <c r="P5" s="3452"/>
      <c r="Q5" s="3433"/>
      <c r="R5" s="3438"/>
      <c r="S5" s="3439"/>
      <c r="T5" s="3438"/>
      <c r="U5" s="3439"/>
      <c r="V5" s="3411"/>
      <c r="W5" s="3411"/>
      <c r="X5" s="1113"/>
      <c r="Y5" s="3438"/>
      <c r="Z5" s="3439"/>
      <c r="AA5" s="3425"/>
      <c r="AB5" s="3425"/>
      <c r="AC5" s="3425"/>
    </row>
    <row r="6" spans="1:29" ht="14.4">
      <c r="A6" s="924"/>
      <c r="B6" s="925"/>
      <c r="C6" s="3401" t="s">
        <v>1354</v>
      </c>
      <c r="D6" s="3402"/>
      <c r="E6" s="3403" t="s">
        <v>1354</v>
      </c>
      <c r="F6" s="3404"/>
      <c r="G6" s="3401" t="s">
        <v>1354</v>
      </c>
      <c r="H6" s="3402"/>
      <c r="I6" s="3401" t="s">
        <v>1354</v>
      </c>
      <c r="J6" s="3402"/>
      <c r="K6" s="1064" t="s">
        <v>1355</v>
      </c>
      <c r="L6" s="1065"/>
      <c r="M6" s="1015"/>
      <c r="N6" s="1015"/>
      <c r="O6" s="1015"/>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7" t="s">
        <v>1357</v>
      </c>
      <c r="Q7" s="3406"/>
      <c r="R7" s="1114" t="s">
        <v>1358</v>
      </c>
      <c r="S7" s="1115">
        <f t="shared" ref="S7:S14" si="0">F7</f>
        <v>0</v>
      </c>
      <c r="T7" s="1114" t="s">
        <v>1358</v>
      </c>
      <c r="U7" s="1115">
        <f t="shared" ref="U7:U14" si="1">H7</f>
        <v>0</v>
      </c>
      <c r="V7" s="1114" t="s">
        <v>1358</v>
      </c>
      <c r="W7" s="1115">
        <f t="shared" ref="W7:W14" si="2">J7</f>
        <v>0</v>
      </c>
      <c r="X7" s="1116"/>
      <c r="Y7" s="3407" t="s">
        <v>1357</v>
      </c>
      <c r="Z7" s="3408"/>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7" t="s">
        <v>1361</v>
      </c>
      <c r="Q8" s="3408"/>
      <c r="R8" s="1114" t="s">
        <v>1358</v>
      </c>
      <c r="S8" s="1115">
        <f t="shared" si="0"/>
        <v>100</v>
      </c>
      <c r="T8" s="1114" t="s">
        <v>1358</v>
      </c>
      <c r="U8" s="1115">
        <f t="shared" si="1"/>
        <v>100</v>
      </c>
      <c r="V8" s="1114" t="s">
        <v>1358</v>
      </c>
      <c r="W8" s="1115">
        <f t="shared" si="2"/>
        <v>100</v>
      </c>
      <c r="X8" s="1116"/>
      <c r="Y8" s="3407" t="s">
        <v>1361</v>
      </c>
      <c r="Z8" s="3408"/>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0" t="s">
        <v>1364</v>
      </c>
      <c r="Q9" s="790" t="str">
        <f t="shared" ref="Q9:Q14" si="6">B9</f>
        <v>用途</v>
      </c>
      <c r="R9" s="1114" t="s">
        <v>1358</v>
      </c>
      <c r="S9" s="1115">
        <f t="shared" si="0"/>
        <v>100</v>
      </c>
      <c r="T9" s="1114" t="s">
        <v>1358</v>
      </c>
      <c r="U9" s="1115">
        <f t="shared" si="1"/>
        <v>100</v>
      </c>
      <c r="V9" s="1114" t="s">
        <v>1358</v>
      </c>
      <c r="W9" s="1115">
        <f t="shared" si="2"/>
        <v>100</v>
      </c>
      <c r="X9" s="1116"/>
      <c r="Y9" s="3381"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0"/>
      <c r="Q10" s="790" t="str">
        <f t="shared" si="6"/>
        <v>土地使用年限（年）</v>
      </c>
      <c r="R10" s="1114" t="s">
        <v>1358</v>
      </c>
      <c r="S10" s="1115">
        <f t="shared" si="0"/>
        <v>100</v>
      </c>
      <c r="T10" s="1114" t="s">
        <v>1358</v>
      </c>
      <c r="U10" s="1115">
        <f t="shared" si="1"/>
        <v>100</v>
      </c>
      <c r="V10" s="1114" t="s">
        <v>1358</v>
      </c>
      <c r="W10" s="1115">
        <f t="shared" si="2"/>
        <v>100</v>
      </c>
      <c r="X10" s="1116"/>
      <c r="Y10" s="3381"/>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0"/>
      <c r="Q11" s="790">
        <f t="shared" si="6"/>
        <v>111</v>
      </c>
      <c r="R11" s="1114" t="s">
        <v>1358</v>
      </c>
      <c r="S11" s="1115">
        <f t="shared" si="0"/>
        <v>100</v>
      </c>
      <c r="T11" s="1114" t="s">
        <v>1358</v>
      </c>
      <c r="U11" s="1115">
        <f t="shared" si="1"/>
        <v>100</v>
      </c>
      <c r="V11" s="1114" t="s">
        <v>1358</v>
      </c>
      <c r="W11" s="1115">
        <f t="shared" si="2"/>
        <v>100</v>
      </c>
      <c r="X11" s="1116"/>
      <c r="Y11" s="3381"/>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0"/>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0"/>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17" t="s">
        <v>1370</v>
      </c>
      <c r="Q14" s="621" t="str">
        <f t="shared" si="6"/>
        <v>交通便捷度</v>
      </c>
      <c r="R14" s="1118" t="s">
        <v>1358</v>
      </c>
      <c r="S14" s="1119">
        <f t="shared" si="0"/>
        <v>100</v>
      </c>
      <c r="T14" s="1118" t="s">
        <v>1358</v>
      </c>
      <c r="U14" s="1119">
        <f t="shared" si="1"/>
        <v>100</v>
      </c>
      <c r="V14" s="1118" t="s">
        <v>1358</v>
      </c>
      <c r="W14" s="1119">
        <f t="shared" si="2"/>
        <v>100</v>
      </c>
      <c r="X14" s="1113"/>
      <c r="Y14" s="3417"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8"/>
      <c r="Q15" s="621"/>
      <c r="R15" s="1118"/>
      <c r="S15" s="1119"/>
      <c r="T15" s="1118"/>
      <c r="U15" s="1119"/>
      <c r="V15" s="1118"/>
      <c r="W15" s="1119"/>
      <c r="X15" s="1113"/>
      <c r="Y15" s="3418"/>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8"/>
      <c r="Q16" s="621" t="str">
        <f>B16</f>
        <v>公共配套设施</v>
      </c>
      <c r="R16" s="1118" t="s">
        <v>1358</v>
      </c>
      <c r="S16" s="1119">
        <f>F16</f>
        <v>100</v>
      </c>
      <c r="T16" s="1118" t="s">
        <v>1358</v>
      </c>
      <c r="U16" s="1119">
        <f>H16</f>
        <v>100</v>
      </c>
      <c r="V16" s="1118" t="s">
        <v>1358</v>
      </c>
      <c r="W16" s="1119">
        <f>J16</f>
        <v>100</v>
      </c>
      <c r="X16" s="1113"/>
      <c r="Y16" s="3418"/>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8"/>
      <c r="Q17" s="621"/>
      <c r="R17" s="1118"/>
      <c r="S17" s="1119"/>
      <c r="T17" s="1118"/>
      <c r="U17" s="1119"/>
      <c r="V17" s="1118"/>
      <c r="W17" s="1119"/>
      <c r="X17" s="1113"/>
      <c r="Y17" s="3418"/>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8"/>
      <c r="Q18" s="621" t="str">
        <f>B18</f>
        <v>基础设施水平</v>
      </c>
      <c r="R18" s="1118" t="s">
        <v>1358</v>
      </c>
      <c r="S18" s="1119">
        <f>F18</f>
        <v>100</v>
      </c>
      <c r="T18" s="1118" t="s">
        <v>1358</v>
      </c>
      <c r="U18" s="1119">
        <f>H18</f>
        <v>100</v>
      </c>
      <c r="V18" s="1118" t="s">
        <v>1358</v>
      </c>
      <c r="W18" s="1119">
        <f>J18</f>
        <v>100</v>
      </c>
      <c r="X18" s="1113"/>
      <c r="Y18" s="3418"/>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8"/>
      <c r="Q19" s="621"/>
      <c r="R19" s="1118"/>
      <c r="S19" s="1119"/>
      <c r="T19" s="1118"/>
      <c r="U19" s="1119"/>
      <c r="V19" s="1118"/>
      <c r="W19" s="1119"/>
      <c r="X19" s="1113"/>
      <c r="Y19" s="3418"/>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8"/>
      <c r="Q20" s="621" t="str">
        <f>B20</f>
        <v>自然及人文环境</v>
      </c>
      <c r="R20" s="1118" t="s">
        <v>1358</v>
      </c>
      <c r="S20" s="1119">
        <f>F20</f>
        <v>100</v>
      </c>
      <c r="T20" s="1118" t="s">
        <v>1358</v>
      </c>
      <c r="U20" s="1119">
        <f>H20</f>
        <v>100</v>
      </c>
      <c r="V20" s="1118" t="s">
        <v>1358</v>
      </c>
      <c r="W20" s="1119">
        <f>J20</f>
        <v>100</v>
      </c>
      <c r="X20" s="1113"/>
      <c r="Y20" s="3418"/>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8"/>
      <c r="Q21" s="621"/>
      <c r="R21" s="1118"/>
      <c r="S21" s="1119"/>
      <c r="T21" s="1118"/>
      <c r="U21" s="1119"/>
      <c r="V21" s="1118"/>
      <c r="W21" s="1119"/>
      <c r="X21" s="1113"/>
      <c r="Y21" s="3418"/>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8"/>
      <c r="Q22" s="621" t="str">
        <f>B22</f>
        <v>楼层</v>
      </c>
      <c r="R22" s="1118" t="s">
        <v>1358</v>
      </c>
      <c r="S22" s="1119">
        <f>F22</f>
        <v>100</v>
      </c>
      <c r="T22" s="1118" t="s">
        <v>1358</v>
      </c>
      <c r="U22" s="1119">
        <f>H22</f>
        <v>100</v>
      </c>
      <c r="V22" s="1118" t="s">
        <v>1358</v>
      </c>
      <c r="W22" s="1119">
        <f>J22</f>
        <v>100</v>
      </c>
      <c r="X22" s="1113"/>
      <c r="Y22" s="3418"/>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8"/>
      <c r="Q23" s="621">
        <f>B23</f>
        <v>111</v>
      </c>
      <c r="R23" s="1118" t="s">
        <v>1358</v>
      </c>
      <c r="S23" s="1119">
        <f>F23</f>
        <v>100</v>
      </c>
      <c r="T23" s="1118" t="s">
        <v>1358</v>
      </c>
      <c r="U23" s="1119">
        <f>H23</f>
        <v>100</v>
      </c>
      <c r="V23" s="1118" t="s">
        <v>1358</v>
      </c>
      <c r="W23" s="1119">
        <f>J23</f>
        <v>100</v>
      </c>
      <c r="X23" s="1113"/>
      <c r="Y23" s="3418"/>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8"/>
      <c r="Q24" s="621">
        <f t="shared" ref="Q24:Q36" si="11">B24</f>
        <v>111</v>
      </c>
      <c r="R24" s="1118" t="s">
        <v>1358</v>
      </c>
      <c r="S24" s="1119">
        <f>F24</f>
        <v>100</v>
      </c>
      <c r="T24" s="1118" t="s">
        <v>1358</v>
      </c>
      <c r="U24" s="1119">
        <f>H24</f>
        <v>100</v>
      </c>
      <c r="V24" s="1118" t="s">
        <v>1358</v>
      </c>
      <c r="W24" s="1119">
        <f>J24</f>
        <v>100</v>
      </c>
      <c r="X24" s="1113"/>
      <c r="Y24" s="3418"/>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8"/>
      <c r="Q25" s="790">
        <f t="shared" si="11"/>
        <v>111</v>
      </c>
      <c r="R25" s="1114" t="s">
        <v>1358</v>
      </c>
      <c r="S25" s="1115">
        <f>F25</f>
        <v>100</v>
      </c>
      <c r="T25" s="1114" t="s">
        <v>1358</v>
      </c>
      <c r="U25" s="1115">
        <f>H25</f>
        <v>100</v>
      </c>
      <c r="V25" s="1114" t="s">
        <v>1358</v>
      </c>
      <c r="W25" s="1115">
        <f>J25</f>
        <v>100</v>
      </c>
      <c r="X25" s="1116"/>
      <c r="Y25" s="3418"/>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4"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19"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9"/>
      <c r="Q27" s="1308" t="str">
        <f t="shared" si="11"/>
        <v>项目停车位配比</v>
      </c>
      <c r="R27" s="1120" t="s">
        <v>1358</v>
      </c>
      <c r="S27" s="1121">
        <f t="shared" si="12"/>
        <v>100</v>
      </c>
      <c r="T27" s="1120" t="s">
        <v>1358</v>
      </c>
      <c r="U27" s="1121">
        <f t="shared" si="13"/>
        <v>100</v>
      </c>
      <c r="V27" s="1120" t="s">
        <v>1358</v>
      </c>
      <c r="W27" s="1121">
        <f t="shared" si="14"/>
        <v>100</v>
      </c>
      <c r="X27" s="1122"/>
      <c r="Y27" s="3419"/>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9"/>
      <c r="Q28" s="621" t="str">
        <f t="shared" si="11"/>
        <v>公共部分装修</v>
      </c>
      <c r="R28" s="1118" t="s">
        <v>1358</v>
      </c>
      <c r="S28" s="1119">
        <f t="shared" si="12"/>
        <v>100</v>
      </c>
      <c r="T28" s="1118" t="s">
        <v>1358</v>
      </c>
      <c r="U28" s="1119">
        <f t="shared" si="13"/>
        <v>100</v>
      </c>
      <c r="V28" s="1118" t="s">
        <v>1358</v>
      </c>
      <c r="W28" s="1119">
        <f t="shared" si="14"/>
        <v>100</v>
      </c>
      <c r="X28" s="1113"/>
      <c r="Y28" s="3419"/>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9"/>
      <c r="Q29" s="621" t="str">
        <f t="shared" si="11"/>
        <v>成新率</v>
      </c>
      <c r="R29" s="1118" t="s">
        <v>1358</v>
      </c>
      <c r="S29" s="1119" t="e">
        <f t="shared" si="12"/>
        <v>#N/A</v>
      </c>
      <c r="T29" s="1118" t="s">
        <v>1358</v>
      </c>
      <c r="U29" s="1119" t="e">
        <f t="shared" si="13"/>
        <v>#N/A</v>
      </c>
      <c r="V29" s="1118" t="s">
        <v>1358</v>
      </c>
      <c r="W29" s="1119" t="e">
        <f t="shared" si="14"/>
        <v>#N/A</v>
      </c>
      <c r="X29" s="1113"/>
      <c r="Y29" s="3419"/>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9"/>
      <c r="Q30" s="621" t="str">
        <f t="shared" si="11"/>
        <v>物业等级</v>
      </c>
      <c r="R30" s="1118" t="s">
        <v>1358</v>
      </c>
      <c r="S30" s="1119">
        <f t="shared" si="12"/>
        <v>100</v>
      </c>
      <c r="T30" s="1118" t="s">
        <v>1358</v>
      </c>
      <c r="U30" s="1119">
        <f t="shared" si="13"/>
        <v>100</v>
      </c>
      <c r="V30" s="1118" t="s">
        <v>1358</v>
      </c>
      <c r="W30" s="1119">
        <f t="shared" si="14"/>
        <v>100</v>
      </c>
      <c r="X30" s="1113"/>
      <c r="Y30" s="3419"/>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9"/>
      <c r="Q31" s="790" t="str">
        <f t="shared" si="11"/>
        <v>停车位面积</v>
      </c>
      <c r="R31" s="1114" t="s">
        <v>1358</v>
      </c>
      <c r="S31" s="1115" t="e">
        <f t="shared" si="12"/>
        <v>#N/A</v>
      </c>
      <c r="T31" s="1114" t="s">
        <v>1358</v>
      </c>
      <c r="U31" s="1115" t="e">
        <f t="shared" si="13"/>
        <v>#N/A</v>
      </c>
      <c r="V31" s="1114" t="s">
        <v>1358</v>
      </c>
      <c r="W31" s="1115" t="e">
        <f t="shared" si="14"/>
        <v>#N/A</v>
      </c>
      <c r="X31" s="1116"/>
      <c r="Y31" s="3419"/>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9" t="s">
        <v>1384</v>
      </c>
      <c r="Q32" s="621" t="str">
        <f t="shared" si="11"/>
        <v>车位类型</v>
      </c>
      <c r="R32" s="1118" t="s">
        <v>1358</v>
      </c>
      <c r="S32" s="1119">
        <f t="shared" si="12"/>
        <v>100</v>
      </c>
      <c r="T32" s="1118" t="s">
        <v>1358</v>
      </c>
      <c r="U32" s="1119">
        <f t="shared" si="13"/>
        <v>100</v>
      </c>
      <c r="V32" s="1118" t="s">
        <v>1358</v>
      </c>
      <c r="W32" s="1119">
        <f t="shared" si="14"/>
        <v>100</v>
      </c>
      <c r="X32" s="1113"/>
      <c r="Y32" s="3419"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9"/>
      <c r="Q33" s="621" t="str">
        <f t="shared" si="11"/>
        <v>是否直接入户</v>
      </c>
      <c r="R33" s="1118" t="s">
        <v>1358</v>
      </c>
      <c r="S33" s="1119">
        <f t="shared" si="12"/>
        <v>100</v>
      </c>
      <c r="T33" s="1118" t="s">
        <v>1358</v>
      </c>
      <c r="U33" s="1119">
        <f t="shared" si="13"/>
        <v>100</v>
      </c>
      <c r="V33" s="1118" t="s">
        <v>1358</v>
      </c>
      <c r="W33" s="1119">
        <f t="shared" si="14"/>
        <v>100</v>
      </c>
      <c r="X33" s="1113"/>
      <c r="Y33" s="3419"/>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9"/>
      <c r="Q34" s="621">
        <f t="shared" si="11"/>
        <v>111</v>
      </c>
      <c r="R34" s="1118" t="s">
        <v>1358</v>
      </c>
      <c r="S34" s="1119">
        <f t="shared" si="12"/>
        <v>100</v>
      </c>
      <c r="T34" s="1118" t="s">
        <v>1358</v>
      </c>
      <c r="U34" s="1119">
        <f t="shared" si="13"/>
        <v>100</v>
      </c>
      <c r="V34" s="1118" t="s">
        <v>1358</v>
      </c>
      <c r="W34" s="1119">
        <f t="shared" si="14"/>
        <v>100</v>
      </c>
      <c r="X34" s="1113"/>
      <c r="Y34" s="3419"/>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9"/>
      <c r="Q35" s="1308">
        <f t="shared" si="11"/>
        <v>111</v>
      </c>
      <c r="R35" s="1120" t="s">
        <v>1358</v>
      </c>
      <c r="S35" s="1121">
        <f t="shared" si="12"/>
        <v>100</v>
      </c>
      <c r="T35" s="1120" t="s">
        <v>1358</v>
      </c>
      <c r="U35" s="1121">
        <f t="shared" si="13"/>
        <v>100</v>
      </c>
      <c r="V35" s="1120" t="s">
        <v>1358</v>
      </c>
      <c r="W35" s="1121">
        <f t="shared" si="14"/>
        <v>100</v>
      </c>
      <c r="X35" s="1122"/>
      <c r="Y35" s="3419"/>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9"/>
      <c r="Q36" s="621">
        <f t="shared" si="11"/>
        <v>111</v>
      </c>
      <c r="R36" s="1118" t="s">
        <v>1358</v>
      </c>
      <c r="S36" s="1119">
        <f t="shared" si="12"/>
        <v>100</v>
      </c>
      <c r="T36" s="1118" t="s">
        <v>1358</v>
      </c>
      <c r="U36" s="1119">
        <f t="shared" si="13"/>
        <v>100</v>
      </c>
      <c r="V36" s="1118" t="s">
        <v>1358</v>
      </c>
      <c r="W36" s="1119">
        <f t="shared" si="14"/>
        <v>100</v>
      </c>
      <c r="X36" s="1113"/>
      <c r="Y36" s="3419"/>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0" t="str">
        <f>A37</f>
        <v>成交单价</v>
      </c>
      <c r="Q37" s="3410"/>
      <c r="R37" s="3411">
        <f>E37</f>
        <v>0</v>
      </c>
      <c r="S37" s="3411"/>
      <c r="T37" s="3411">
        <f>G37</f>
        <v>0</v>
      </c>
      <c r="U37" s="3411"/>
      <c r="V37" s="3411">
        <f>I37</f>
        <v>0</v>
      </c>
      <c r="W37" s="3411"/>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46" t="str">
        <f>A39</f>
        <v>估价对象XX用房的比较价值（楼面单价，元/平方米）</v>
      </c>
      <c r="Q39" s="3447"/>
      <c r="R39" s="3485" t="e">
        <f>IF(F1="售价",ROUND(IF(D38="简单平均",AVERAGE(R38:W38),R38*F38+T38*H38+V38*J38),0),ROUND(IF(D38="简单平均",AVERAGE(R38:V38),R38*F38+T38*H38+V38*J38),1))</f>
        <v>#DIV/0!</v>
      </c>
      <c r="S39" s="3485"/>
      <c r="T39" s="3485"/>
      <c r="U39" s="3485"/>
      <c r="V39" s="3485"/>
      <c r="W39" s="3485"/>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25" t="s">
        <v>1349</v>
      </c>
      <c r="AC4" s="3449" t="s">
        <v>1350</v>
      </c>
    </row>
    <row r="5" spans="1:29">
      <c r="A5" s="922"/>
      <c r="B5" s="923"/>
      <c r="C5" s="3443" t="s">
        <v>1575</v>
      </c>
      <c r="D5" s="3400"/>
      <c r="E5" s="3477" t="s">
        <v>1576</v>
      </c>
      <c r="F5" s="3445"/>
      <c r="G5" s="3443" t="s">
        <v>1577</v>
      </c>
      <c r="H5" s="3400"/>
      <c r="I5" s="3443" t="s">
        <v>1353</v>
      </c>
      <c r="J5" s="3400"/>
      <c r="K5" s="1064"/>
      <c r="L5" s="1065"/>
      <c r="M5" s="1015"/>
      <c r="N5" s="1015"/>
      <c r="O5" s="1015"/>
      <c r="P5" s="3452"/>
      <c r="Q5" s="3433"/>
      <c r="R5" s="3438"/>
      <c r="S5" s="3439"/>
      <c r="T5" s="3438"/>
      <c r="U5" s="3439"/>
      <c r="V5" s="3411"/>
      <c r="W5" s="3411"/>
      <c r="X5" s="1113"/>
      <c r="Y5" s="3438"/>
      <c r="Z5" s="3439"/>
      <c r="AA5" s="3425"/>
      <c r="AB5" s="3425"/>
      <c r="AC5" s="3425"/>
    </row>
    <row r="6" spans="1:29" ht="14.4">
      <c r="A6" s="924"/>
      <c r="B6" s="925"/>
      <c r="C6" s="3401" t="s">
        <v>1354</v>
      </c>
      <c r="D6" s="3402"/>
      <c r="E6" s="3403" t="s">
        <v>1354</v>
      </c>
      <c r="F6" s="3404"/>
      <c r="G6" s="3401" t="s">
        <v>1354</v>
      </c>
      <c r="H6" s="3402"/>
      <c r="I6" s="3401" t="s">
        <v>1354</v>
      </c>
      <c r="J6" s="3402"/>
      <c r="K6" s="1064" t="s">
        <v>1355</v>
      </c>
      <c r="L6" s="1065"/>
      <c r="M6" s="1015"/>
      <c r="N6" s="1015"/>
      <c r="O6" s="1015"/>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7" t="s">
        <v>1357</v>
      </c>
      <c r="Q7" s="3406"/>
      <c r="R7" s="1114" t="s">
        <v>1358</v>
      </c>
      <c r="S7" s="1115">
        <f t="shared" ref="S7:S14" si="0">F7</f>
        <v>0</v>
      </c>
      <c r="T7" s="1114" t="s">
        <v>1358</v>
      </c>
      <c r="U7" s="1115">
        <f t="shared" ref="U7:U14" si="1">H7</f>
        <v>0</v>
      </c>
      <c r="V7" s="1114" t="s">
        <v>1358</v>
      </c>
      <c r="W7" s="1115">
        <f t="shared" ref="W7:W14" si="2">J7</f>
        <v>0</v>
      </c>
      <c r="X7" s="1116"/>
      <c r="Y7" s="3407" t="s">
        <v>1357</v>
      </c>
      <c r="Z7" s="3408"/>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7" t="s">
        <v>1361</v>
      </c>
      <c r="Q8" s="3408"/>
      <c r="R8" s="1114" t="s">
        <v>1358</v>
      </c>
      <c r="S8" s="1115">
        <f t="shared" si="0"/>
        <v>100</v>
      </c>
      <c r="T8" s="1114" t="s">
        <v>1358</v>
      </c>
      <c r="U8" s="1115">
        <f t="shared" si="1"/>
        <v>100</v>
      </c>
      <c r="V8" s="1114" t="s">
        <v>1358</v>
      </c>
      <c r="W8" s="1115">
        <f t="shared" si="2"/>
        <v>100</v>
      </c>
      <c r="X8" s="1116"/>
      <c r="Y8" s="3407" t="s">
        <v>1361</v>
      </c>
      <c r="Z8" s="3408"/>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0" t="s">
        <v>1364</v>
      </c>
      <c r="Q9" s="790" t="str">
        <f t="shared" ref="Q9:Q14" si="6">B9</f>
        <v>用途</v>
      </c>
      <c r="R9" s="1114" t="s">
        <v>1358</v>
      </c>
      <c r="S9" s="1115">
        <f t="shared" si="0"/>
        <v>100</v>
      </c>
      <c r="T9" s="1114" t="s">
        <v>1358</v>
      </c>
      <c r="U9" s="1115">
        <f t="shared" si="1"/>
        <v>100</v>
      </c>
      <c r="V9" s="1114" t="s">
        <v>1358</v>
      </c>
      <c r="W9" s="1115">
        <f t="shared" si="2"/>
        <v>100</v>
      </c>
      <c r="X9" s="1116"/>
      <c r="Y9" s="3381"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0"/>
      <c r="Q10" s="790" t="str">
        <f t="shared" si="6"/>
        <v>土地使用年限（年）</v>
      </c>
      <c r="R10" s="1114" t="s">
        <v>1358</v>
      </c>
      <c r="S10" s="1115">
        <f t="shared" si="0"/>
        <v>100</v>
      </c>
      <c r="T10" s="1114" t="s">
        <v>1358</v>
      </c>
      <c r="U10" s="1115">
        <f t="shared" si="1"/>
        <v>100</v>
      </c>
      <c r="V10" s="1114" t="s">
        <v>1358</v>
      </c>
      <c r="W10" s="1115">
        <f t="shared" si="2"/>
        <v>100</v>
      </c>
      <c r="X10" s="1116"/>
      <c r="Y10" s="3381"/>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0"/>
      <c r="Q11" s="790">
        <f t="shared" si="6"/>
        <v>111</v>
      </c>
      <c r="R11" s="1114" t="s">
        <v>1358</v>
      </c>
      <c r="S11" s="1115">
        <f t="shared" si="0"/>
        <v>100</v>
      </c>
      <c r="T11" s="1114" t="s">
        <v>1358</v>
      </c>
      <c r="U11" s="1115">
        <f t="shared" si="1"/>
        <v>100</v>
      </c>
      <c r="V11" s="1114" t="s">
        <v>1358</v>
      </c>
      <c r="W11" s="1115">
        <f t="shared" si="2"/>
        <v>100</v>
      </c>
      <c r="X11" s="1116"/>
      <c r="Y11" s="3381"/>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0"/>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0"/>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17" t="s">
        <v>1370</v>
      </c>
      <c r="Q14" s="621" t="str">
        <f t="shared" si="6"/>
        <v>交通便捷度</v>
      </c>
      <c r="R14" s="1118" t="s">
        <v>1358</v>
      </c>
      <c r="S14" s="1119">
        <f t="shared" si="0"/>
        <v>100</v>
      </c>
      <c r="T14" s="1118" t="s">
        <v>1358</v>
      </c>
      <c r="U14" s="1119">
        <f t="shared" si="1"/>
        <v>100</v>
      </c>
      <c r="V14" s="1118" t="s">
        <v>1358</v>
      </c>
      <c r="W14" s="1119">
        <f t="shared" si="2"/>
        <v>100</v>
      </c>
      <c r="X14" s="1113"/>
      <c r="Y14" s="3417"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8"/>
      <c r="Q15" s="621"/>
      <c r="R15" s="1118"/>
      <c r="S15" s="1119"/>
      <c r="T15" s="1118"/>
      <c r="U15" s="1119"/>
      <c r="V15" s="1118"/>
      <c r="W15" s="1119"/>
      <c r="X15" s="1113"/>
      <c r="Y15" s="3418"/>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8"/>
      <c r="Q16" s="621" t="str">
        <f>B16</f>
        <v>公共配套设施</v>
      </c>
      <c r="R16" s="1118" t="s">
        <v>1358</v>
      </c>
      <c r="S16" s="1119">
        <f>F16</f>
        <v>100</v>
      </c>
      <c r="T16" s="1118" t="s">
        <v>1358</v>
      </c>
      <c r="U16" s="1119">
        <f>H16</f>
        <v>100</v>
      </c>
      <c r="V16" s="1118" t="s">
        <v>1358</v>
      </c>
      <c r="W16" s="1119">
        <f>J16</f>
        <v>100</v>
      </c>
      <c r="X16" s="1113"/>
      <c r="Y16" s="3418"/>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8"/>
      <c r="Q17" s="621"/>
      <c r="R17" s="1118"/>
      <c r="S17" s="1119"/>
      <c r="T17" s="1118"/>
      <c r="U17" s="1119"/>
      <c r="V17" s="1118"/>
      <c r="W17" s="1119"/>
      <c r="X17" s="1113"/>
      <c r="Y17" s="3418"/>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8"/>
      <c r="Q18" s="621" t="str">
        <f>B18</f>
        <v>基础设施水平</v>
      </c>
      <c r="R18" s="1118" t="s">
        <v>1358</v>
      </c>
      <c r="S18" s="1119">
        <f>F18</f>
        <v>100</v>
      </c>
      <c r="T18" s="1118" t="s">
        <v>1358</v>
      </c>
      <c r="U18" s="1119">
        <f>H18</f>
        <v>100</v>
      </c>
      <c r="V18" s="1118" t="s">
        <v>1358</v>
      </c>
      <c r="W18" s="1119">
        <f>J18</f>
        <v>100</v>
      </c>
      <c r="X18" s="1113"/>
      <c r="Y18" s="3418"/>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8"/>
      <c r="Q19" s="621"/>
      <c r="R19" s="1118"/>
      <c r="S19" s="1119"/>
      <c r="T19" s="1118"/>
      <c r="U19" s="1119"/>
      <c r="V19" s="1118"/>
      <c r="W19" s="1119"/>
      <c r="X19" s="1113"/>
      <c r="Y19" s="3418"/>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8"/>
      <c r="Q20" s="621" t="str">
        <f>B20</f>
        <v>自然及人文环境</v>
      </c>
      <c r="R20" s="1118" t="s">
        <v>1358</v>
      </c>
      <c r="S20" s="1119">
        <f>F20</f>
        <v>100</v>
      </c>
      <c r="T20" s="1118" t="s">
        <v>1358</v>
      </c>
      <c r="U20" s="1119">
        <f>H20</f>
        <v>100</v>
      </c>
      <c r="V20" s="1118" t="s">
        <v>1358</v>
      </c>
      <c r="W20" s="1119">
        <f>J20</f>
        <v>100</v>
      </c>
      <c r="X20" s="1113"/>
      <c r="Y20" s="3418"/>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8"/>
      <c r="Q21" s="621"/>
      <c r="R21" s="1118"/>
      <c r="S21" s="1119"/>
      <c r="T21" s="1118"/>
      <c r="U21" s="1119"/>
      <c r="V21" s="1118"/>
      <c r="W21" s="1119"/>
      <c r="X21" s="1113"/>
      <c r="Y21" s="3418"/>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8"/>
      <c r="Q22" s="621" t="str">
        <f>B22</f>
        <v>楼层</v>
      </c>
      <c r="R22" s="1118" t="s">
        <v>1358</v>
      </c>
      <c r="S22" s="1119">
        <f>F22</f>
        <v>100</v>
      </c>
      <c r="T22" s="1118" t="s">
        <v>1358</v>
      </c>
      <c r="U22" s="1119">
        <f>H22</f>
        <v>100</v>
      </c>
      <c r="V22" s="1118" t="s">
        <v>1358</v>
      </c>
      <c r="W22" s="1119">
        <f>J22</f>
        <v>100</v>
      </c>
      <c r="X22" s="1113"/>
      <c r="Y22" s="3418"/>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8"/>
      <c r="Q23" s="621">
        <f>B23</f>
        <v>111</v>
      </c>
      <c r="R23" s="1118" t="s">
        <v>1358</v>
      </c>
      <c r="S23" s="1119">
        <f>F23</f>
        <v>100</v>
      </c>
      <c r="T23" s="1118" t="s">
        <v>1358</v>
      </c>
      <c r="U23" s="1119">
        <f>H23</f>
        <v>100</v>
      </c>
      <c r="V23" s="1118" t="s">
        <v>1358</v>
      </c>
      <c r="W23" s="1119">
        <f>J23</f>
        <v>100</v>
      </c>
      <c r="X23" s="1113"/>
      <c r="Y23" s="3418"/>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8"/>
      <c r="Q24" s="621">
        <f t="shared" ref="Q24:Q34" si="11">B24</f>
        <v>111</v>
      </c>
      <c r="R24" s="1118" t="s">
        <v>1358</v>
      </c>
      <c r="S24" s="1119">
        <f>F24</f>
        <v>100</v>
      </c>
      <c r="T24" s="1118" t="s">
        <v>1358</v>
      </c>
      <c r="U24" s="1119">
        <f>H24</f>
        <v>100</v>
      </c>
      <c r="V24" s="1118" t="s">
        <v>1358</v>
      </c>
      <c r="W24" s="1119">
        <f>J24</f>
        <v>100</v>
      </c>
      <c r="X24" s="1113"/>
      <c r="Y24" s="3418"/>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8"/>
      <c r="Q25" s="790">
        <f t="shared" si="11"/>
        <v>111</v>
      </c>
      <c r="R25" s="1114" t="s">
        <v>1358</v>
      </c>
      <c r="S25" s="1115">
        <f>F25</f>
        <v>100</v>
      </c>
      <c r="T25" s="1114" t="s">
        <v>1358</v>
      </c>
      <c r="U25" s="1115">
        <f>H25</f>
        <v>100</v>
      </c>
      <c r="V25" s="1114" t="s">
        <v>1358</v>
      </c>
      <c r="W25" s="1115">
        <f>J25</f>
        <v>100</v>
      </c>
      <c r="X25" s="1116"/>
      <c r="Y25" s="3418"/>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4"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19"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9"/>
      <c r="Q27" s="1308" t="str">
        <f t="shared" si="11"/>
        <v>成新率</v>
      </c>
      <c r="R27" s="1120" t="s">
        <v>1358</v>
      </c>
      <c r="S27" s="1121" t="e">
        <f t="shared" si="12"/>
        <v>#N/A</v>
      </c>
      <c r="T27" s="1120" t="s">
        <v>1358</v>
      </c>
      <c r="U27" s="1121" t="e">
        <f t="shared" si="13"/>
        <v>#N/A</v>
      </c>
      <c r="V27" s="1120" t="s">
        <v>1358</v>
      </c>
      <c r="W27" s="1121" t="e">
        <f t="shared" si="14"/>
        <v>#N/A</v>
      </c>
      <c r="X27" s="1122"/>
      <c r="Y27" s="3419"/>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9"/>
      <c r="Q28" s="621" t="str">
        <f t="shared" si="11"/>
        <v>物业等级</v>
      </c>
      <c r="R28" s="1118" t="s">
        <v>1358</v>
      </c>
      <c r="S28" s="1119">
        <f t="shared" si="12"/>
        <v>100</v>
      </c>
      <c r="T28" s="1118" t="s">
        <v>1358</v>
      </c>
      <c r="U28" s="1119">
        <f t="shared" si="13"/>
        <v>100</v>
      </c>
      <c r="V28" s="1118" t="s">
        <v>1358</v>
      </c>
      <c r="W28" s="1119">
        <f t="shared" si="14"/>
        <v>100</v>
      </c>
      <c r="X28" s="1113"/>
      <c r="Y28" s="3419"/>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9"/>
      <c r="Q29" s="621" t="str">
        <f t="shared" si="11"/>
        <v>有无电梯</v>
      </c>
      <c r="R29" s="1118" t="s">
        <v>1358</v>
      </c>
      <c r="S29" s="1119">
        <f t="shared" si="12"/>
        <v>100</v>
      </c>
      <c r="T29" s="1118" t="s">
        <v>1358</v>
      </c>
      <c r="U29" s="1119">
        <f t="shared" si="13"/>
        <v>100</v>
      </c>
      <c r="V29" s="1118" t="s">
        <v>1358</v>
      </c>
      <c r="W29" s="1119">
        <f t="shared" si="14"/>
        <v>100</v>
      </c>
      <c r="X29" s="1113"/>
      <c r="Y29" s="3419"/>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9"/>
      <c r="Q30" s="621" t="str">
        <f t="shared" si="11"/>
        <v>建筑面积</v>
      </c>
      <c r="R30" s="1118" t="s">
        <v>1358</v>
      </c>
      <c r="S30" s="1119" t="e">
        <f t="shared" si="12"/>
        <v>#N/A</v>
      </c>
      <c r="T30" s="1118" t="s">
        <v>1358</v>
      </c>
      <c r="U30" s="1119" t="e">
        <f t="shared" si="13"/>
        <v>#N/A</v>
      </c>
      <c r="V30" s="1118" t="s">
        <v>1358</v>
      </c>
      <c r="W30" s="1119" t="e">
        <f t="shared" si="14"/>
        <v>#N/A</v>
      </c>
      <c r="X30" s="1113"/>
      <c r="Y30" s="3419"/>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9"/>
      <c r="Q31" s="790" t="str">
        <f t="shared" si="11"/>
        <v>是否封闭</v>
      </c>
      <c r="R31" s="1114" t="s">
        <v>1358</v>
      </c>
      <c r="S31" s="1115">
        <f t="shared" si="12"/>
        <v>100</v>
      </c>
      <c r="T31" s="1114" t="s">
        <v>1358</v>
      </c>
      <c r="U31" s="1115">
        <f t="shared" si="13"/>
        <v>100</v>
      </c>
      <c r="V31" s="1114" t="s">
        <v>1358</v>
      </c>
      <c r="W31" s="1115">
        <f t="shared" si="14"/>
        <v>100</v>
      </c>
      <c r="X31" s="1116"/>
      <c r="Y31" s="3419"/>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9" t="s">
        <v>1384</v>
      </c>
      <c r="Q32" s="621">
        <f t="shared" si="11"/>
        <v>111</v>
      </c>
      <c r="R32" s="1118" t="s">
        <v>1358</v>
      </c>
      <c r="S32" s="1119">
        <f t="shared" si="12"/>
        <v>100</v>
      </c>
      <c r="T32" s="1118" t="s">
        <v>1358</v>
      </c>
      <c r="U32" s="1119">
        <f t="shared" si="13"/>
        <v>100</v>
      </c>
      <c r="V32" s="1118" t="s">
        <v>1358</v>
      </c>
      <c r="W32" s="1119">
        <f t="shared" si="14"/>
        <v>100</v>
      </c>
      <c r="X32" s="1113"/>
      <c r="Y32" s="3419"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9"/>
      <c r="Q33" s="621">
        <f t="shared" si="11"/>
        <v>111</v>
      </c>
      <c r="R33" s="1118" t="s">
        <v>1358</v>
      </c>
      <c r="S33" s="1119">
        <f t="shared" si="12"/>
        <v>100</v>
      </c>
      <c r="T33" s="1118" t="s">
        <v>1358</v>
      </c>
      <c r="U33" s="1119">
        <f t="shared" si="13"/>
        <v>100</v>
      </c>
      <c r="V33" s="1118" t="s">
        <v>1358</v>
      </c>
      <c r="W33" s="1119">
        <f t="shared" si="14"/>
        <v>100</v>
      </c>
      <c r="X33" s="1113"/>
      <c r="Y33" s="3419"/>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9"/>
      <c r="Q34" s="621">
        <f t="shared" si="11"/>
        <v>111</v>
      </c>
      <c r="R34" s="1118" t="s">
        <v>1358</v>
      </c>
      <c r="S34" s="1119">
        <f t="shared" si="12"/>
        <v>100</v>
      </c>
      <c r="T34" s="1118" t="s">
        <v>1358</v>
      </c>
      <c r="U34" s="1119">
        <f t="shared" si="13"/>
        <v>100</v>
      </c>
      <c r="V34" s="1118" t="s">
        <v>1358</v>
      </c>
      <c r="W34" s="1119">
        <f t="shared" si="14"/>
        <v>100</v>
      </c>
      <c r="X34" s="1113"/>
      <c r="Y34" s="3419"/>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0" t="str">
        <f>A35</f>
        <v>成交单价（元/平方米）</v>
      </c>
      <c r="Q35" s="3410"/>
      <c r="R35" s="3411">
        <f>E35</f>
        <v>0</v>
      </c>
      <c r="S35" s="3411"/>
      <c r="T35" s="3411">
        <f>G35</f>
        <v>0</v>
      </c>
      <c r="U35" s="3411"/>
      <c r="V35" s="3411">
        <f>I35</f>
        <v>0</v>
      </c>
      <c r="W35" s="3411"/>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46" t="str">
        <f>A37</f>
        <v>估价对象XX用房的比较价值（楼面单价，元/平方米）</v>
      </c>
      <c r="Q37" s="3447"/>
      <c r="R37" s="3485" t="e">
        <f>IF(F1="售价",ROUND(IF(D36="简单平均",AVERAGE(R36:W36),R36*F36+T36*H36+V36*J36),0),ROUND(IF(D36="简单平均",AVERAGE(R36:V36),R36*F36+T36*H36+V36*J36),1))</f>
        <v>#DIV/0!</v>
      </c>
      <c r="S37" s="3485"/>
      <c r="T37" s="3485"/>
      <c r="U37" s="3485"/>
      <c r="V37" s="3485"/>
      <c r="W37" s="3485"/>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25" t="s">
        <v>1349</v>
      </c>
      <c r="AC4" s="3449" t="s">
        <v>1350</v>
      </c>
    </row>
    <row r="5" spans="1:29">
      <c r="A5" s="922"/>
      <c r="B5" s="923"/>
      <c r="C5" s="3443" t="s">
        <v>1575</v>
      </c>
      <c r="D5" s="3400"/>
      <c r="E5" s="3477" t="s">
        <v>1576</v>
      </c>
      <c r="F5" s="3445"/>
      <c r="G5" s="3443" t="s">
        <v>1577</v>
      </c>
      <c r="H5" s="3400"/>
      <c r="I5" s="3443" t="s">
        <v>1353</v>
      </c>
      <c r="J5" s="3400"/>
      <c r="K5" s="1064"/>
      <c r="L5" s="1065"/>
      <c r="M5" s="1015"/>
      <c r="N5" s="1015"/>
      <c r="O5" s="1015"/>
      <c r="P5" s="3452"/>
      <c r="Q5" s="3433"/>
      <c r="R5" s="3438"/>
      <c r="S5" s="3439"/>
      <c r="T5" s="3438"/>
      <c r="U5" s="3439"/>
      <c r="V5" s="3411"/>
      <c r="W5" s="3411"/>
      <c r="X5" s="1113"/>
      <c r="Y5" s="3438"/>
      <c r="Z5" s="3439"/>
      <c r="AA5" s="3425"/>
      <c r="AB5" s="3425"/>
      <c r="AC5" s="3425"/>
    </row>
    <row r="6" spans="1:29" ht="14.4">
      <c r="A6" s="924"/>
      <c r="B6" s="925"/>
      <c r="C6" s="3401" t="s">
        <v>1354</v>
      </c>
      <c r="D6" s="3402"/>
      <c r="E6" s="3403" t="s">
        <v>1354</v>
      </c>
      <c r="F6" s="3404"/>
      <c r="G6" s="3401" t="s">
        <v>1354</v>
      </c>
      <c r="H6" s="3402"/>
      <c r="I6" s="3401" t="s">
        <v>1354</v>
      </c>
      <c r="J6" s="3402"/>
      <c r="K6" s="1064" t="s">
        <v>1355</v>
      </c>
      <c r="L6" s="1065"/>
      <c r="M6" s="1015"/>
      <c r="N6" s="1015"/>
      <c r="O6" s="1015"/>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7" t="s">
        <v>1357</v>
      </c>
      <c r="Q7" s="3406"/>
      <c r="R7" s="1114" t="s">
        <v>1358</v>
      </c>
      <c r="S7" s="1115">
        <f t="shared" ref="S7:S15" si="0">F7</f>
        <v>0</v>
      </c>
      <c r="T7" s="1114" t="s">
        <v>1358</v>
      </c>
      <c r="U7" s="1115">
        <f t="shared" ref="U7:U15" si="1">H7</f>
        <v>0</v>
      </c>
      <c r="V7" s="1114" t="s">
        <v>1358</v>
      </c>
      <c r="W7" s="1115">
        <f t="shared" ref="W7:W15" si="2">J7</f>
        <v>0</v>
      </c>
      <c r="X7" s="1116"/>
      <c r="Y7" s="3407" t="s">
        <v>1357</v>
      </c>
      <c r="Z7" s="3408"/>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7" t="s">
        <v>1361</v>
      </c>
      <c r="Q8" s="3408"/>
      <c r="R8" s="1114" t="s">
        <v>1358</v>
      </c>
      <c r="S8" s="1115">
        <f t="shared" si="0"/>
        <v>0</v>
      </c>
      <c r="T8" s="1114" t="s">
        <v>1358</v>
      </c>
      <c r="U8" s="1115">
        <f t="shared" si="1"/>
        <v>0</v>
      </c>
      <c r="V8" s="1114" t="s">
        <v>1358</v>
      </c>
      <c r="W8" s="1115">
        <f t="shared" si="2"/>
        <v>0</v>
      </c>
      <c r="X8" s="1116"/>
      <c r="Y8" s="3407" t="s">
        <v>1361</v>
      </c>
      <c r="Z8" s="3408"/>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0"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0"/>
      <c r="Q10" s="790" t="str">
        <f t="shared" si="6"/>
        <v>土地使用年限（年）</v>
      </c>
      <c r="R10" s="1114" t="s">
        <v>1358</v>
      </c>
      <c r="S10" s="1115">
        <f t="shared" si="0"/>
        <v>116</v>
      </c>
      <c r="T10" s="1114" t="s">
        <v>1358</v>
      </c>
      <c r="U10" s="1115">
        <f t="shared" si="1"/>
        <v>116</v>
      </c>
      <c r="V10" s="1114" t="s">
        <v>1358</v>
      </c>
      <c r="W10" s="1115">
        <f t="shared" si="2"/>
        <v>116</v>
      </c>
      <c r="X10" s="1116"/>
      <c r="Y10" s="3381"/>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0"/>
      <c r="Q11" s="790" t="str">
        <f t="shared" si="6"/>
        <v>容积率</v>
      </c>
      <c r="R11" s="1114" t="s">
        <v>1358</v>
      </c>
      <c r="S11" s="1115" t="e">
        <f t="shared" si="0"/>
        <v>#N/A</v>
      </c>
      <c r="T11" s="1114" t="s">
        <v>1358</v>
      </c>
      <c r="U11" s="1115" t="e">
        <f t="shared" si="1"/>
        <v>#N/A</v>
      </c>
      <c r="V11" s="1114" t="s">
        <v>1358</v>
      </c>
      <c r="W11" s="1115" t="e">
        <f t="shared" si="2"/>
        <v>#N/A</v>
      </c>
      <c r="X11" s="1116"/>
      <c r="Y11" s="3381"/>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0"/>
      <c r="Q12" s="790" t="str">
        <f t="shared" si="6"/>
        <v>配建</v>
      </c>
      <c r="R12" s="1114" t="s">
        <v>1358</v>
      </c>
      <c r="S12" s="1115">
        <f t="shared" si="0"/>
        <v>100</v>
      </c>
      <c r="T12" s="1114" t="s">
        <v>1358</v>
      </c>
      <c r="U12" s="1115">
        <f t="shared" si="1"/>
        <v>100</v>
      </c>
      <c r="V12" s="1114" t="s">
        <v>1358</v>
      </c>
      <c r="W12" s="1115">
        <f t="shared" si="2"/>
        <v>100</v>
      </c>
      <c r="X12" s="1116"/>
      <c r="Y12" s="3381"/>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0"/>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0"/>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17" t="s">
        <v>1370</v>
      </c>
      <c r="Q15" s="621" t="str">
        <f t="shared" si="6"/>
        <v>居住社区成熟度</v>
      </c>
      <c r="R15" s="1118" t="s">
        <v>1358</v>
      </c>
      <c r="S15" s="1119">
        <f t="shared" si="0"/>
        <v>100</v>
      </c>
      <c r="T15" s="1118" t="s">
        <v>1358</v>
      </c>
      <c r="U15" s="1119">
        <f t="shared" si="1"/>
        <v>100</v>
      </c>
      <c r="V15" s="1118" t="s">
        <v>1358</v>
      </c>
      <c r="W15" s="1119">
        <f t="shared" si="2"/>
        <v>100</v>
      </c>
      <c r="X15" s="1113"/>
      <c r="Y15" s="3417"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8"/>
      <c r="Q16" s="621"/>
      <c r="R16" s="1118"/>
      <c r="S16" s="1119"/>
      <c r="T16" s="1118"/>
      <c r="U16" s="1119"/>
      <c r="V16" s="1118"/>
      <c r="W16" s="1119"/>
      <c r="X16" s="1113"/>
      <c r="Y16" s="3418"/>
      <c r="Z16" s="1102"/>
      <c r="AA16" s="1102">
        <v>1</v>
      </c>
      <c r="AB16" s="1102">
        <v>1</v>
      </c>
      <c r="AC16" s="1102">
        <v>1</v>
      </c>
    </row>
    <row r="17" spans="1:29" ht="15">
      <c r="A17" s="943"/>
      <c r="B17" s="1234" t="s">
        <v>1605</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8"/>
      <c r="Q17" s="621" t="str">
        <f>B17</f>
        <v>商业繁华度</v>
      </c>
      <c r="R17" s="1118" t="s">
        <v>1358</v>
      </c>
      <c r="S17" s="1119">
        <f>F17</f>
        <v>100</v>
      </c>
      <c r="T17" s="1118" t="s">
        <v>1358</v>
      </c>
      <c r="U17" s="1119">
        <f>H17</f>
        <v>100</v>
      </c>
      <c r="V17" s="1118" t="s">
        <v>1358</v>
      </c>
      <c r="W17" s="1119">
        <f>J17</f>
        <v>100</v>
      </c>
      <c r="X17" s="1113"/>
      <c r="Y17" s="3418"/>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8"/>
      <c r="Q18" s="621"/>
      <c r="R18" s="1118"/>
      <c r="S18" s="1119"/>
      <c r="T18" s="1118"/>
      <c r="U18" s="1119"/>
      <c r="V18" s="1118"/>
      <c r="W18" s="1119"/>
      <c r="X18" s="1113"/>
      <c r="Y18" s="3418"/>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8"/>
      <c r="Q19" s="621" t="str">
        <f>B19</f>
        <v>办公集聚程度</v>
      </c>
      <c r="R19" s="1118" t="s">
        <v>1358</v>
      </c>
      <c r="S19" s="1119">
        <f>F19</f>
        <v>100</v>
      </c>
      <c r="T19" s="1118" t="s">
        <v>1358</v>
      </c>
      <c r="U19" s="1119">
        <f>H19</f>
        <v>100</v>
      </c>
      <c r="V19" s="1118" t="s">
        <v>1358</v>
      </c>
      <c r="W19" s="1119">
        <f>J19</f>
        <v>100</v>
      </c>
      <c r="X19" s="1113"/>
      <c r="Y19" s="3418"/>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8"/>
      <c r="Q20" s="621"/>
      <c r="R20" s="1118"/>
      <c r="S20" s="1119"/>
      <c r="T20" s="1118"/>
      <c r="U20" s="1119"/>
      <c r="V20" s="1118"/>
      <c r="W20" s="1119"/>
      <c r="X20" s="1113"/>
      <c r="Y20" s="3418"/>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8"/>
      <c r="Q21" s="621" t="str">
        <f>B21</f>
        <v>交通便捷度</v>
      </c>
      <c r="R21" s="1118" t="s">
        <v>1358</v>
      </c>
      <c r="S21" s="1119">
        <f>F21</f>
        <v>100</v>
      </c>
      <c r="T21" s="1118" t="s">
        <v>1358</v>
      </c>
      <c r="U21" s="1119">
        <f>H21</f>
        <v>100</v>
      </c>
      <c r="V21" s="1118" t="s">
        <v>1358</v>
      </c>
      <c r="W21" s="1119">
        <f>J21</f>
        <v>100</v>
      </c>
      <c r="X21" s="1113"/>
      <c r="Y21" s="3418"/>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8"/>
      <c r="Q22" s="621"/>
      <c r="R22" s="1118"/>
      <c r="S22" s="1119"/>
      <c r="T22" s="1118"/>
      <c r="U22" s="1119"/>
      <c r="V22" s="1118"/>
      <c r="W22" s="1119"/>
      <c r="X22" s="1113"/>
      <c r="Y22" s="3418"/>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8"/>
      <c r="Q23" s="621" t="str">
        <f t="shared" ref="Q23:Q38" si="8">B23</f>
        <v>区域土地利用方向</v>
      </c>
      <c r="R23" s="1118" t="s">
        <v>1358</v>
      </c>
      <c r="S23" s="1119">
        <f>F23</f>
        <v>100</v>
      </c>
      <c r="T23" s="1118" t="s">
        <v>1358</v>
      </c>
      <c r="U23" s="1119">
        <f>H23</f>
        <v>100</v>
      </c>
      <c r="V23" s="1118" t="s">
        <v>1358</v>
      </c>
      <c r="W23" s="1119">
        <f>J23</f>
        <v>100</v>
      </c>
      <c r="X23" s="1113"/>
      <c r="Y23" s="3418"/>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8"/>
      <c r="Q24" s="621"/>
      <c r="R24" s="1118"/>
      <c r="S24" s="1119"/>
      <c r="T24" s="1118"/>
      <c r="U24" s="1119"/>
      <c r="V24" s="1118"/>
      <c r="W24" s="1119"/>
      <c r="X24" s="1113"/>
      <c r="Y24" s="3418"/>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8"/>
      <c r="Q25" s="621" t="str">
        <f t="shared" si="8"/>
        <v>自然及人文环境状况</v>
      </c>
      <c r="R25" s="1118" t="s">
        <v>1358</v>
      </c>
      <c r="S25" s="1119">
        <f>F25</f>
        <v>100</v>
      </c>
      <c r="T25" s="1118" t="s">
        <v>1358</v>
      </c>
      <c r="U25" s="1119">
        <f>H25</f>
        <v>100</v>
      </c>
      <c r="V25" s="1118" t="s">
        <v>1358</v>
      </c>
      <c r="W25" s="1119">
        <f>J25</f>
        <v>100</v>
      </c>
      <c r="X25" s="1113"/>
      <c r="Y25" s="3418"/>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8"/>
      <c r="Q26" s="621"/>
      <c r="R26" s="1118"/>
      <c r="S26" s="1119"/>
      <c r="T26" s="1118"/>
      <c r="U26" s="1119"/>
      <c r="V26" s="1118"/>
      <c r="W26" s="1119"/>
      <c r="X26" s="1113"/>
      <c r="Y26" s="3418"/>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8"/>
      <c r="Q27" s="790" t="str">
        <f t="shared" si="8"/>
        <v>公共配套设施</v>
      </c>
      <c r="R27" s="1114" t="s">
        <v>1358</v>
      </c>
      <c r="S27" s="1115">
        <f>F27</f>
        <v>100</v>
      </c>
      <c r="T27" s="1114" t="s">
        <v>1358</v>
      </c>
      <c r="U27" s="1115">
        <f>H27</f>
        <v>100</v>
      </c>
      <c r="V27" s="1114" t="s">
        <v>1358</v>
      </c>
      <c r="W27" s="1115">
        <f>J27</f>
        <v>100</v>
      </c>
      <c r="X27" s="1116"/>
      <c r="Y27" s="3418"/>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8"/>
      <c r="Q28" s="790"/>
      <c r="R28" s="1114"/>
      <c r="S28" s="1115"/>
      <c r="T28" s="1114"/>
      <c r="U28" s="1115"/>
      <c r="V28" s="1114"/>
      <c r="W28" s="1115"/>
      <c r="X28" s="1116"/>
      <c r="Y28" s="3418"/>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8"/>
      <c r="Q29" s="790" t="str">
        <f t="shared" ref="Q29" si="9">B29</f>
        <v>基础设施水平</v>
      </c>
      <c r="R29" s="1114" t="s">
        <v>1358</v>
      </c>
      <c r="S29" s="1115">
        <f>F29</f>
        <v>100</v>
      </c>
      <c r="T29" s="1114" t="s">
        <v>1358</v>
      </c>
      <c r="U29" s="1115">
        <f>H29</f>
        <v>100</v>
      </c>
      <c r="V29" s="1114" t="s">
        <v>1358</v>
      </c>
      <c r="W29" s="1115">
        <f>J29</f>
        <v>100</v>
      </c>
      <c r="X29" s="1116"/>
      <c r="Y29" s="3418"/>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8"/>
      <c r="Q30" s="790"/>
      <c r="R30" s="1114"/>
      <c r="S30" s="1115"/>
      <c r="T30" s="1114"/>
      <c r="U30" s="1115"/>
      <c r="V30" s="1114"/>
      <c r="W30" s="1115"/>
      <c r="X30" s="1116"/>
      <c r="Y30" s="3418"/>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8"/>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18"/>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8"/>
      <c r="Q32" s="621" t="str">
        <f t="shared" si="8"/>
        <v>毗邻道路的类型与等级</v>
      </c>
      <c r="R32" s="1118" t="s">
        <v>1358</v>
      </c>
      <c r="S32" s="1119">
        <f t="shared" si="10"/>
        <v>100</v>
      </c>
      <c r="T32" s="1118" t="s">
        <v>1358</v>
      </c>
      <c r="U32" s="1119">
        <f t="shared" si="11"/>
        <v>100</v>
      </c>
      <c r="V32" s="1118" t="s">
        <v>1358</v>
      </c>
      <c r="W32" s="1119">
        <f t="shared" si="12"/>
        <v>100</v>
      </c>
      <c r="X32" s="1113"/>
      <c r="Y32" s="3418"/>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8"/>
      <c r="Q33" s="621"/>
      <c r="R33" s="1118"/>
      <c r="S33" s="1119"/>
      <c r="T33" s="1118"/>
      <c r="U33" s="1119"/>
      <c r="V33" s="1118"/>
      <c r="W33" s="1119"/>
      <c r="X33" s="1113"/>
      <c r="Y33" s="3418"/>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8"/>
      <c r="Q34" s="621" t="str">
        <f t="shared" si="8"/>
        <v>土地级别</v>
      </c>
      <c r="R34" s="1118" t="s">
        <v>1358</v>
      </c>
      <c r="S34" s="1119">
        <f t="shared" si="10"/>
        <v>100</v>
      </c>
      <c r="T34" s="1118" t="s">
        <v>1358</v>
      </c>
      <c r="U34" s="1119">
        <f t="shared" si="11"/>
        <v>100</v>
      </c>
      <c r="V34" s="1118" t="s">
        <v>1358</v>
      </c>
      <c r="W34" s="1119">
        <f t="shared" si="12"/>
        <v>100</v>
      </c>
      <c r="X34" s="1113"/>
      <c r="Y34" s="3418"/>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8"/>
      <c r="Q35" s="621">
        <f t="shared" si="8"/>
        <v>111</v>
      </c>
      <c r="R35" s="1118" t="s">
        <v>1358</v>
      </c>
      <c r="S35" s="1119">
        <f t="shared" si="10"/>
        <v>100</v>
      </c>
      <c r="T35" s="1118" t="s">
        <v>1358</v>
      </c>
      <c r="U35" s="1119">
        <f t="shared" si="11"/>
        <v>100</v>
      </c>
      <c r="V35" s="1118" t="s">
        <v>1358</v>
      </c>
      <c r="W35" s="1119">
        <f t="shared" si="12"/>
        <v>100</v>
      </c>
      <c r="X35" s="1113"/>
      <c r="Y35" s="3418"/>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4" t="s">
        <v>1384</v>
      </c>
      <c r="Q36" s="621">
        <f t="shared" si="8"/>
        <v>111</v>
      </c>
      <c r="R36" s="1118" t="s">
        <v>1358</v>
      </c>
      <c r="S36" s="1119">
        <f t="shared" si="10"/>
        <v>100</v>
      </c>
      <c r="T36" s="1118" t="s">
        <v>1358</v>
      </c>
      <c r="U36" s="1119">
        <f t="shared" si="11"/>
        <v>100</v>
      </c>
      <c r="V36" s="1118" t="s">
        <v>1358</v>
      </c>
      <c r="W36" s="1119">
        <f t="shared" si="12"/>
        <v>100</v>
      </c>
      <c r="X36" s="1113"/>
      <c r="Y36" s="3419"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9"/>
      <c r="Q37" s="621">
        <f t="shared" si="8"/>
        <v>111</v>
      </c>
      <c r="R37" s="1120" t="s">
        <v>1358</v>
      </c>
      <c r="S37" s="1121">
        <f t="shared" si="10"/>
        <v>100</v>
      </c>
      <c r="T37" s="1120" t="s">
        <v>1358</v>
      </c>
      <c r="U37" s="1121">
        <f t="shared" si="11"/>
        <v>100</v>
      </c>
      <c r="V37" s="1120" t="s">
        <v>1358</v>
      </c>
      <c r="W37" s="1121">
        <f t="shared" si="12"/>
        <v>100</v>
      </c>
      <c r="X37" s="1122"/>
      <c r="Y37" s="3419"/>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9"/>
      <c r="Q38" s="621" t="str">
        <f t="shared" si="8"/>
        <v>宗地面积</v>
      </c>
      <c r="R38" s="1118" t="s">
        <v>1358</v>
      </c>
      <c r="S38" s="1119" t="e">
        <f t="shared" si="10"/>
        <v>#N/A</v>
      </c>
      <c r="T38" s="1118" t="s">
        <v>1358</v>
      </c>
      <c r="U38" s="1119" t="e">
        <f t="shared" si="11"/>
        <v>#N/A</v>
      </c>
      <c r="V38" s="1118" t="s">
        <v>1358</v>
      </c>
      <c r="W38" s="1119" t="e">
        <f t="shared" si="12"/>
        <v>#N/A</v>
      </c>
      <c r="X38" s="1113"/>
      <c r="Y38" s="3419"/>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9"/>
      <c r="Q39" s="621" t="str">
        <f t="shared" ref="Q39:Q45" si="14">B39</f>
        <v>宗地形状</v>
      </c>
      <c r="R39" s="1118" t="s">
        <v>1358</v>
      </c>
      <c r="S39" s="1119">
        <f t="shared" si="10"/>
        <v>100</v>
      </c>
      <c r="T39" s="1118" t="s">
        <v>1358</v>
      </c>
      <c r="U39" s="1119">
        <f t="shared" si="11"/>
        <v>100</v>
      </c>
      <c r="V39" s="1118" t="s">
        <v>1358</v>
      </c>
      <c r="W39" s="1119">
        <f t="shared" si="12"/>
        <v>100</v>
      </c>
      <c r="X39" s="1113"/>
      <c r="Y39" s="3419"/>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9"/>
      <c r="Q40" s="621" t="str">
        <f t="shared" si="14"/>
        <v>临街宽度及深度</v>
      </c>
      <c r="R40" s="1118" t="s">
        <v>1358</v>
      </c>
      <c r="S40" s="1119">
        <f t="shared" si="10"/>
        <v>100</v>
      </c>
      <c r="T40" s="1118" t="s">
        <v>1358</v>
      </c>
      <c r="U40" s="1119">
        <f t="shared" si="11"/>
        <v>100</v>
      </c>
      <c r="V40" s="1118" t="s">
        <v>1358</v>
      </c>
      <c r="W40" s="1119">
        <f t="shared" si="12"/>
        <v>100</v>
      </c>
      <c r="X40" s="1113"/>
      <c r="Y40" s="3419"/>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9"/>
      <c r="Q41" s="621" t="str">
        <f t="shared" si="14"/>
        <v>宗地开发程度</v>
      </c>
      <c r="R41" s="1114" t="s">
        <v>1358</v>
      </c>
      <c r="S41" s="1115">
        <f t="shared" si="10"/>
        <v>100</v>
      </c>
      <c r="T41" s="1114" t="s">
        <v>1358</v>
      </c>
      <c r="U41" s="1115">
        <f t="shared" si="11"/>
        <v>100</v>
      </c>
      <c r="V41" s="1114" t="s">
        <v>1358</v>
      </c>
      <c r="W41" s="1115">
        <f t="shared" si="12"/>
        <v>100</v>
      </c>
      <c r="X41" s="1116"/>
      <c r="Y41" s="3419"/>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9" t="s">
        <v>1384</v>
      </c>
      <c r="Q42" s="621" t="str">
        <f t="shared" si="14"/>
        <v>工程地质条件</v>
      </c>
      <c r="R42" s="1118" t="s">
        <v>1358</v>
      </c>
      <c r="S42" s="1119">
        <f t="shared" si="10"/>
        <v>100</v>
      </c>
      <c r="T42" s="1118" t="s">
        <v>1358</v>
      </c>
      <c r="U42" s="1119">
        <f t="shared" si="11"/>
        <v>100</v>
      </c>
      <c r="V42" s="1118" t="s">
        <v>1358</v>
      </c>
      <c r="W42" s="1119">
        <f t="shared" si="12"/>
        <v>100</v>
      </c>
      <c r="X42" s="1113"/>
      <c r="Y42" s="3419"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9"/>
      <c r="Q43" s="621">
        <f t="shared" si="14"/>
        <v>111</v>
      </c>
      <c r="R43" s="1118" t="s">
        <v>1358</v>
      </c>
      <c r="S43" s="1119">
        <f t="shared" si="10"/>
        <v>100</v>
      </c>
      <c r="T43" s="1118" t="s">
        <v>1358</v>
      </c>
      <c r="U43" s="1119">
        <f t="shared" si="11"/>
        <v>100</v>
      </c>
      <c r="V43" s="1118" t="s">
        <v>1358</v>
      </c>
      <c r="W43" s="1119">
        <f t="shared" si="12"/>
        <v>100</v>
      </c>
      <c r="X43" s="1113"/>
      <c r="Y43" s="3419"/>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9"/>
      <c r="Q44" s="621">
        <f t="shared" si="14"/>
        <v>111</v>
      </c>
      <c r="R44" s="1118" t="s">
        <v>1358</v>
      </c>
      <c r="S44" s="1119">
        <f t="shared" si="10"/>
        <v>100</v>
      </c>
      <c r="T44" s="1118" t="s">
        <v>1358</v>
      </c>
      <c r="U44" s="1119">
        <f t="shared" si="11"/>
        <v>100</v>
      </c>
      <c r="V44" s="1118" t="s">
        <v>1358</v>
      </c>
      <c r="W44" s="1119">
        <f t="shared" si="12"/>
        <v>100</v>
      </c>
      <c r="X44" s="1113"/>
      <c r="Y44" s="3419"/>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9"/>
      <c r="Q45" s="621">
        <f t="shared" si="14"/>
        <v>111</v>
      </c>
      <c r="R45" s="1120" t="s">
        <v>1358</v>
      </c>
      <c r="S45" s="1121">
        <f t="shared" si="10"/>
        <v>100</v>
      </c>
      <c r="T45" s="1120" t="s">
        <v>1358</v>
      </c>
      <c r="U45" s="1121">
        <f t="shared" si="11"/>
        <v>100</v>
      </c>
      <c r="V45" s="1120" t="s">
        <v>1358</v>
      </c>
      <c r="W45" s="1121">
        <f t="shared" si="12"/>
        <v>100</v>
      </c>
      <c r="X45" s="1122"/>
      <c r="Y45" s="3419"/>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0" t="str">
        <f>A46</f>
        <v>成交单价</v>
      </c>
      <c r="Q46" s="3410"/>
      <c r="R46" s="3411">
        <f>E46</f>
        <v>0</v>
      </c>
      <c r="S46" s="3411"/>
      <c r="T46" s="3411">
        <f>G46</f>
        <v>0</v>
      </c>
      <c r="U46" s="3411"/>
      <c r="V46" s="3411">
        <f>I46</f>
        <v>0</v>
      </c>
      <c r="W46" s="3411"/>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0" t="str">
        <f>A47</f>
        <v>比较价值（元/平方米）</v>
      </c>
      <c r="Q47" s="3410"/>
      <c r="R47" s="3487" t="e">
        <f>ROUND(PRODUCT(R46,AA7:AA45),0)</f>
        <v>#DIV/0!</v>
      </c>
      <c r="S47" s="3487"/>
      <c r="T47" s="3487" t="e">
        <f>ROUND(PRODUCT(T46,AB7:AB45),0)</f>
        <v>#DIV/0!</v>
      </c>
      <c r="U47" s="3487"/>
      <c r="V47" s="3487" t="e">
        <f>ROUND(PRODUCT(V46,AC7:AC45),0)</f>
        <v>#DIV/0!</v>
      </c>
      <c r="W47" s="3487"/>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46" t="str">
        <f>A48</f>
        <v>估价对象XX用房的比较价值（楼面单价，元/平方米）</v>
      </c>
      <c r="Q48" s="3447"/>
      <c r="R48" s="3488" t="e">
        <f>ROUND(IF(D47="简单平均",AVERAGE(R47:W47),R47*F47+T47*H47+V47*J47),0)</f>
        <v>#DIV/0!</v>
      </c>
      <c r="S48" s="3488"/>
      <c r="T48" s="3488"/>
      <c r="U48" s="3488"/>
      <c r="V48" s="3488"/>
      <c r="W48" s="3488"/>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95" t="s">
        <v>1673</v>
      </c>
      <c r="H55" s="3486"/>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205.1</v>
      </c>
      <c r="F56" s="1242" t="e">
        <f t="shared" ref="F56:F64" si="15">ROUND(B56*E56/10000,0)</f>
        <v>#DIV/0!</v>
      </c>
      <c r="G56" s="3409"/>
      <c r="H56" s="341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25" t="s">
        <v>1349</v>
      </c>
      <c r="AC4" s="3449" t="s">
        <v>1350</v>
      </c>
    </row>
    <row r="5" spans="1:29">
      <c r="A5" s="922"/>
      <c r="B5" s="923"/>
      <c r="C5" s="3443" t="s">
        <v>1575</v>
      </c>
      <c r="D5" s="3400"/>
      <c r="E5" s="3477" t="s">
        <v>1576</v>
      </c>
      <c r="F5" s="3445"/>
      <c r="G5" s="3443" t="s">
        <v>1577</v>
      </c>
      <c r="H5" s="3400"/>
      <c r="I5" s="3443" t="s">
        <v>1353</v>
      </c>
      <c r="J5" s="3400"/>
      <c r="K5" s="1064"/>
      <c r="L5" s="1065"/>
      <c r="M5" s="1015"/>
      <c r="N5" s="1015"/>
      <c r="O5" s="1015"/>
      <c r="P5" s="3452"/>
      <c r="Q5" s="3433"/>
      <c r="R5" s="3438"/>
      <c r="S5" s="3439"/>
      <c r="T5" s="3438"/>
      <c r="U5" s="3439"/>
      <c r="V5" s="3411"/>
      <c r="W5" s="3411"/>
      <c r="X5" s="1113"/>
      <c r="Y5" s="3438"/>
      <c r="Z5" s="3439"/>
      <c r="AA5" s="3425"/>
      <c r="AB5" s="3425"/>
      <c r="AC5" s="3425"/>
    </row>
    <row r="6" spans="1:29" ht="14.4">
      <c r="A6" s="924"/>
      <c r="B6" s="925"/>
      <c r="C6" s="3489" t="s">
        <v>1697</v>
      </c>
      <c r="D6" s="3490"/>
      <c r="E6" s="3491" t="s">
        <v>1697</v>
      </c>
      <c r="F6" s="3492"/>
      <c r="G6" s="3489" t="s">
        <v>1697</v>
      </c>
      <c r="H6" s="3490"/>
      <c r="I6" s="3489" t="s">
        <v>1697</v>
      </c>
      <c r="J6" s="3490"/>
      <c r="K6" s="1064" t="s">
        <v>1355</v>
      </c>
      <c r="L6" s="1065"/>
      <c r="M6" s="1015"/>
      <c r="N6" s="1015"/>
      <c r="O6" s="1015"/>
      <c r="P6" s="3453"/>
      <c r="Q6" s="3435"/>
      <c r="R6" s="3438"/>
      <c r="S6" s="3439"/>
      <c r="T6" s="3440"/>
      <c r="U6" s="3441"/>
      <c r="V6" s="3411"/>
      <c r="W6" s="3411"/>
      <c r="X6" s="1113"/>
      <c r="Y6" s="3440"/>
      <c r="Z6" s="3441"/>
      <c r="AA6" s="3426"/>
      <c r="AB6" s="3426"/>
      <c r="AC6" s="3426"/>
    </row>
    <row r="7" spans="1:29" s="899" customFormat="1" ht="14.4">
      <c r="A7" s="927" t="s">
        <v>1356</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7" t="s">
        <v>1357</v>
      </c>
      <c r="Q7" s="3406"/>
      <c r="R7" s="1114" t="s">
        <v>1358</v>
      </c>
      <c r="S7" s="1115">
        <f t="shared" ref="S7:S15" si="0">F7</f>
        <v>0</v>
      </c>
      <c r="T7" s="1114" t="s">
        <v>1358</v>
      </c>
      <c r="U7" s="1115">
        <f t="shared" ref="U7:U15" si="1">H7</f>
        <v>0</v>
      </c>
      <c r="V7" s="1114" t="s">
        <v>1358</v>
      </c>
      <c r="W7" s="1115">
        <f t="shared" ref="W7:W15" si="2">J7</f>
        <v>0</v>
      </c>
      <c r="X7" s="1116"/>
      <c r="Y7" s="3407" t="s">
        <v>1357</v>
      </c>
      <c r="Z7" s="3408"/>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7" t="s">
        <v>1361</v>
      </c>
      <c r="Q8" s="3408"/>
      <c r="R8" s="1114" t="s">
        <v>1358</v>
      </c>
      <c r="S8" s="1115">
        <f t="shared" si="0"/>
        <v>0</v>
      </c>
      <c r="T8" s="1114" t="s">
        <v>1358</v>
      </c>
      <c r="U8" s="1115">
        <f t="shared" si="1"/>
        <v>0</v>
      </c>
      <c r="V8" s="1114" t="s">
        <v>1358</v>
      </c>
      <c r="W8" s="1115">
        <f t="shared" si="2"/>
        <v>0</v>
      </c>
      <c r="X8" s="1116"/>
      <c r="Y8" s="3407" t="s">
        <v>1361</v>
      </c>
      <c r="Z8" s="3408"/>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0"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0"/>
      <c r="Q10" s="790" t="str">
        <f t="shared" si="6"/>
        <v>土地使用年限（年）</v>
      </c>
      <c r="R10" s="1114" t="s">
        <v>1358</v>
      </c>
      <c r="S10" s="1115">
        <f t="shared" si="0"/>
        <v>116</v>
      </c>
      <c r="T10" s="1114" t="s">
        <v>1358</v>
      </c>
      <c r="U10" s="1115">
        <f t="shared" si="1"/>
        <v>116</v>
      </c>
      <c r="V10" s="1114" t="s">
        <v>1358</v>
      </c>
      <c r="W10" s="1115">
        <f t="shared" si="2"/>
        <v>116</v>
      </c>
      <c r="X10" s="1116"/>
      <c r="Y10" s="3381"/>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0"/>
      <c r="Q11" s="790" t="str">
        <f t="shared" si="6"/>
        <v>容积率</v>
      </c>
      <c r="R11" s="1114" t="s">
        <v>1358</v>
      </c>
      <c r="S11" s="1115" t="e">
        <f t="shared" si="0"/>
        <v>#N/A</v>
      </c>
      <c r="T11" s="1114" t="s">
        <v>1358</v>
      </c>
      <c r="U11" s="1115" t="e">
        <f t="shared" si="1"/>
        <v>#N/A</v>
      </c>
      <c r="V11" s="1114" t="s">
        <v>1358</v>
      </c>
      <c r="W11" s="1115" t="e">
        <f t="shared" si="2"/>
        <v>#N/A</v>
      </c>
      <c r="X11" s="1116"/>
      <c r="Y11" s="3381"/>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0"/>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0"/>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0"/>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17" t="s">
        <v>1370</v>
      </c>
      <c r="Q15" s="621" t="str">
        <f t="shared" si="6"/>
        <v>产业集聚程度</v>
      </c>
      <c r="R15" s="1118" t="s">
        <v>1358</v>
      </c>
      <c r="S15" s="1119">
        <f t="shared" si="0"/>
        <v>100</v>
      </c>
      <c r="T15" s="1118" t="s">
        <v>1358</v>
      </c>
      <c r="U15" s="1119">
        <f t="shared" si="1"/>
        <v>100</v>
      </c>
      <c r="V15" s="1118" t="s">
        <v>1358</v>
      </c>
      <c r="W15" s="1119">
        <f t="shared" si="2"/>
        <v>100</v>
      </c>
      <c r="X15" s="1113"/>
      <c r="Y15" s="3417"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8"/>
      <c r="Q16" s="621"/>
      <c r="R16" s="1118"/>
      <c r="S16" s="1119"/>
      <c r="T16" s="1118"/>
      <c r="U16" s="1119"/>
      <c r="V16" s="1118"/>
      <c r="W16" s="1119"/>
      <c r="X16" s="1113"/>
      <c r="Y16" s="3418"/>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8"/>
      <c r="Q17" s="621" t="str">
        <f>B17</f>
        <v>交通便捷度</v>
      </c>
      <c r="R17" s="1118" t="s">
        <v>1358</v>
      </c>
      <c r="S17" s="1119">
        <f>F17</f>
        <v>100</v>
      </c>
      <c r="T17" s="1118" t="s">
        <v>1358</v>
      </c>
      <c r="U17" s="1119">
        <f>H17</f>
        <v>100</v>
      </c>
      <c r="V17" s="1118" t="s">
        <v>1358</v>
      </c>
      <c r="W17" s="1119">
        <f>J17</f>
        <v>100</v>
      </c>
      <c r="X17" s="1113"/>
      <c r="Y17" s="3418"/>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8"/>
      <c r="Q18" s="621"/>
      <c r="R18" s="1118"/>
      <c r="S18" s="1119"/>
      <c r="T18" s="1118"/>
      <c r="U18" s="1119"/>
      <c r="V18" s="1118"/>
      <c r="W18" s="1119"/>
      <c r="X18" s="1113"/>
      <c r="Y18" s="3418"/>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8"/>
      <c r="Q19" s="621" t="str">
        <f t="shared" ref="Q19:Q34" si="8">B19</f>
        <v>区域土地利用方向</v>
      </c>
      <c r="R19" s="1118" t="s">
        <v>1358</v>
      </c>
      <c r="S19" s="1119">
        <f>F19</f>
        <v>100</v>
      </c>
      <c r="T19" s="1118" t="s">
        <v>1358</v>
      </c>
      <c r="U19" s="1119">
        <f>H19</f>
        <v>100</v>
      </c>
      <c r="V19" s="1118" t="s">
        <v>1358</v>
      </c>
      <c r="W19" s="1119">
        <f>J19</f>
        <v>100</v>
      </c>
      <c r="X19" s="1113"/>
      <c r="Y19" s="3418"/>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8"/>
      <c r="Q20" s="621"/>
      <c r="R20" s="1118"/>
      <c r="S20" s="1119"/>
      <c r="T20" s="1118"/>
      <c r="U20" s="1119"/>
      <c r="V20" s="1118"/>
      <c r="W20" s="1119"/>
      <c r="X20" s="1113"/>
      <c r="Y20" s="3418"/>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8"/>
      <c r="Q21" s="621" t="str">
        <f t="shared" si="8"/>
        <v>环境状况</v>
      </c>
      <c r="R21" s="1118" t="s">
        <v>1358</v>
      </c>
      <c r="S21" s="1119">
        <f>F21</f>
        <v>100</v>
      </c>
      <c r="T21" s="1118" t="s">
        <v>1358</v>
      </c>
      <c r="U21" s="1119">
        <f>H21</f>
        <v>100</v>
      </c>
      <c r="V21" s="1118" t="s">
        <v>1358</v>
      </c>
      <c r="W21" s="1119">
        <f>J21</f>
        <v>100</v>
      </c>
      <c r="X21" s="1113"/>
      <c r="Y21" s="3418"/>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8"/>
      <c r="Q22" s="621"/>
      <c r="R22" s="1118"/>
      <c r="S22" s="1119"/>
      <c r="T22" s="1118"/>
      <c r="U22" s="1119"/>
      <c r="V22" s="1118"/>
      <c r="W22" s="1119"/>
      <c r="X22" s="1113"/>
      <c r="Y22" s="3418"/>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8"/>
      <c r="Q23" s="790" t="str">
        <f t="shared" si="8"/>
        <v>公共配套设施</v>
      </c>
      <c r="R23" s="1114" t="s">
        <v>1358</v>
      </c>
      <c r="S23" s="1115">
        <f>F23</f>
        <v>100</v>
      </c>
      <c r="T23" s="1114" t="s">
        <v>1358</v>
      </c>
      <c r="U23" s="1115">
        <f>H23</f>
        <v>100</v>
      </c>
      <c r="V23" s="1114" t="s">
        <v>1358</v>
      </c>
      <c r="W23" s="1115">
        <f>J23</f>
        <v>100</v>
      </c>
      <c r="X23" s="1116"/>
      <c r="Y23" s="3418"/>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8"/>
      <c r="Q24" s="790"/>
      <c r="R24" s="1114"/>
      <c r="S24" s="1115"/>
      <c r="T24" s="1114"/>
      <c r="U24" s="1115"/>
      <c r="V24" s="1114"/>
      <c r="W24" s="1115"/>
      <c r="X24" s="1116"/>
      <c r="Y24" s="3418"/>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8"/>
      <c r="Q25" s="790" t="str">
        <f t="shared" ref="Q25" si="9">B25</f>
        <v>基础设施水平</v>
      </c>
      <c r="R25" s="1114" t="s">
        <v>1358</v>
      </c>
      <c r="S25" s="1115">
        <f>F25</f>
        <v>100</v>
      </c>
      <c r="T25" s="1114" t="s">
        <v>1358</v>
      </c>
      <c r="U25" s="1115">
        <f>H25</f>
        <v>100</v>
      </c>
      <c r="V25" s="1114" t="s">
        <v>1358</v>
      </c>
      <c r="W25" s="1115">
        <f>J25</f>
        <v>100</v>
      </c>
      <c r="X25" s="1116"/>
      <c r="Y25" s="3418"/>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8"/>
      <c r="Q26" s="790"/>
      <c r="R26" s="1114"/>
      <c r="S26" s="1115"/>
      <c r="T26" s="1114"/>
      <c r="U26" s="1115"/>
      <c r="V26" s="1114"/>
      <c r="W26" s="1115"/>
      <c r="X26" s="1116"/>
      <c r="Y26" s="3418"/>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8"/>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18"/>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8"/>
      <c r="Q28" s="621" t="str">
        <f t="shared" si="8"/>
        <v>毗邻道路的类型与等级</v>
      </c>
      <c r="R28" s="1118" t="s">
        <v>1358</v>
      </c>
      <c r="S28" s="1119">
        <f t="shared" si="10"/>
        <v>100</v>
      </c>
      <c r="T28" s="1118" t="s">
        <v>1358</v>
      </c>
      <c r="U28" s="1119">
        <f t="shared" si="11"/>
        <v>100</v>
      </c>
      <c r="V28" s="1118" t="s">
        <v>1358</v>
      </c>
      <c r="W28" s="1119">
        <f t="shared" si="12"/>
        <v>100</v>
      </c>
      <c r="X28" s="1113"/>
      <c r="Y28" s="3418"/>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8"/>
      <c r="Q29" s="621"/>
      <c r="R29" s="1118"/>
      <c r="S29" s="1119"/>
      <c r="T29" s="1118"/>
      <c r="U29" s="1119"/>
      <c r="V29" s="1118"/>
      <c r="W29" s="1119"/>
      <c r="X29" s="1113"/>
      <c r="Y29" s="3418"/>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8"/>
      <c r="Q30" s="621" t="str">
        <f t="shared" si="8"/>
        <v>土地级别</v>
      </c>
      <c r="R30" s="1118" t="s">
        <v>1358</v>
      </c>
      <c r="S30" s="1119">
        <f t="shared" si="10"/>
        <v>100</v>
      </c>
      <c r="T30" s="1118" t="s">
        <v>1358</v>
      </c>
      <c r="U30" s="1119">
        <f t="shared" si="11"/>
        <v>100</v>
      </c>
      <c r="V30" s="1118" t="s">
        <v>1358</v>
      </c>
      <c r="W30" s="1119">
        <f t="shared" si="12"/>
        <v>100</v>
      </c>
      <c r="X30" s="1113"/>
      <c r="Y30" s="3418"/>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8"/>
      <c r="Q31" s="621">
        <f t="shared" si="8"/>
        <v>111</v>
      </c>
      <c r="R31" s="1118" t="s">
        <v>1358</v>
      </c>
      <c r="S31" s="1119">
        <f t="shared" si="10"/>
        <v>100</v>
      </c>
      <c r="T31" s="1118" t="s">
        <v>1358</v>
      </c>
      <c r="U31" s="1119">
        <f t="shared" si="11"/>
        <v>100</v>
      </c>
      <c r="V31" s="1118" t="s">
        <v>1358</v>
      </c>
      <c r="W31" s="1119">
        <f t="shared" si="12"/>
        <v>100</v>
      </c>
      <c r="X31" s="1113"/>
      <c r="Y31" s="3418"/>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4" t="s">
        <v>1384</v>
      </c>
      <c r="Q32" s="621">
        <f t="shared" si="8"/>
        <v>111</v>
      </c>
      <c r="R32" s="1118" t="s">
        <v>1358</v>
      </c>
      <c r="S32" s="1119">
        <f t="shared" si="10"/>
        <v>100</v>
      </c>
      <c r="T32" s="1118" t="s">
        <v>1358</v>
      </c>
      <c r="U32" s="1119">
        <f t="shared" si="11"/>
        <v>100</v>
      </c>
      <c r="V32" s="1118" t="s">
        <v>1358</v>
      </c>
      <c r="W32" s="1119">
        <f t="shared" si="12"/>
        <v>100</v>
      </c>
      <c r="X32" s="1113"/>
      <c r="Y32" s="3419"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9"/>
      <c r="Q33" s="621">
        <f t="shared" si="8"/>
        <v>111</v>
      </c>
      <c r="R33" s="1120" t="s">
        <v>1358</v>
      </c>
      <c r="S33" s="1121">
        <f t="shared" si="10"/>
        <v>100</v>
      </c>
      <c r="T33" s="1120" t="s">
        <v>1358</v>
      </c>
      <c r="U33" s="1121">
        <f t="shared" si="11"/>
        <v>100</v>
      </c>
      <c r="V33" s="1120" t="s">
        <v>1358</v>
      </c>
      <c r="W33" s="1121">
        <f t="shared" si="12"/>
        <v>100</v>
      </c>
      <c r="X33" s="1122"/>
      <c r="Y33" s="3419"/>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9"/>
      <c r="Q34" s="621" t="str">
        <f t="shared" si="8"/>
        <v>宗地面积</v>
      </c>
      <c r="R34" s="1118" t="s">
        <v>1358</v>
      </c>
      <c r="S34" s="1119" t="e">
        <f t="shared" si="10"/>
        <v>#N/A</v>
      </c>
      <c r="T34" s="1118" t="s">
        <v>1358</v>
      </c>
      <c r="U34" s="1119" t="e">
        <f t="shared" si="11"/>
        <v>#N/A</v>
      </c>
      <c r="V34" s="1118" t="s">
        <v>1358</v>
      </c>
      <c r="W34" s="1119" t="e">
        <f t="shared" si="12"/>
        <v>#N/A</v>
      </c>
      <c r="X34" s="1113"/>
      <c r="Y34" s="3419"/>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9"/>
      <c r="Q35" s="621" t="str">
        <f t="shared" ref="Q35:Q40" si="14">B35</f>
        <v>宗地形状</v>
      </c>
      <c r="R35" s="1118" t="s">
        <v>1358</v>
      </c>
      <c r="S35" s="1119">
        <f t="shared" si="10"/>
        <v>100</v>
      </c>
      <c r="T35" s="1118" t="s">
        <v>1358</v>
      </c>
      <c r="U35" s="1119">
        <f t="shared" si="11"/>
        <v>100</v>
      </c>
      <c r="V35" s="1118" t="s">
        <v>1358</v>
      </c>
      <c r="W35" s="1119">
        <f t="shared" si="12"/>
        <v>100</v>
      </c>
      <c r="X35" s="1113"/>
      <c r="Y35" s="3419"/>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9"/>
      <c r="Q36" s="621" t="str">
        <f t="shared" si="14"/>
        <v>宗地开发程度</v>
      </c>
      <c r="R36" s="1114" t="s">
        <v>1358</v>
      </c>
      <c r="S36" s="1115">
        <f t="shared" si="10"/>
        <v>100</v>
      </c>
      <c r="T36" s="1114" t="s">
        <v>1358</v>
      </c>
      <c r="U36" s="1115">
        <f t="shared" si="11"/>
        <v>100</v>
      </c>
      <c r="V36" s="1114" t="s">
        <v>1358</v>
      </c>
      <c r="W36" s="1115">
        <f t="shared" si="12"/>
        <v>100</v>
      </c>
      <c r="X36" s="1116"/>
      <c r="Y36" s="3419"/>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9" t="s">
        <v>1384</v>
      </c>
      <c r="Q37" s="621" t="str">
        <f t="shared" si="14"/>
        <v>工程地质条件</v>
      </c>
      <c r="R37" s="1118" t="s">
        <v>1358</v>
      </c>
      <c r="S37" s="1119">
        <f t="shared" si="10"/>
        <v>100</v>
      </c>
      <c r="T37" s="1118" t="s">
        <v>1358</v>
      </c>
      <c r="U37" s="1119">
        <f t="shared" si="11"/>
        <v>100</v>
      </c>
      <c r="V37" s="1118" t="s">
        <v>1358</v>
      </c>
      <c r="W37" s="1119">
        <f t="shared" si="12"/>
        <v>100</v>
      </c>
      <c r="X37" s="1113"/>
      <c r="Y37" s="3419"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9"/>
      <c r="Q38" s="621">
        <f t="shared" si="14"/>
        <v>111</v>
      </c>
      <c r="R38" s="1118" t="s">
        <v>1358</v>
      </c>
      <c r="S38" s="1119">
        <f t="shared" si="10"/>
        <v>100</v>
      </c>
      <c r="T38" s="1118" t="s">
        <v>1358</v>
      </c>
      <c r="U38" s="1119">
        <f t="shared" si="11"/>
        <v>100</v>
      </c>
      <c r="V38" s="1118" t="s">
        <v>1358</v>
      </c>
      <c r="W38" s="1119">
        <f t="shared" si="12"/>
        <v>100</v>
      </c>
      <c r="X38" s="1113"/>
      <c r="Y38" s="3419"/>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9"/>
      <c r="Q39" s="621">
        <f t="shared" si="14"/>
        <v>111</v>
      </c>
      <c r="R39" s="1118" t="s">
        <v>1358</v>
      </c>
      <c r="S39" s="1119">
        <f t="shared" si="10"/>
        <v>100</v>
      </c>
      <c r="T39" s="1118" t="s">
        <v>1358</v>
      </c>
      <c r="U39" s="1119">
        <f t="shared" si="11"/>
        <v>100</v>
      </c>
      <c r="V39" s="1118" t="s">
        <v>1358</v>
      </c>
      <c r="W39" s="1119">
        <f t="shared" si="12"/>
        <v>100</v>
      </c>
      <c r="X39" s="1113"/>
      <c r="Y39" s="3419"/>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9"/>
      <c r="Q40" s="621">
        <f t="shared" si="14"/>
        <v>111</v>
      </c>
      <c r="R40" s="1120" t="s">
        <v>1358</v>
      </c>
      <c r="S40" s="1121">
        <f t="shared" si="10"/>
        <v>100</v>
      </c>
      <c r="T40" s="1120" t="s">
        <v>1358</v>
      </c>
      <c r="U40" s="1121">
        <f t="shared" si="11"/>
        <v>100</v>
      </c>
      <c r="V40" s="1120" t="s">
        <v>1358</v>
      </c>
      <c r="W40" s="1121">
        <f t="shared" si="12"/>
        <v>100</v>
      </c>
      <c r="X40" s="1122"/>
      <c r="Y40" s="3419"/>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0" t="str">
        <f>A41</f>
        <v>成交单价</v>
      </c>
      <c r="Q41" s="3410"/>
      <c r="R41" s="3411">
        <f>E41</f>
        <v>0</v>
      </c>
      <c r="S41" s="3411"/>
      <c r="T41" s="3411">
        <f>G41</f>
        <v>0</v>
      </c>
      <c r="U41" s="3411"/>
      <c r="V41" s="3411">
        <f>I41</f>
        <v>0</v>
      </c>
      <c r="W41" s="3411"/>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0" t="str">
        <f>A42</f>
        <v>比较价值（元/平方米）</v>
      </c>
      <c r="Q42" s="3410"/>
      <c r="R42" s="3487" t="e">
        <f>ROUND(PRODUCT(R41,AA7:AA40),0)</f>
        <v>#DIV/0!</v>
      </c>
      <c r="S42" s="3487"/>
      <c r="T42" s="3487" t="e">
        <f>ROUND(PRODUCT(T41,AB7:AB40),0)</f>
        <v>#DIV/0!</v>
      </c>
      <c r="U42" s="3487"/>
      <c r="V42" s="3487" t="e">
        <f>ROUND(PRODUCT(V41,AC7:AC40),0)</f>
        <v>#DIV/0!</v>
      </c>
      <c r="W42" s="3487"/>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46" t="str">
        <f>A43</f>
        <v>估价对象XX用房的比较价值（楼面单价，元/平方米）</v>
      </c>
      <c r="Q43" s="3447"/>
      <c r="R43" s="3488" t="e">
        <f>ROUND(IF(D42="简单平均",AVERAGE(R42:W42),R42*F42+T42*H42+V42*J42),0)</f>
        <v>#DIV/0!</v>
      </c>
      <c r="S43" s="3488"/>
      <c r="T43" s="3488"/>
      <c r="U43" s="3488"/>
      <c r="V43" s="3488"/>
      <c r="W43" s="3488"/>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395" t="s">
        <v>1673</v>
      </c>
      <c r="H50" s="3486"/>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205.1</v>
      </c>
      <c r="F51" s="1034" t="e">
        <f t="shared" ref="F51:F60" si="15">ROUND(B51*E51/10000,0)</f>
        <v>#DIV/0!</v>
      </c>
      <c r="G51" s="3409"/>
      <c r="H51" s="341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131.51</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87" t="s">
        <v>1716</v>
      </c>
    </row>
    <row r="43" spans="1:7" ht="13.5" customHeight="1">
      <c r="A43" s="386" t="s">
        <v>1008</v>
      </c>
      <c r="B43" s="359" t="s">
        <v>1046</v>
      </c>
      <c r="C43" s="388" t="e">
        <f ca="1">ROUND(IF('数据-取费表'!B22&lt;=1,C39*F22*'数据-取费表'!B20/2,C39*(POWER((1+F22),'数据-取费表'!B20/2)-1)),0)</f>
        <v>#N/A</v>
      </c>
      <c r="D43" s="388"/>
      <c r="E43" s="388"/>
      <c r="F43" s="389"/>
      <c r="G43" s="3388"/>
    </row>
    <row r="44" spans="1:7" ht="13.5" customHeight="1">
      <c r="A44" s="386" t="s">
        <v>1010</v>
      </c>
      <c r="B44" s="359" t="s">
        <v>1048</v>
      </c>
      <c r="C44" s="388">
        <f ca="1">ROUND(IF('数据-取费表'!B22&lt;=1,C40*F22*'数据-取费表'!B20/2,C40*(POWER((1+F22),'数据-取费表'!B20/2)-1)),4)</f>
        <v>5.9999999999999995E-4</v>
      </c>
      <c r="D44" s="388"/>
      <c r="E44" s="388"/>
      <c r="F44" s="389"/>
      <c r="G44" s="3389"/>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131.51</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3"/>
      <c r="B4" s="3494"/>
      <c r="C4" s="3494"/>
      <c r="D4" s="3495"/>
      <c r="E4" s="3495"/>
      <c r="F4" s="3495"/>
      <c r="G4" s="3495"/>
      <c r="H4" s="3495"/>
      <c r="I4" s="3495"/>
      <c r="J4" s="3496"/>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7" t="s">
        <v>1751</v>
      </c>
      <c r="X8" s="3498"/>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1"/>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1"/>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3" t="s">
        <v>1800</v>
      </c>
      <c r="B20" s="586" t="s">
        <v>1801</v>
      </c>
      <c r="C20" s="587" t="e">
        <f>ROUND(IF(F21="与级别开发程度一致",0,(G21-E21)/C21),0)</f>
        <v>#DIV/0!</v>
      </c>
      <c r="D20" s="588" t="s">
        <v>1802</v>
      </c>
      <c r="E20" s="589"/>
      <c r="F20" s="3499" t="s">
        <v>1803</v>
      </c>
      <c r="G20" s="3500"/>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4"/>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45862</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131.51</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5"/>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6"/>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6"/>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1" t="s">
        <v>1903</v>
      </c>
      <c r="B103" s="3501"/>
      <c r="C103" s="3501"/>
      <c r="D103" s="3501"/>
      <c r="E103" s="3501"/>
      <c r="F103" s="3501"/>
      <c r="G103" s="3501"/>
      <c r="H103" s="3501"/>
      <c r="I103" s="3501"/>
      <c r="J103" s="3501"/>
      <c r="K103" s="847"/>
      <c r="L103" s="847"/>
      <c r="M103" s="847"/>
      <c r="N103" s="847"/>
    </row>
    <row r="104" spans="1:14">
      <c r="A104" s="3507" t="s">
        <v>1904</v>
      </c>
      <c r="B104" s="3507" t="s">
        <v>1905</v>
      </c>
      <c r="C104" s="849" t="s">
        <v>1906</v>
      </c>
      <c r="D104" s="850"/>
      <c r="E104" s="850"/>
      <c r="F104" s="850"/>
      <c r="G104" s="850"/>
      <c r="H104" s="850"/>
      <c r="I104" s="850"/>
      <c r="J104" s="869"/>
      <c r="K104" s="870"/>
      <c r="L104" s="870"/>
      <c r="M104" s="870"/>
      <c r="N104" s="870"/>
    </row>
    <row r="105" spans="1:14">
      <c r="A105" s="3507"/>
      <c r="B105" s="3507"/>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8"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9"/>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9"/>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9"/>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9"/>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9"/>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0"/>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2" t="s">
        <v>1908</v>
      </c>
      <c r="B113" s="3502"/>
      <c r="C113" s="3502"/>
      <c r="D113" s="3502"/>
      <c r="E113" s="3502"/>
      <c r="F113" s="3502"/>
      <c r="G113" s="3502"/>
      <c r="H113" s="3502"/>
      <c r="I113" s="3502"/>
      <c r="J113" s="3502"/>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2" t="s">
        <v>1923</v>
      </c>
      <c r="B20" s="3518" t="s">
        <v>1932</v>
      </c>
      <c r="C20" s="465" t="s">
        <v>1933</v>
      </c>
      <c r="D20" s="466"/>
      <c r="E20" s="467">
        <v>1</v>
      </c>
      <c r="F20" s="468" t="s">
        <v>1934</v>
      </c>
      <c r="G20" s="468"/>
    </row>
    <row r="21" spans="1:13" ht="19.5" customHeight="1">
      <c r="A21" s="3513"/>
      <c r="B21" s="3519"/>
      <c r="C21" s="469" t="s">
        <v>1935</v>
      </c>
      <c r="D21" s="470"/>
      <c r="E21" s="471">
        <v>1</v>
      </c>
      <c r="F21" s="468" t="s">
        <v>1936</v>
      </c>
      <c r="G21" s="468"/>
    </row>
    <row r="22" spans="1:13" ht="19.5" customHeight="1">
      <c r="A22" s="3513"/>
      <c r="B22" s="3519"/>
      <c r="C22" s="469" t="s">
        <v>1937</v>
      </c>
      <c r="D22" s="470"/>
      <c r="E22" s="471">
        <v>0.9</v>
      </c>
      <c r="F22" s="468" t="s">
        <v>1938</v>
      </c>
      <c r="G22" s="468"/>
    </row>
    <row r="23" spans="1:13" ht="19.5" customHeight="1">
      <c r="A23" s="3513"/>
      <c r="B23" s="3519"/>
      <c r="C23" s="469" t="s">
        <v>1939</v>
      </c>
      <c r="D23" s="470"/>
      <c r="E23" s="471">
        <v>0.9</v>
      </c>
      <c r="F23" s="468" t="s">
        <v>1940</v>
      </c>
      <c r="G23" s="468"/>
    </row>
    <row r="24" spans="1:13" ht="19.5" customHeight="1">
      <c r="A24" s="3513"/>
      <c r="B24" s="3519"/>
      <c r="C24" s="469" t="s">
        <v>1941</v>
      </c>
      <c r="D24" s="470"/>
      <c r="E24" s="471">
        <v>0.8</v>
      </c>
      <c r="F24" s="468" t="s">
        <v>1942</v>
      </c>
      <c r="G24" s="468"/>
    </row>
    <row r="25" spans="1:13" ht="19.5" customHeight="1">
      <c r="A25" s="3514"/>
      <c r="B25" s="3520"/>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15" t="s">
        <v>280</v>
      </c>
      <c r="B27" s="3518" t="s">
        <v>280</v>
      </c>
      <c r="C27" s="465" t="s">
        <v>1946</v>
      </c>
      <c r="D27" s="466"/>
      <c r="E27" s="467">
        <v>1</v>
      </c>
      <c r="F27" s="468" t="s">
        <v>1947</v>
      </c>
      <c r="G27" s="468"/>
    </row>
    <row r="28" spans="1:13" ht="19.5" customHeight="1">
      <c r="A28" s="3516"/>
      <c r="B28" s="3519"/>
      <c r="C28" s="469" t="s">
        <v>1948</v>
      </c>
      <c r="D28" s="470"/>
      <c r="E28" s="471">
        <v>1</v>
      </c>
      <c r="F28" s="468" t="s">
        <v>1949</v>
      </c>
      <c r="G28" s="468"/>
    </row>
    <row r="29" spans="1:13" ht="19.5" customHeight="1">
      <c r="A29" s="3516"/>
      <c r="B29" s="3519"/>
      <c r="C29" s="469" t="s">
        <v>1950</v>
      </c>
      <c r="D29" s="470"/>
      <c r="E29" s="471">
        <v>0.8</v>
      </c>
      <c r="F29" s="468" t="s">
        <v>1951</v>
      </c>
      <c r="G29" s="468"/>
    </row>
    <row r="30" spans="1:13" ht="19.5" customHeight="1">
      <c r="A30" s="3516"/>
      <c r="B30" s="3519"/>
      <c r="C30" s="469" t="s">
        <v>1952</v>
      </c>
      <c r="D30" s="470"/>
      <c r="E30" s="471">
        <v>0.8</v>
      </c>
      <c r="F30" s="468" t="s">
        <v>1953</v>
      </c>
      <c r="G30" s="468"/>
    </row>
    <row r="31" spans="1:13" ht="19.5" customHeight="1">
      <c r="A31" s="3516"/>
      <c r="B31" s="3519"/>
      <c r="C31" s="469" t="s">
        <v>1954</v>
      </c>
      <c r="D31" s="470"/>
      <c r="E31" s="471">
        <v>0.8</v>
      </c>
      <c r="F31" s="468" t="s">
        <v>1955</v>
      </c>
      <c r="G31" s="468"/>
    </row>
    <row r="32" spans="1:13" ht="19.5" customHeight="1">
      <c r="A32" s="3516"/>
      <c r="B32" s="3519"/>
      <c r="C32" s="469" t="s">
        <v>1956</v>
      </c>
      <c r="D32" s="470"/>
      <c r="E32" s="471">
        <v>0.7</v>
      </c>
      <c r="F32" s="468" t="s">
        <v>1957</v>
      </c>
      <c r="G32" s="468"/>
    </row>
    <row r="33" spans="1:7" ht="19.5" customHeight="1">
      <c r="A33" s="3516"/>
      <c r="B33" s="3519"/>
      <c r="C33" s="469" t="s">
        <v>1958</v>
      </c>
      <c r="D33" s="470"/>
      <c r="E33" s="471">
        <v>0.8</v>
      </c>
      <c r="F33" s="468" t="s">
        <v>1959</v>
      </c>
      <c r="G33" s="468"/>
    </row>
    <row r="34" spans="1:7" ht="19.5" customHeight="1">
      <c r="A34" s="3516"/>
      <c r="B34" s="3519"/>
      <c r="C34" s="469" t="s">
        <v>1960</v>
      </c>
      <c r="D34" s="470"/>
      <c r="E34" s="471">
        <v>0.6</v>
      </c>
      <c r="F34" s="468" t="s">
        <v>1961</v>
      </c>
      <c r="G34" s="468"/>
    </row>
    <row r="35" spans="1:7" ht="19.5" customHeight="1">
      <c r="A35" s="3516"/>
      <c r="B35" s="3519"/>
      <c r="C35" s="469" t="s">
        <v>1962</v>
      </c>
      <c r="D35" s="470"/>
      <c r="E35" s="471">
        <v>0.2</v>
      </c>
      <c r="F35" s="468" t="s">
        <v>1963</v>
      </c>
      <c r="G35" s="468"/>
    </row>
    <row r="36" spans="1:7" ht="19.5" customHeight="1">
      <c r="A36" s="3516"/>
      <c r="B36" s="3519"/>
      <c r="C36" s="469" t="s">
        <v>1964</v>
      </c>
      <c r="D36" s="470"/>
      <c r="E36" s="471">
        <v>0.2</v>
      </c>
      <c r="F36" s="468" t="s">
        <v>1965</v>
      </c>
      <c r="G36" s="468"/>
    </row>
    <row r="37" spans="1:7" ht="19.5" customHeight="1">
      <c r="A37" s="3516"/>
      <c r="B37" s="3521" t="s">
        <v>1966</v>
      </c>
      <c r="C37" s="469" t="s">
        <v>1967</v>
      </c>
      <c r="D37" s="470"/>
      <c r="E37" s="471">
        <v>0.6</v>
      </c>
      <c r="F37" s="468" t="s">
        <v>1968</v>
      </c>
      <c r="G37" s="468"/>
    </row>
    <row r="38" spans="1:7" ht="19.5" customHeight="1">
      <c r="A38" s="3516"/>
      <c r="B38" s="3519"/>
      <c r="C38" s="469" t="s">
        <v>1969</v>
      </c>
      <c r="D38" s="470"/>
      <c r="E38" s="471">
        <v>0.6</v>
      </c>
      <c r="F38" s="468" t="s">
        <v>1970</v>
      </c>
      <c r="G38" s="468"/>
    </row>
    <row r="39" spans="1:7" ht="19.5" customHeight="1">
      <c r="A39" s="3517"/>
      <c r="B39" s="3520"/>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2" t="s">
        <v>408</v>
      </c>
      <c r="B41" s="3518" t="s">
        <v>1975</v>
      </c>
      <c r="C41" s="465" t="s">
        <v>1976</v>
      </c>
      <c r="D41" s="466"/>
      <c r="E41" s="467">
        <v>1</v>
      </c>
      <c r="F41" s="468" t="s">
        <v>1977</v>
      </c>
      <c r="G41" s="468"/>
    </row>
    <row r="42" spans="1:7" ht="19.5" customHeight="1">
      <c r="A42" s="3513"/>
      <c r="B42" s="3519"/>
      <c r="C42" s="469" t="s">
        <v>1978</v>
      </c>
      <c r="D42" s="470"/>
      <c r="E42" s="471">
        <v>1</v>
      </c>
      <c r="F42" s="468" t="s">
        <v>1979</v>
      </c>
      <c r="G42" s="468"/>
    </row>
    <row r="43" spans="1:7" ht="19.5" customHeight="1">
      <c r="A43" s="3513"/>
      <c r="B43" s="3522"/>
      <c r="C43" s="469" t="s">
        <v>1980</v>
      </c>
      <c r="D43" s="470"/>
      <c r="E43" s="471">
        <v>1.5</v>
      </c>
      <c r="F43" s="468" t="s">
        <v>1981</v>
      </c>
      <c r="G43" s="468"/>
    </row>
    <row r="44" spans="1:7" ht="19.5" customHeight="1">
      <c r="A44" s="3513"/>
      <c r="B44" s="481" t="s">
        <v>280</v>
      </c>
      <c r="C44" s="469" t="s">
        <v>1924</v>
      </c>
      <c r="D44" s="470"/>
      <c r="E44" s="471">
        <v>2</v>
      </c>
      <c r="F44" s="468" t="s">
        <v>1982</v>
      </c>
      <c r="G44" s="468"/>
    </row>
    <row r="45" spans="1:7" ht="19.5" customHeight="1">
      <c r="A45" s="3513"/>
      <c r="B45" s="3521" t="s">
        <v>1983</v>
      </c>
      <c r="C45" s="469" t="s">
        <v>1984</v>
      </c>
      <c r="D45" s="470"/>
      <c r="E45" s="471">
        <v>1</v>
      </c>
      <c r="F45" s="468" t="s">
        <v>1985</v>
      </c>
      <c r="G45" s="468"/>
    </row>
    <row r="46" spans="1:7" ht="19.5" customHeight="1">
      <c r="A46" s="3513"/>
      <c r="B46" s="3519"/>
      <c r="C46" s="469" t="s">
        <v>1986</v>
      </c>
      <c r="D46" s="470"/>
      <c r="E46" s="471">
        <v>1</v>
      </c>
      <c r="F46" s="468" t="s">
        <v>1987</v>
      </c>
      <c r="G46" s="468"/>
    </row>
    <row r="47" spans="1:7" ht="19.5" customHeight="1">
      <c r="A47" s="3513"/>
      <c r="B47" s="3519"/>
      <c r="C47" s="469" t="s">
        <v>1988</v>
      </c>
      <c r="D47" s="470"/>
      <c r="E47" s="471">
        <v>1</v>
      </c>
      <c r="F47" s="468" t="s">
        <v>1989</v>
      </c>
      <c r="G47" s="468"/>
    </row>
    <row r="48" spans="1:7" ht="19.5" customHeight="1">
      <c r="A48" s="3513"/>
      <c r="B48" s="3519"/>
      <c r="C48" s="469" t="s">
        <v>1990</v>
      </c>
      <c r="D48" s="470"/>
      <c r="E48" s="471">
        <v>1</v>
      </c>
      <c r="F48" s="468" t="s">
        <v>1991</v>
      </c>
      <c r="G48" s="468"/>
    </row>
    <row r="49" spans="1:7" ht="19.5" customHeight="1">
      <c r="A49" s="3513"/>
      <c r="B49" s="3519"/>
      <c r="C49" s="469" t="s">
        <v>1992</v>
      </c>
      <c r="D49" s="470"/>
      <c r="E49" s="471">
        <v>1</v>
      </c>
      <c r="F49" s="468" t="s">
        <v>1993</v>
      </c>
      <c r="G49" s="468"/>
    </row>
    <row r="50" spans="1:7" ht="19.5" customHeight="1">
      <c r="A50" s="3513"/>
      <c r="B50" s="3519"/>
      <c r="C50" s="469" t="s">
        <v>1994</v>
      </c>
      <c r="D50" s="470"/>
      <c r="E50" s="471">
        <v>1</v>
      </c>
      <c r="F50" s="468" t="s">
        <v>1995</v>
      </c>
      <c r="G50" s="468"/>
    </row>
    <row r="51" spans="1:7" ht="19.5" customHeight="1">
      <c r="A51" s="3514"/>
      <c r="B51" s="3520"/>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21" t="s">
        <v>2007</v>
      </c>
      <c r="C73" s="457" t="s">
        <v>2008</v>
      </c>
      <c r="D73" s="457" t="s">
        <v>2009</v>
      </c>
      <c r="E73" s="481">
        <v>0.2</v>
      </c>
      <c r="F73" s="481">
        <v>25</v>
      </c>
    </row>
    <row r="74" spans="1:7" ht="24">
      <c r="A74" s="481">
        <v>2</v>
      </c>
      <c r="B74" s="3519"/>
      <c r="C74" s="457" t="s">
        <v>2010</v>
      </c>
      <c r="D74" s="457" t="s">
        <v>2011</v>
      </c>
      <c r="E74" s="481">
        <v>0.2</v>
      </c>
      <c r="F74" s="481">
        <v>25</v>
      </c>
    </row>
    <row r="75" spans="1:7" ht="24">
      <c r="A75" s="481">
        <v>3</v>
      </c>
      <c r="B75" s="3519"/>
      <c r="C75" s="457" t="s">
        <v>2012</v>
      </c>
      <c r="D75" s="457" t="s">
        <v>2013</v>
      </c>
      <c r="E75" s="481">
        <v>0.2</v>
      </c>
      <c r="F75" s="481">
        <v>25</v>
      </c>
    </row>
    <row r="76" spans="1:7" ht="14.4">
      <c r="A76" s="481">
        <v>4</v>
      </c>
      <c r="B76" s="3519"/>
      <c r="C76" s="457" t="s">
        <v>2014</v>
      </c>
      <c r="D76" s="457" t="s">
        <v>2015</v>
      </c>
      <c r="E76" s="481">
        <v>0.15</v>
      </c>
      <c r="F76" s="481">
        <v>20</v>
      </c>
    </row>
    <row r="77" spans="1:7" ht="24">
      <c r="A77" s="481">
        <v>5</v>
      </c>
      <c r="B77" s="3519"/>
      <c r="C77" s="457" t="s">
        <v>2016</v>
      </c>
      <c r="D77" s="457" t="s">
        <v>2017</v>
      </c>
      <c r="E77" s="481">
        <v>0.15</v>
      </c>
      <c r="F77" s="481">
        <v>20</v>
      </c>
    </row>
    <row r="78" spans="1:7" ht="24">
      <c r="A78" s="481">
        <v>6</v>
      </c>
      <c r="B78" s="3519"/>
      <c r="C78" s="457" t="s">
        <v>2018</v>
      </c>
      <c r="D78" s="457" t="s">
        <v>2019</v>
      </c>
      <c r="E78" s="481">
        <v>0.15</v>
      </c>
      <c r="F78" s="481">
        <v>20</v>
      </c>
    </row>
    <row r="79" spans="1:7" ht="24">
      <c r="A79" s="481">
        <v>7</v>
      </c>
      <c r="B79" s="3519"/>
      <c r="C79" s="457" t="s">
        <v>2020</v>
      </c>
      <c r="D79" s="457" t="s">
        <v>2021</v>
      </c>
      <c r="E79" s="481">
        <v>0.15</v>
      </c>
      <c r="F79" s="481">
        <v>20</v>
      </c>
    </row>
    <row r="80" spans="1:7" ht="24">
      <c r="A80" s="481">
        <v>8</v>
      </c>
      <c r="B80" s="3519"/>
      <c r="C80" s="457" t="s">
        <v>2022</v>
      </c>
      <c r="D80" s="457" t="s">
        <v>2023</v>
      </c>
      <c r="E80" s="481">
        <v>0.1</v>
      </c>
      <c r="F80" s="481">
        <v>15</v>
      </c>
    </row>
    <row r="81" spans="1:6" ht="24">
      <c r="A81" s="481">
        <v>9</v>
      </c>
      <c r="B81" s="3519"/>
      <c r="C81" s="457" t="s">
        <v>2024</v>
      </c>
      <c r="D81" s="457" t="s">
        <v>2025</v>
      </c>
      <c r="E81" s="481">
        <v>0.1</v>
      </c>
      <c r="F81" s="481">
        <v>15</v>
      </c>
    </row>
    <row r="82" spans="1:6" ht="24">
      <c r="A82" s="481">
        <v>10</v>
      </c>
      <c r="B82" s="3519"/>
      <c r="C82" s="457" t="s">
        <v>2026</v>
      </c>
      <c r="D82" s="457" t="s">
        <v>2027</v>
      </c>
      <c r="E82" s="481">
        <v>0.1</v>
      </c>
      <c r="F82" s="481">
        <v>15</v>
      </c>
    </row>
    <row r="83" spans="1:6" ht="24">
      <c r="A83" s="481">
        <v>11</v>
      </c>
      <c r="B83" s="3519"/>
      <c r="C83" s="457" t="s">
        <v>2028</v>
      </c>
      <c r="D83" s="457" t="s">
        <v>2029</v>
      </c>
      <c r="E83" s="481">
        <v>0.1</v>
      </c>
      <c r="F83" s="481">
        <v>15</v>
      </c>
    </row>
    <row r="84" spans="1:6" ht="24">
      <c r="A84" s="481">
        <v>12</v>
      </c>
      <c r="B84" s="3519"/>
      <c r="C84" s="457" t="s">
        <v>2030</v>
      </c>
      <c r="D84" s="457" t="s">
        <v>2031</v>
      </c>
      <c r="E84" s="481">
        <v>0.1</v>
      </c>
      <c r="F84" s="481">
        <v>15</v>
      </c>
    </row>
    <row r="85" spans="1:6" ht="24">
      <c r="A85" s="481">
        <v>13</v>
      </c>
      <c r="B85" s="3519"/>
      <c r="C85" s="457" t="s">
        <v>2032</v>
      </c>
      <c r="D85" s="457" t="s">
        <v>2033</v>
      </c>
      <c r="E85" s="481">
        <v>0.1</v>
      </c>
      <c r="F85" s="481">
        <v>15</v>
      </c>
    </row>
    <row r="86" spans="1:6" ht="24">
      <c r="A86" s="481">
        <v>14</v>
      </c>
      <c r="B86" s="3519"/>
      <c r="C86" s="457" t="s">
        <v>2034</v>
      </c>
      <c r="D86" s="457" t="s">
        <v>2035</v>
      </c>
      <c r="E86" s="481">
        <v>0.1</v>
      </c>
      <c r="F86" s="481">
        <v>15</v>
      </c>
    </row>
    <row r="87" spans="1:6" ht="24">
      <c r="A87" s="481">
        <v>15</v>
      </c>
      <c r="B87" s="3519"/>
      <c r="C87" s="457" t="s">
        <v>2036</v>
      </c>
      <c r="D87" s="457" t="s">
        <v>2037</v>
      </c>
      <c r="E87" s="481">
        <v>0.1</v>
      </c>
      <c r="F87" s="481">
        <v>15</v>
      </c>
    </row>
    <row r="88" spans="1:6" ht="24">
      <c r="A88" s="481">
        <v>16</v>
      </c>
      <c r="B88" s="3519"/>
      <c r="C88" s="457" t="s">
        <v>2038</v>
      </c>
      <c r="D88" s="457" t="s">
        <v>2039</v>
      </c>
      <c r="E88" s="481">
        <v>0.1</v>
      </c>
      <c r="F88" s="481">
        <v>15</v>
      </c>
    </row>
    <row r="89" spans="1:6" ht="24">
      <c r="A89" s="481">
        <v>17</v>
      </c>
      <c r="B89" s="3522"/>
      <c r="C89" s="457" t="s">
        <v>2040</v>
      </c>
      <c r="D89" s="457" t="s">
        <v>2041</v>
      </c>
      <c r="E89" s="481">
        <v>0.1</v>
      </c>
      <c r="F89" s="481">
        <v>15</v>
      </c>
    </row>
    <row r="90" spans="1:6" ht="14.4">
      <c r="A90" s="481">
        <v>18</v>
      </c>
      <c r="B90" s="3521" t="s">
        <v>2042</v>
      </c>
      <c r="C90" s="457" t="s">
        <v>2043</v>
      </c>
      <c r="D90" s="457" t="s">
        <v>2044</v>
      </c>
      <c r="E90" s="481">
        <v>0.2</v>
      </c>
      <c r="F90" s="481">
        <v>25</v>
      </c>
    </row>
    <row r="91" spans="1:6" ht="24">
      <c r="A91" s="481">
        <v>19</v>
      </c>
      <c r="B91" s="3519"/>
      <c r="C91" s="457" t="s">
        <v>2045</v>
      </c>
      <c r="D91" s="457" t="s">
        <v>2046</v>
      </c>
      <c r="E91" s="481">
        <v>0.2</v>
      </c>
      <c r="F91" s="481">
        <v>25</v>
      </c>
    </row>
    <row r="92" spans="1:6" ht="14.4">
      <c r="A92" s="481">
        <v>20</v>
      </c>
      <c r="B92" s="3519"/>
      <c r="C92" s="457" t="s">
        <v>2047</v>
      </c>
      <c r="D92" s="457" t="s">
        <v>2048</v>
      </c>
      <c r="E92" s="481">
        <v>0.15</v>
      </c>
      <c r="F92" s="481">
        <v>20</v>
      </c>
    </row>
    <row r="93" spans="1:6" ht="24">
      <c r="A93" s="481">
        <v>21</v>
      </c>
      <c r="B93" s="3519"/>
      <c r="C93" s="457" t="s">
        <v>2049</v>
      </c>
      <c r="D93" s="457" t="s">
        <v>2050</v>
      </c>
      <c r="E93" s="481">
        <v>0.15</v>
      </c>
      <c r="F93" s="481">
        <v>20</v>
      </c>
    </row>
    <row r="94" spans="1:6" ht="24">
      <c r="A94" s="481">
        <v>22</v>
      </c>
      <c r="B94" s="3519"/>
      <c r="C94" s="457" t="s">
        <v>2051</v>
      </c>
      <c r="D94" s="457" t="s">
        <v>2052</v>
      </c>
      <c r="E94" s="481">
        <v>0.15</v>
      </c>
      <c r="F94" s="481">
        <v>20</v>
      </c>
    </row>
    <row r="95" spans="1:6" ht="36">
      <c r="A95" s="481">
        <v>23</v>
      </c>
      <c r="B95" s="3519"/>
      <c r="C95" s="457" t="s">
        <v>2053</v>
      </c>
      <c r="D95" s="457" t="s">
        <v>2054</v>
      </c>
      <c r="E95" s="481">
        <v>0.15</v>
      </c>
      <c r="F95" s="481">
        <v>20</v>
      </c>
    </row>
    <row r="96" spans="1:6" ht="24">
      <c r="A96" s="481">
        <v>24</v>
      </c>
      <c r="B96" s="3519"/>
      <c r="C96" s="457" t="s">
        <v>2055</v>
      </c>
      <c r="D96" s="457" t="s">
        <v>2056</v>
      </c>
      <c r="E96" s="481">
        <v>0.1</v>
      </c>
      <c r="F96" s="481">
        <v>15</v>
      </c>
    </row>
    <row r="97" spans="1:6" ht="24">
      <c r="A97" s="481">
        <v>25</v>
      </c>
      <c r="B97" s="3519"/>
      <c r="C97" s="457" t="s">
        <v>2057</v>
      </c>
      <c r="D97" s="457" t="s">
        <v>2058</v>
      </c>
      <c r="E97" s="481">
        <v>0.1</v>
      </c>
      <c r="F97" s="481">
        <v>15</v>
      </c>
    </row>
    <row r="98" spans="1:6" ht="24">
      <c r="A98" s="481">
        <v>26</v>
      </c>
      <c r="B98" s="3519"/>
      <c r="C98" s="457" t="s">
        <v>2059</v>
      </c>
      <c r="D98" s="457" t="s">
        <v>2060</v>
      </c>
      <c r="E98" s="481">
        <v>0.1</v>
      </c>
      <c r="F98" s="481">
        <v>15</v>
      </c>
    </row>
    <row r="99" spans="1:6" ht="24">
      <c r="A99" s="481">
        <v>27</v>
      </c>
      <c r="B99" s="3519"/>
      <c r="C99" s="457" t="s">
        <v>2061</v>
      </c>
      <c r="D99" s="457" t="s">
        <v>2062</v>
      </c>
      <c r="E99" s="481">
        <v>0.1</v>
      </c>
      <c r="F99" s="481">
        <v>15</v>
      </c>
    </row>
    <row r="100" spans="1:6" ht="24">
      <c r="A100" s="481">
        <v>28</v>
      </c>
      <c r="B100" s="3519"/>
      <c r="C100" s="457" t="s">
        <v>2063</v>
      </c>
      <c r="D100" s="457" t="s">
        <v>2064</v>
      </c>
      <c r="E100" s="481">
        <v>0.1</v>
      </c>
      <c r="F100" s="481">
        <v>15</v>
      </c>
    </row>
    <row r="101" spans="1:6" ht="24">
      <c r="A101" s="481">
        <v>29</v>
      </c>
      <c r="B101" s="3519"/>
      <c r="C101" s="457" t="s">
        <v>2065</v>
      </c>
      <c r="D101" s="457" t="s">
        <v>2066</v>
      </c>
      <c r="E101" s="481">
        <v>0.1</v>
      </c>
      <c r="F101" s="481">
        <v>15</v>
      </c>
    </row>
    <row r="102" spans="1:6" ht="24">
      <c r="A102" s="481">
        <v>30</v>
      </c>
      <c r="B102" s="3519"/>
      <c r="C102" s="457" t="s">
        <v>2067</v>
      </c>
      <c r="D102" s="457" t="s">
        <v>2068</v>
      </c>
      <c r="E102" s="481">
        <v>0.1</v>
      </c>
      <c r="F102" s="481">
        <v>15</v>
      </c>
    </row>
    <row r="103" spans="1:6" ht="24">
      <c r="A103" s="481">
        <v>31</v>
      </c>
      <c r="B103" s="3519"/>
      <c r="C103" s="457" t="s">
        <v>2069</v>
      </c>
      <c r="D103" s="457" t="s">
        <v>2070</v>
      </c>
      <c r="E103" s="481">
        <v>0.1</v>
      </c>
      <c r="F103" s="481">
        <v>15</v>
      </c>
    </row>
    <row r="104" spans="1:6" ht="24">
      <c r="A104" s="481">
        <v>32</v>
      </c>
      <c r="B104" s="3519"/>
      <c r="C104" s="457" t="s">
        <v>2071</v>
      </c>
      <c r="D104" s="457" t="s">
        <v>2072</v>
      </c>
      <c r="E104" s="481">
        <v>0.1</v>
      </c>
      <c r="F104" s="481">
        <v>15</v>
      </c>
    </row>
    <row r="105" spans="1:6" ht="24">
      <c r="A105" s="481">
        <v>33</v>
      </c>
      <c r="B105" s="3519"/>
      <c r="C105" s="457" t="s">
        <v>2073</v>
      </c>
      <c r="D105" s="457" t="s">
        <v>2074</v>
      </c>
      <c r="E105" s="481">
        <v>0.1</v>
      </c>
      <c r="F105" s="481">
        <v>15</v>
      </c>
    </row>
    <row r="106" spans="1:6" ht="24">
      <c r="A106" s="481">
        <v>34</v>
      </c>
      <c r="B106" s="3522"/>
      <c r="C106" s="457" t="s">
        <v>2075</v>
      </c>
      <c r="D106" s="457" t="s">
        <v>2076</v>
      </c>
      <c r="E106" s="481">
        <v>0.1</v>
      </c>
      <c r="F106" s="481">
        <v>15</v>
      </c>
    </row>
    <row r="107" spans="1:6" ht="36">
      <c r="A107" s="481">
        <v>35</v>
      </c>
      <c r="B107" s="3521" t="s">
        <v>2077</v>
      </c>
      <c r="C107" s="481" t="s">
        <v>2078</v>
      </c>
      <c r="D107" s="457" t="s">
        <v>2079</v>
      </c>
      <c r="E107" s="481">
        <v>0.15</v>
      </c>
      <c r="F107" s="481">
        <v>20</v>
      </c>
    </row>
    <row r="108" spans="1:6" ht="24">
      <c r="A108" s="481">
        <v>36</v>
      </c>
      <c r="B108" s="3519"/>
      <c r="C108" s="481" t="s">
        <v>2080</v>
      </c>
      <c r="D108" s="457" t="s">
        <v>2081</v>
      </c>
      <c r="E108" s="481">
        <v>0.15</v>
      </c>
      <c r="F108" s="481">
        <v>20</v>
      </c>
    </row>
    <row r="109" spans="1:6" ht="24">
      <c r="A109" s="481">
        <v>37</v>
      </c>
      <c r="B109" s="3519"/>
      <c r="C109" s="481" t="s">
        <v>2082</v>
      </c>
      <c r="D109" s="457" t="s">
        <v>2083</v>
      </c>
      <c r="E109" s="481">
        <v>0.15</v>
      </c>
      <c r="F109" s="481">
        <v>20</v>
      </c>
    </row>
    <row r="110" spans="1:6" ht="24">
      <c r="A110" s="481">
        <v>38</v>
      </c>
      <c r="B110" s="3519"/>
      <c r="C110" s="481" t="s">
        <v>2084</v>
      </c>
      <c r="D110" s="457" t="s">
        <v>2085</v>
      </c>
      <c r="E110" s="481">
        <v>0.1</v>
      </c>
      <c r="F110" s="481">
        <v>15</v>
      </c>
    </row>
    <row r="111" spans="1:6" ht="24">
      <c r="A111" s="481">
        <v>39</v>
      </c>
      <c r="B111" s="3519"/>
      <c r="C111" s="481" t="s">
        <v>2086</v>
      </c>
      <c r="D111" s="457" t="s">
        <v>2087</v>
      </c>
      <c r="E111" s="481">
        <v>0.1</v>
      </c>
      <c r="F111" s="481">
        <v>15</v>
      </c>
    </row>
    <row r="112" spans="1:6" ht="24">
      <c r="A112" s="481">
        <v>40</v>
      </c>
      <c r="B112" s="3522"/>
      <c r="C112" s="481" t="s">
        <v>2088</v>
      </c>
      <c r="D112" s="457" t="s">
        <v>2089</v>
      </c>
      <c r="E112" s="481">
        <v>0.1</v>
      </c>
      <c r="F112" s="481">
        <v>15</v>
      </c>
    </row>
    <row r="113" spans="1:6" ht="24">
      <c r="A113" s="481">
        <v>41</v>
      </c>
      <c r="B113" s="3523" t="s">
        <v>2090</v>
      </c>
      <c r="C113" s="481" t="s">
        <v>2091</v>
      </c>
      <c r="D113" s="457" t="s">
        <v>2092</v>
      </c>
      <c r="E113" s="481">
        <v>0.1</v>
      </c>
      <c r="F113" s="481">
        <v>15</v>
      </c>
    </row>
    <row r="114" spans="1:6" ht="24">
      <c r="A114" s="481">
        <v>42</v>
      </c>
      <c r="B114" s="3523"/>
      <c r="C114" s="481" t="s">
        <v>2093</v>
      </c>
      <c r="D114" s="457" t="s">
        <v>2094</v>
      </c>
      <c r="E114" s="481">
        <v>0.1</v>
      </c>
      <c r="F114" s="481">
        <v>15</v>
      </c>
    </row>
    <row r="115" spans="1:6" ht="24">
      <c r="A115" s="481">
        <v>43</v>
      </c>
      <c r="B115" s="3523"/>
      <c r="C115" s="481" t="s">
        <v>2095</v>
      </c>
      <c r="D115" s="457" t="s">
        <v>2096</v>
      </c>
      <c r="E115" s="481">
        <v>0.1</v>
      </c>
      <c r="F115" s="481">
        <v>15</v>
      </c>
    </row>
    <row r="116" spans="1:6" ht="24">
      <c r="A116" s="481">
        <v>44</v>
      </c>
      <c r="B116" s="3521" t="s">
        <v>2097</v>
      </c>
      <c r="C116" s="481" t="s">
        <v>2098</v>
      </c>
      <c r="D116" s="457" t="s">
        <v>2099</v>
      </c>
      <c r="E116" s="481">
        <v>0.1</v>
      </c>
      <c r="F116" s="481">
        <v>15</v>
      </c>
    </row>
    <row r="117" spans="1:6" ht="24">
      <c r="A117" s="481">
        <v>45</v>
      </c>
      <c r="B117" s="3522"/>
      <c r="C117" s="457" t="s">
        <v>2100</v>
      </c>
      <c r="D117" s="457" t="s">
        <v>2101</v>
      </c>
      <c r="E117" s="481">
        <v>0.1</v>
      </c>
      <c r="F117" s="481">
        <v>15</v>
      </c>
    </row>
    <row r="118" spans="1:6" ht="24">
      <c r="A118" s="481">
        <v>46</v>
      </c>
      <c r="B118" s="3521" t="s">
        <v>2102</v>
      </c>
      <c r="C118" s="481" t="s">
        <v>2103</v>
      </c>
      <c r="D118" s="457" t="s">
        <v>2104</v>
      </c>
      <c r="E118" s="481">
        <v>0.1</v>
      </c>
      <c r="F118" s="481">
        <v>15</v>
      </c>
    </row>
    <row r="119" spans="1:6" ht="24">
      <c r="A119" s="481">
        <v>47</v>
      </c>
      <c r="B119" s="3522"/>
      <c r="C119" s="481" t="s">
        <v>2105</v>
      </c>
      <c r="D119" s="457" t="s">
        <v>2106</v>
      </c>
      <c r="E119" s="481">
        <v>0.1</v>
      </c>
      <c r="F119" s="481">
        <v>15</v>
      </c>
    </row>
    <row r="120" spans="1:6" ht="24">
      <c r="A120" s="481">
        <v>48</v>
      </c>
      <c r="B120" s="3521" t="s">
        <v>2107</v>
      </c>
      <c r="C120" s="481" t="s">
        <v>2108</v>
      </c>
      <c r="D120" s="457" t="s">
        <v>2109</v>
      </c>
      <c r="E120" s="481">
        <v>0.1</v>
      </c>
      <c r="F120" s="481">
        <v>15</v>
      </c>
    </row>
    <row r="121" spans="1:6" ht="24">
      <c r="A121" s="481">
        <v>49</v>
      </c>
      <c r="B121" s="3522"/>
      <c r="C121" s="481" t="s">
        <v>2110</v>
      </c>
      <c r="D121" s="457" t="s">
        <v>2111</v>
      </c>
      <c r="E121" s="481">
        <v>0.1</v>
      </c>
      <c r="F121" s="481">
        <v>15</v>
      </c>
    </row>
    <row r="122" spans="1:6" ht="24">
      <c r="A122" s="481">
        <v>50</v>
      </c>
      <c r="B122" s="3523" t="s">
        <v>2112</v>
      </c>
      <c r="C122" s="481" t="s">
        <v>2113</v>
      </c>
      <c r="D122" s="457" t="s">
        <v>2114</v>
      </c>
      <c r="E122" s="481">
        <v>0.1</v>
      </c>
      <c r="F122" s="481">
        <v>15</v>
      </c>
    </row>
    <row r="123" spans="1:6" ht="24">
      <c r="A123" s="481">
        <v>51</v>
      </c>
      <c r="B123" s="3523"/>
      <c r="C123" s="481" t="s">
        <v>2115</v>
      </c>
      <c r="D123" s="457" t="s">
        <v>2116</v>
      </c>
      <c r="E123" s="481">
        <v>0.1</v>
      </c>
      <c r="F123" s="481">
        <v>15</v>
      </c>
    </row>
    <row r="124" spans="1:6" ht="24">
      <c r="A124" s="481">
        <v>52</v>
      </c>
      <c r="B124" s="3523" t="s">
        <v>2117</v>
      </c>
      <c r="C124" s="481" t="s">
        <v>2118</v>
      </c>
      <c r="D124" s="457" t="s">
        <v>2119</v>
      </c>
      <c r="E124" s="481">
        <v>0.1</v>
      </c>
      <c r="F124" s="481">
        <v>15</v>
      </c>
    </row>
    <row r="125" spans="1:6" ht="24">
      <c r="A125" s="481">
        <v>53</v>
      </c>
      <c r="B125" s="3523"/>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23" t="s">
        <v>2125</v>
      </c>
      <c r="C127" s="481" t="s">
        <v>2126</v>
      </c>
      <c r="D127" s="457" t="s">
        <v>2127</v>
      </c>
      <c r="E127" s="481">
        <v>0.1</v>
      </c>
      <c r="F127" s="481">
        <v>15</v>
      </c>
    </row>
    <row r="128" spans="1:6" ht="24">
      <c r="A128" s="481">
        <v>56</v>
      </c>
      <c r="B128" s="3523"/>
      <c r="C128" s="481" t="s">
        <v>2128</v>
      </c>
      <c r="D128" s="457" t="s">
        <v>2129</v>
      </c>
      <c r="E128" s="481">
        <v>0.1</v>
      </c>
      <c r="F128" s="481">
        <v>15</v>
      </c>
    </row>
    <row r="129" spans="1:6" ht="24">
      <c r="A129" s="481">
        <v>57</v>
      </c>
      <c r="B129" s="3523"/>
      <c r="C129" s="481" t="s">
        <v>2130</v>
      </c>
      <c r="D129" s="457" t="s">
        <v>2131</v>
      </c>
      <c r="E129" s="481">
        <v>0.1</v>
      </c>
      <c r="F129" s="481">
        <v>15</v>
      </c>
    </row>
    <row r="130" spans="1:6" ht="24">
      <c r="A130" s="481">
        <v>58</v>
      </c>
      <c r="B130" s="3523" t="s">
        <v>2132</v>
      </c>
      <c r="C130" s="481" t="s">
        <v>2133</v>
      </c>
      <c r="D130" s="457" t="s">
        <v>2134</v>
      </c>
      <c r="E130" s="481">
        <v>0.1</v>
      </c>
      <c r="F130" s="481">
        <v>15</v>
      </c>
    </row>
    <row r="131" spans="1:6" ht="24">
      <c r="A131" s="481">
        <v>59</v>
      </c>
      <c r="B131" s="3523"/>
      <c r="C131" s="481" t="s">
        <v>2135</v>
      </c>
      <c r="D131" s="457" t="s">
        <v>2136</v>
      </c>
      <c r="E131" s="481">
        <v>0.1</v>
      </c>
      <c r="F131" s="481">
        <v>15</v>
      </c>
    </row>
    <row r="132" spans="1:6" ht="24">
      <c r="A132" s="481">
        <v>60</v>
      </c>
      <c r="B132" s="3521" t="s">
        <v>2137</v>
      </c>
      <c r="C132" s="481" t="s">
        <v>2138</v>
      </c>
      <c r="D132" s="457" t="s">
        <v>2139</v>
      </c>
      <c r="E132" s="481">
        <v>0.1</v>
      </c>
      <c r="F132" s="481">
        <v>15</v>
      </c>
    </row>
    <row r="133" spans="1:6" ht="24">
      <c r="A133" s="481">
        <v>61</v>
      </c>
      <c r="B133" s="3522"/>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23" t="s">
        <v>2145</v>
      </c>
      <c r="C135" s="481" t="s">
        <v>2146</v>
      </c>
      <c r="D135" s="457" t="s">
        <v>2147</v>
      </c>
      <c r="E135" s="481">
        <v>0.1</v>
      </c>
      <c r="F135" s="481">
        <v>15</v>
      </c>
    </row>
    <row r="136" spans="1:6" ht="24">
      <c r="A136" s="481">
        <v>64</v>
      </c>
      <c r="B136" s="3523"/>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27639</v>
      </c>
      <c r="C2" s="347" t="s">
        <v>1446</v>
      </c>
      <c r="D2" s="344"/>
      <c r="E2" s="344"/>
      <c r="F2" s="344"/>
      <c r="G2" s="344"/>
    </row>
    <row r="3" spans="1:7" s="333" customFormat="1" ht="18" customHeight="1">
      <c r="A3" s="348" t="s">
        <v>2167</v>
      </c>
      <c r="B3" s="349">
        <f ca="1">ROUND(B2*10000/'数据-汇总表'!E3,0)</f>
        <v>1347587</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4</v>
      </c>
      <c r="D10" s="371">
        <f>'数据-汇总表'!E6</f>
        <v>205.1</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4</v>
      </c>
      <c r="D19" s="356">
        <f>'数据-汇总表'!E3</f>
        <v>205.1</v>
      </c>
      <c r="E19" s="355">
        <f>'数据-取费表'!B31</f>
        <v>200</v>
      </c>
      <c r="F19" s="377"/>
      <c r="G19" s="367" t="s">
        <v>2189</v>
      </c>
    </row>
    <row r="20" spans="1:7" s="335" customFormat="1" ht="13.5" customHeight="1">
      <c r="A20" s="376" t="s">
        <v>1777</v>
      </c>
      <c r="B20" s="354" t="s">
        <v>2190</v>
      </c>
      <c r="C20" s="378">
        <f>ROUND((C5+C19)*F20,0)</f>
        <v>412</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1267</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0</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3154</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3154</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27539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92</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82</v>
      </c>
      <c r="D34" s="361"/>
      <c r="E34" s="364"/>
      <c r="F34" s="407">
        <f>IF('数据-取费表'!B24=0,1,'数据-取费表'!N16)</f>
        <v>1</v>
      </c>
      <c r="G34" s="363" t="s">
        <v>2216</v>
      </c>
    </row>
    <row r="35" spans="1:7" ht="13.5" customHeight="1">
      <c r="A35" s="386" t="s">
        <v>1008</v>
      </c>
      <c r="B35" s="359" t="s">
        <v>2217</v>
      </c>
      <c r="C35" s="364">
        <f>ROUND(C34*F35,0)</f>
        <v>4</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4</v>
      </c>
      <c r="D37" s="361">
        <f>'数据-汇总表'!E3</f>
        <v>205.1</v>
      </c>
      <c r="E37" s="399">
        <f>'数据-取费表'!B35</f>
        <v>200</v>
      </c>
      <c r="F37" s="408"/>
      <c r="G37" s="410" t="s">
        <v>2222</v>
      </c>
    </row>
    <row r="38" spans="1:7" ht="13.5" customHeight="1">
      <c r="A38" s="386" t="s">
        <v>1072</v>
      </c>
      <c r="B38" s="359" t="s">
        <v>2180</v>
      </c>
      <c r="C38" s="364">
        <f>ROUND(C34*F38,0)</f>
        <v>2</v>
      </c>
      <c r="D38" s="364"/>
      <c r="E38" s="364"/>
      <c r="F38" s="408">
        <f>'数据-取费表'!B36</f>
        <v>0.02</v>
      </c>
      <c r="G38" s="363" t="s">
        <v>2218</v>
      </c>
    </row>
    <row r="39" spans="1:7" s="335" customFormat="1" ht="13.5" customHeight="1">
      <c r="A39" s="376" t="s">
        <v>1741</v>
      </c>
      <c r="B39" s="354" t="s">
        <v>2190</v>
      </c>
      <c r="C39" s="378">
        <f>ROUND(C33*F20,0)</f>
        <v>2</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3</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3</v>
      </c>
      <c r="D42" s="388"/>
      <c r="E42" s="388"/>
      <c r="F42" s="389"/>
      <c r="G42" s="3387" t="s">
        <v>2226</v>
      </c>
    </row>
    <row r="43" spans="1:7" ht="13.5" customHeight="1">
      <c r="A43" s="386" t="s">
        <v>1008</v>
      </c>
      <c r="B43" s="359" t="s">
        <v>2198</v>
      </c>
      <c r="C43" s="388">
        <f ca="1">ROUND(IF('数据-取费表'!B22&lt;=1,C39*F22*'数据-取费表'!B21/2,C39*(POWER((1+F22),'数据-取费表'!B21/2)-1)),0)</f>
        <v>0</v>
      </c>
      <c r="D43" s="388"/>
      <c r="E43" s="388"/>
      <c r="F43" s="389"/>
      <c r="G43" s="3388"/>
    </row>
    <row r="44" spans="1:7" ht="13.5" customHeight="1">
      <c r="A44" s="386" t="s">
        <v>1010</v>
      </c>
      <c r="B44" s="359" t="s">
        <v>2200</v>
      </c>
      <c r="C44" s="388">
        <f ca="1">ROUND(IF('数据-取费表'!B22&lt;=1,C40*F22*'数据-取费表'!B21/2,C40*(POWER((1+F22),'数据-取费表'!B21/2)-1)),4)</f>
        <v>5.9999999999999995E-4</v>
      </c>
      <c r="D44" s="388"/>
      <c r="E44" s="388"/>
      <c r="F44" s="389"/>
      <c r="G44" s="3389"/>
    </row>
    <row r="45" spans="1:7" s="335" customFormat="1" ht="13.5" customHeight="1">
      <c r="A45" s="376" t="s">
        <v>1791</v>
      </c>
      <c r="B45" s="394" t="s">
        <v>2203</v>
      </c>
      <c r="C45" s="395">
        <f>C46</f>
        <v>14</v>
      </c>
      <c r="D45" s="381">
        <f>C47</f>
        <v>3.0000000000000001E-3</v>
      </c>
      <c r="E45" s="382" t="s">
        <v>2224</v>
      </c>
      <c r="F45" s="396"/>
      <c r="G45" s="397" t="s">
        <v>2227</v>
      </c>
    </row>
    <row r="46" spans="1:7" s="335" customFormat="1" ht="13.5" customHeight="1">
      <c r="A46" s="386" t="s">
        <v>1006</v>
      </c>
      <c r="B46" s="398" t="s">
        <v>2228</v>
      </c>
      <c r="C46" s="399">
        <f>ROUND((C33+C39)*F27,0)</f>
        <v>14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120</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100</v>
      </c>
      <c r="D51" s="378"/>
      <c r="E51" s="378"/>
      <c r="F51" s="413"/>
      <c r="G51" s="383" t="s">
        <v>2239</v>
      </c>
    </row>
    <row r="52" spans="1:7" s="334" customFormat="1" ht="16.2">
      <c r="A52" s="414" t="s">
        <v>2240</v>
      </c>
      <c r="B52" s="415"/>
      <c r="C52" s="416">
        <f ca="1">C31+C51</f>
        <v>27639</v>
      </c>
      <c r="D52" s="415"/>
      <c r="E52" s="415"/>
      <c r="F52" s="415"/>
      <c r="G52" s="417"/>
    </row>
    <row r="55" spans="1:7" ht="15">
      <c r="B55" s="418" t="s">
        <v>2241</v>
      </c>
      <c r="C55" s="419"/>
    </row>
    <row r="56" spans="1:7">
      <c r="B56" s="420" t="s">
        <v>2242</v>
      </c>
      <c r="C56" s="421">
        <f ca="1">ROUND(C51/C52,3)</f>
        <v>4.0000000000000001E-3</v>
      </c>
    </row>
    <row r="57" spans="1:7">
      <c r="B57" s="420" t="s">
        <v>2243</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7.399999999999999">
      <c r="A4" s="3127"/>
      <c r="B4" s="3213" t="s">
        <v>95</v>
      </c>
      <c r="C4" s="3213"/>
      <c r="D4" s="3213"/>
      <c r="E4" s="3127"/>
    </row>
    <row r="5" spans="1:5" ht="15.6">
      <c r="B5" s="3205" t="s">
        <v>96</v>
      </c>
      <c r="C5" s="3128" t="s">
        <v>97</v>
      </c>
      <c r="D5" s="3129">
        <f ca="1">结果表101!H101</f>
        <v>0</v>
      </c>
    </row>
    <row r="6" spans="1:5" ht="15.6">
      <c r="B6" s="3205"/>
      <c r="C6" s="3128" t="s">
        <v>98</v>
      </c>
      <c r="D6" s="3129" t="str">
        <f ca="1">NUMBERSTRING(INT(D5*10000),2)&amp;"元整"</f>
        <v>零元整</v>
      </c>
    </row>
    <row r="7" spans="1:5" ht="15.6">
      <c r="B7" s="3206"/>
      <c r="C7" s="3130" t="s">
        <v>99</v>
      </c>
      <c r="D7" s="3131">
        <f ca="1">结果表101!H102</f>
        <v>34440</v>
      </c>
    </row>
    <row r="8" spans="1:5" ht="15.6">
      <c r="B8" s="3207" t="str">
        <f>结果表101!E103</f>
        <v>2.估价师知悉的法定优先受偿款</v>
      </c>
      <c r="C8" s="3132" t="s">
        <v>100</v>
      </c>
      <c r="D8" s="3131">
        <f>结果表101!H103</f>
        <v>0</v>
      </c>
    </row>
    <row r="9" spans="1:5" ht="15.6">
      <c r="B9" s="3209"/>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4" t="str">
        <f>结果表101!E107</f>
        <v>3.房地产抵押价值</v>
      </c>
      <c r="C13" s="3136" t="s">
        <v>97</v>
      </c>
      <c r="D13" s="3137">
        <f ca="1">结果表101!H107</f>
        <v>0</v>
      </c>
    </row>
    <row r="14" spans="1:5" ht="15.6">
      <c r="B14" s="3205"/>
      <c r="C14" s="3128" t="s">
        <v>98</v>
      </c>
      <c r="D14" s="3129" t="str">
        <f ca="1">NUMBERSTRING(INT(D13*10000),2)&amp;"元整"</f>
        <v>零元整</v>
      </c>
    </row>
    <row r="15" spans="1:5" ht="15.6">
      <c r="B15" s="3206"/>
      <c r="C15" s="3130" t="s">
        <v>99</v>
      </c>
      <c r="D15" s="3138">
        <f ca="1">结果表101!H108</f>
        <v>34440</v>
      </c>
    </row>
    <row r="16" spans="1:5" ht="15.6">
      <c r="B16" s="3207" t="str">
        <f>结果表101!E109</f>
        <v>——</v>
      </c>
      <c r="C16" s="3136" t="s">
        <v>97</v>
      </c>
      <c r="D16" s="3139" t="str">
        <f>结果表101!H109</f>
        <v>——</v>
      </c>
    </row>
    <row r="17" spans="1:5" ht="15.6">
      <c r="B17" s="3208"/>
      <c r="C17" s="3128" t="s">
        <v>98</v>
      </c>
      <c r="D17" s="3129" t="e">
        <f>NUMBERSTRING(INT(D16*10000),2)&amp;"元整"</f>
        <v>#VALUE!</v>
      </c>
    </row>
    <row r="18" spans="1:5" ht="15.6">
      <c r="B18" s="3209"/>
      <c r="C18" s="3130" t="s">
        <v>99</v>
      </c>
      <c r="D18" s="3138" t="str">
        <f>结果表101!H110</f>
        <v>——</v>
      </c>
    </row>
    <row r="19" spans="1:5" ht="15.6">
      <c r="B19" s="3204" t="str">
        <f>结果表101!E111</f>
        <v>——</v>
      </c>
      <c r="C19" s="3136" t="s">
        <v>97</v>
      </c>
      <c r="D19" s="3131" t="str">
        <f>结果表101!H111</f>
        <v>——</v>
      </c>
    </row>
    <row r="20" spans="1:5" ht="15.6">
      <c r="B20" s="3205"/>
      <c r="C20" s="3128" t="s">
        <v>98</v>
      </c>
      <c r="D20" s="3129" t="e">
        <f>NUMBERSTRING(INT(D19*10000),2)&amp;"元整"</f>
        <v>#VALUE!</v>
      </c>
    </row>
    <row r="21" spans="1:5" ht="15.6">
      <c r="B21" s="3210"/>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4" t="s">
        <v>2244</v>
      </c>
      <c r="B1" s="3524"/>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5" t="s">
        <v>2626</v>
      </c>
      <c r="B1" s="3525"/>
      <c r="C1" s="3525"/>
      <c r="D1" s="3525"/>
      <c r="E1" s="3525"/>
      <c r="F1" s="3526"/>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K14" sqref="K1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293" t="str">
        <f>项目基本情况!S2</f>
        <v>北京市房地产</v>
      </c>
      <c r="B2" s="3294"/>
      <c r="C2" s="3294"/>
      <c r="D2" s="3294"/>
      <c r="E2" s="3294"/>
      <c r="F2" s="3294"/>
      <c r="G2" s="3294"/>
      <c r="H2" s="3294"/>
      <c r="I2" s="3295"/>
    </row>
    <row r="3" spans="1:12" ht="13.2">
      <c r="A3" s="3296" t="s">
        <v>780</v>
      </c>
      <c r="B3" s="3297"/>
      <c r="C3" s="3297"/>
      <c r="D3" s="3297"/>
      <c r="E3" s="3297"/>
      <c r="F3" s="3297"/>
      <c r="G3" s="3297"/>
      <c r="H3" s="3297"/>
      <c r="I3" s="3297"/>
    </row>
    <row r="4" spans="1:12" ht="14.4">
      <c r="A4" s="2119" t="s">
        <v>781</v>
      </c>
      <c r="B4" s="2120" t="s">
        <v>782</v>
      </c>
      <c r="C4" s="2121" t="s">
        <v>2851</v>
      </c>
      <c r="D4" s="2121" t="s">
        <v>2854</v>
      </c>
      <c r="E4" s="3298" t="s">
        <v>783</v>
      </c>
      <c r="F4" s="3299"/>
      <c r="G4" s="3299"/>
      <c r="H4" s="3299"/>
      <c r="I4" s="3300"/>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343" t="s">
        <v>784</v>
      </c>
      <c r="B5" s="3381">
        <v>25</v>
      </c>
      <c r="C5" s="3313"/>
      <c r="D5" s="3312"/>
      <c r="E5" s="1895" t="s">
        <v>785</v>
      </c>
      <c r="F5" s="2125"/>
      <c r="G5" s="2125"/>
      <c r="H5" s="2125"/>
      <c r="I5" s="2249"/>
    </row>
    <row r="6" spans="1:12" ht="13.2">
      <c r="A6" s="3343"/>
      <c r="B6" s="3381"/>
      <c r="C6" s="3314"/>
      <c r="D6" s="3312"/>
      <c r="E6" s="1895" t="s">
        <v>786</v>
      </c>
      <c r="F6" s="2125"/>
      <c r="G6" s="2125"/>
      <c r="H6" s="2125"/>
      <c r="I6" s="2249"/>
    </row>
    <row r="7" spans="1:12" ht="13.2">
      <c r="A7" s="3343"/>
      <c r="B7" s="3381"/>
      <c r="C7" s="3315"/>
      <c r="D7" s="3312"/>
      <c r="E7" s="1895" t="s">
        <v>787</v>
      </c>
      <c r="F7" s="2125"/>
      <c r="G7" s="2125"/>
      <c r="H7" s="2125"/>
      <c r="I7" s="2249"/>
    </row>
    <row r="8" spans="1:12" ht="13.2">
      <c r="A8" s="3343" t="s">
        <v>788</v>
      </c>
      <c r="B8" s="3381">
        <v>15</v>
      </c>
      <c r="C8" s="3313"/>
      <c r="D8" s="3312"/>
      <c r="E8" s="1895" t="s">
        <v>789</v>
      </c>
      <c r="F8" s="2125"/>
      <c r="G8" s="2125"/>
      <c r="H8" s="2125"/>
      <c r="I8" s="2249"/>
    </row>
    <row r="9" spans="1:12" ht="13.2">
      <c r="A9" s="3343"/>
      <c r="B9" s="3381"/>
      <c r="C9" s="3315"/>
      <c r="D9" s="3312"/>
      <c r="E9" s="1895" t="s">
        <v>790</v>
      </c>
      <c r="F9" s="2125"/>
      <c r="G9" s="2125"/>
      <c r="H9" s="2125"/>
      <c r="I9" s="2249"/>
    </row>
    <row r="10" spans="1:12" ht="13.2">
      <c r="A10" s="3343" t="s">
        <v>791</v>
      </c>
      <c r="B10" s="3381">
        <v>15</v>
      </c>
      <c r="C10" s="3313"/>
      <c r="D10" s="3312"/>
      <c r="E10" s="1895" t="s">
        <v>792</v>
      </c>
      <c r="F10" s="2125"/>
      <c r="G10" s="2125"/>
      <c r="H10" s="2125"/>
      <c r="I10" s="2249"/>
    </row>
    <row r="11" spans="1:12" ht="13.2">
      <c r="A11" s="3343"/>
      <c r="B11" s="3381"/>
      <c r="C11" s="3315"/>
      <c r="D11" s="3312"/>
      <c r="E11" s="1895" t="s">
        <v>793</v>
      </c>
      <c r="F11" s="2125"/>
      <c r="G11" s="2125"/>
      <c r="H11" s="2125"/>
      <c r="I11" s="2249"/>
    </row>
    <row r="12" spans="1:12" ht="13.2">
      <c r="A12" s="3343" t="s">
        <v>794</v>
      </c>
      <c r="B12" s="3381">
        <v>15</v>
      </c>
      <c r="C12" s="3313"/>
      <c r="D12" s="3312"/>
      <c r="E12" s="1895" t="s">
        <v>795</v>
      </c>
      <c r="F12" s="2125"/>
      <c r="G12" s="2125"/>
      <c r="H12" s="2125"/>
      <c r="I12" s="2249"/>
    </row>
    <row r="13" spans="1:12" ht="13.2">
      <c r="A13" s="3343"/>
      <c r="B13" s="3381"/>
      <c r="C13" s="3315"/>
      <c r="D13" s="3312"/>
      <c r="E13" s="1895" t="s">
        <v>796</v>
      </c>
      <c r="F13" s="2125"/>
      <c r="G13" s="2125"/>
      <c r="H13" s="2125"/>
      <c r="I13" s="2249"/>
    </row>
    <row r="14" spans="1:12" ht="13.2">
      <c r="A14" s="3343" t="s">
        <v>797</v>
      </c>
      <c r="B14" s="3381">
        <v>30</v>
      </c>
      <c r="C14" s="3313">
        <v>6</v>
      </c>
      <c r="D14" s="3312">
        <v>4</v>
      </c>
      <c r="E14" s="1895" t="s">
        <v>798</v>
      </c>
      <c r="F14" s="2125"/>
      <c r="G14" s="2125"/>
      <c r="H14" s="2125"/>
      <c r="I14" s="2249"/>
    </row>
    <row r="15" spans="1:12" ht="13.2">
      <c r="A15" s="3343"/>
      <c r="B15" s="3381"/>
      <c r="C15" s="3314"/>
      <c r="D15" s="3312"/>
      <c r="E15" s="1895" t="s">
        <v>799</v>
      </c>
      <c r="F15" s="2125"/>
      <c r="G15" s="2125"/>
      <c r="H15" s="2125"/>
      <c r="I15" s="2249"/>
    </row>
    <row r="16" spans="1:12" ht="13.2">
      <c r="A16" s="3343"/>
      <c r="B16" s="3381"/>
      <c r="C16" s="3315"/>
      <c r="D16" s="3312"/>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1" t="s">
        <v>805</v>
      </c>
      <c r="F18" s="3302"/>
      <c r="G18" s="3302"/>
      <c r="H18" s="3302"/>
      <c r="I18" s="3302"/>
      <c r="K18" s="1855" t="s">
        <v>469</v>
      </c>
      <c r="L18" s="1855">
        <f>IF(C1="",'数据-汇总表'!E3,SUMIF(项目类型,C1,'数据-汇总表'!E17:E26)+SUMIF(项目类型,C1,'数据-汇总表'!I17:I26))</f>
        <v>0</v>
      </c>
      <c r="M18" s="1855">
        <f>IF(C1="",'数据-汇总表'!E3,SUMIF(项目类型,C1,'数据-汇总表'!E17:E26))</f>
        <v>0</v>
      </c>
    </row>
    <row r="19" spans="1:36" ht="14.4">
      <c r="A19" s="1129" t="s">
        <v>806</v>
      </c>
      <c r="B19" s="2132" t="s">
        <v>807</v>
      </c>
      <c r="C19" s="2133">
        <f ca="1">SUMIF(INDIRECT("'"&amp;C4&amp;"'"&amp;"!A:A"),结果表103!B19,INDIRECT("'"&amp;C4&amp;"'"&amp;"!B:B"))</f>
        <v>111.6285</v>
      </c>
      <c r="D19" s="1245">
        <f ca="1">SUMIF(INDIRECT("'"&amp;D4&amp;"'"&amp;"!A:A"),结果表103!B19,INDIRECT("'"&amp;D4&amp;"'"&amp;"!B:B"))</f>
        <v>86.976500000000001</v>
      </c>
      <c r="E19" s="1129" t="s">
        <v>808</v>
      </c>
      <c r="F19" s="2132" t="s">
        <v>807</v>
      </c>
      <c r="G19" s="2134">
        <f ca="1">ROUND(C19*$C$18+D19*$D$18,0)</f>
        <v>102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SUMIF(INDIRECT("'"&amp;C4&amp;"'"&amp;"!A:A"),结果表103!B20,INDIRECT("'"&amp;C4&amp;"'"&amp;"!B:B"))</f>
        <v>36468</v>
      </c>
      <c r="D20" s="1602">
        <f ca="1">SUMIF(INDIRECT("'"&amp;D4&amp;"'"&amp;"!A:A"),结果表103!B20,INDIRECT("'"&amp;D4&amp;"'"&amp;"!B:B"))</f>
        <v>28414</v>
      </c>
      <c r="E20" s="2136"/>
      <c r="F20" s="2137" t="s">
        <v>810</v>
      </c>
      <c r="G20" s="2138">
        <f ca="1">ROUND(C20*$C$18+D20*$D$18,0)</f>
        <v>33246</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0.28343288129552247</v>
      </c>
      <c r="E22" s="1458"/>
      <c r="F22" s="1458"/>
      <c r="G22" s="1458"/>
      <c r="H22" s="1458"/>
      <c r="I22" s="1458"/>
    </row>
    <row r="23" spans="1:36" ht="13.8" thickBot="1">
      <c r="A23" s="1998"/>
      <c r="B23" s="1998"/>
      <c r="C23" s="1998"/>
      <c r="D23" s="1998"/>
      <c r="E23" s="1458"/>
      <c r="F23" s="1458"/>
      <c r="G23" s="1458"/>
      <c r="H23" s="1458"/>
      <c r="I23" s="1458"/>
    </row>
    <row r="24" spans="1:36" ht="14.4">
      <c r="A24" s="3374" t="s">
        <v>814</v>
      </c>
      <c r="B24" s="2132" t="s">
        <v>807</v>
      </c>
      <c r="C24" s="2134">
        <f>IF(B30=0,0,D30)</f>
        <v>0</v>
      </c>
      <c r="D24" s="2148"/>
      <c r="E24" s="1458"/>
      <c r="F24" s="1458"/>
      <c r="G24" s="1458"/>
      <c r="H24" s="1458"/>
      <c r="I24" s="1458"/>
    </row>
    <row r="25" spans="1:36" ht="14.4">
      <c r="A25" s="3375"/>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33246</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27295</v>
      </c>
      <c r="D34" s="2169">
        <f ca="1">IF(C33="自定义",ROUND(C34/C32,3),IF(C33="收益比率",SUMIF(INDIRECT("'"&amp;D33&amp;"'"&amp;"!b:b"),"土地收益比率",INDIRECT("'"&amp;D33&amp;"'"&amp;"!c:c")),SUMIF(INDIRECT("'"&amp;D33&amp;"'"&amp;"!b:b"),"土地成本比率",INDIRECT("'"&amp;D33&amp;"'"&amp;"!c:c"))))</f>
        <v>0.82099999999999995</v>
      </c>
      <c r="E34" s="2170" t="s">
        <v>827</v>
      </c>
      <c r="F34" s="2171"/>
      <c r="G34" s="1458"/>
      <c r="H34" s="1458"/>
      <c r="I34" s="1458"/>
    </row>
    <row r="35" spans="1:15" ht="15" thickBot="1">
      <c r="A35" s="2172"/>
      <c r="B35" s="2173" t="s">
        <v>828</v>
      </c>
      <c r="C35" s="2174">
        <f ca="1">IF(C33="自定义",F35,ROUND(C32*D35,0))</f>
        <v>5951</v>
      </c>
      <c r="D35" s="2175">
        <f ca="1">IF(C33="自定义",ROUND(C35/C32,3),IF(C33="收益比率",SUMIF(INDIRECT("'"&amp;D33&amp;"'"&amp;"!b:b"),"建筑物收益比率",INDIRECT("'"&amp;D33&amp;"'"&amp;"!c:c")),SUMIF(INDIRECT("'"&amp;D33&amp;"'"&amp;"!b:b"),"建筑物成本比率",INDIRECT("'"&amp;D33&amp;"'"&amp;"!c:c"))))</f>
        <v>0.17899999999999999</v>
      </c>
      <c r="E35" s="2176" t="s">
        <v>829</v>
      </c>
      <c r="F35" s="2177"/>
      <c r="G35" s="1458"/>
      <c r="H35" s="1458"/>
      <c r="I35" s="1458"/>
    </row>
    <row r="36" spans="1:15" ht="15" thickBot="1">
      <c r="A36" s="3376" t="s">
        <v>830</v>
      </c>
      <c r="B36" s="2178" t="s">
        <v>831</v>
      </c>
      <c r="C36" s="2179"/>
      <c r="D36" s="2180"/>
      <c r="E36" s="2181"/>
      <c r="F36" s="2182"/>
      <c r="G36" s="1458"/>
      <c r="H36" s="1458"/>
      <c r="I36" s="1458"/>
    </row>
    <row r="37" spans="1:15" ht="15" thickBot="1">
      <c r="A37" s="3377"/>
      <c r="B37" s="2183" t="s">
        <v>832</v>
      </c>
      <c r="C37" s="2184"/>
      <c r="D37" s="2185"/>
      <c r="E37" s="2185"/>
      <c r="F37" s="2182"/>
      <c r="G37" s="1458"/>
      <c r="H37" s="1458"/>
      <c r="I37" s="1458"/>
    </row>
    <row r="38" spans="1:15" ht="15" thickBot="1">
      <c r="A38" s="3378"/>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3" t="s">
        <v>841</v>
      </c>
      <c r="B45" s="3304"/>
      <c r="C45" s="3305"/>
      <c r="D45" s="2204">
        <f ca="1">ROUND(H101*F45,4)</f>
        <v>0</v>
      </c>
      <c r="E45" s="2205" t="s">
        <v>842</v>
      </c>
      <c r="F45" s="2206">
        <v>1</v>
      </c>
      <c r="G45" s="1865" t="s">
        <v>843</v>
      </c>
      <c r="H45" s="1458"/>
      <c r="I45" s="1458"/>
      <c r="J45" s="3306" t="s">
        <v>844</v>
      </c>
      <c r="K45" s="3306"/>
      <c r="L45" s="3306"/>
      <c r="M45" s="3306"/>
      <c r="N45" s="3306"/>
      <c r="O45" s="3306"/>
    </row>
    <row r="46" spans="1:15" ht="14.25" customHeight="1">
      <c r="A46" s="3307" t="s">
        <v>845</v>
      </c>
      <c r="B46" s="3308"/>
      <c r="C46" s="3308"/>
      <c r="D46" s="3308"/>
      <c r="E46" s="3308"/>
      <c r="F46" s="3308"/>
      <c r="G46" s="3309"/>
      <c r="H46" s="2207"/>
      <c r="I46" s="1459"/>
      <c r="J46" s="576">
        <v>1</v>
      </c>
      <c r="K46" s="3310" t="s">
        <v>846</v>
      </c>
      <c r="L46" s="3310"/>
      <c r="M46" s="3311"/>
      <c r="N46" s="3311"/>
      <c r="O46" s="3311"/>
    </row>
    <row r="47" spans="1:15" ht="12" customHeight="1">
      <c r="A47" s="2208" t="s">
        <v>847</v>
      </c>
      <c r="B47" s="2209"/>
      <c r="C47" s="2210"/>
      <c r="D47" s="1904" t="s">
        <v>848</v>
      </c>
      <c r="E47" s="1855" t="s">
        <v>849</v>
      </c>
      <c r="F47" s="2211" t="s">
        <v>850</v>
      </c>
      <c r="G47" s="2212" t="s">
        <v>851</v>
      </c>
      <c r="H47" s="2213"/>
      <c r="I47" s="1459"/>
      <c r="J47" s="576">
        <v>2</v>
      </c>
      <c r="K47" s="3310" t="s">
        <v>852</v>
      </c>
      <c r="L47" s="3310"/>
      <c r="M47" s="3316">
        <f>'数据-取费表'!B2</f>
        <v>45862</v>
      </c>
      <c r="N47" s="3316"/>
      <c r="O47" s="3316"/>
    </row>
    <row r="48" spans="1:15" ht="39.6">
      <c r="A48" s="3317" t="s">
        <v>853</v>
      </c>
      <c r="B48" s="3318"/>
      <c r="C48" s="3318"/>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0" t="s">
        <v>856</v>
      </c>
      <c r="L48" s="3310"/>
      <c r="M48" s="3319">
        <f ca="1">H101</f>
        <v>0</v>
      </c>
      <c r="N48" s="3319"/>
      <c r="O48" s="3319"/>
    </row>
    <row r="49" spans="1:35" ht="25.5" customHeight="1">
      <c r="A49" s="2214" t="s">
        <v>857</v>
      </c>
      <c r="B49" s="3320" t="s">
        <v>858</v>
      </c>
      <c r="C49" s="3320"/>
      <c r="D49" s="2218">
        <v>0</v>
      </c>
      <c r="E49" s="1914" t="s">
        <v>859</v>
      </c>
      <c r="F49" s="2219" t="s">
        <v>124</v>
      </c>
      <c r="G49" s="3326"/>
      <c r="H49" s="2220" t="s">
        <v>860</v>
      </c>
      <c r="I49" s="2255"/>
      <c r="J49" s="576">
        <v>4</v>
      </c>
      <c r="K49" s="3310" t="str">
        <f>IF(项目基本情况!E8="房地产抵押价值","房地产抵押价值","抵押担保权已注销时的房地产抵押价值")</f>
        <v>房地产抵押价值</v>
      </c>
      <c r="L49" s="3310"/>
      <c r="M49" s="3319">
        <f ca="1">IF(项目基本情况!E8="房地产抵押价值",H107,H109)</f>
        <v>0</v>
      </c>
      <c r="N49" s="3319"/>
      <c r="O49" s="3319"/>
    </row>
    <row r="50" spans="1:35" ht="25.5" customHeight="1">
      <c r="A50" s="2221"/>
      <c r="B50" s="3320" t="s">
        <v>861</v>
      </c>
      <c r="C50" s="3320"/>
      <c r="D50" s="2222"/>
      <c r="E50" s="1929"/>
      <c r="F50" s="2219"/>
      <c r="G50" s="3327"/>
      <c r="H50" s="2223" t="s">
        <v>862</v>
      </c>
      <c r="I50" s="2255"/>
      <c r="J50" s="3306" t="s">
        <v>863</v>
      </c>
      <c r="K50" s="3306"/>
      <c r="L50" s="3306"/>
      <c r="M50" s="3306"/>
      <c r="N50" s="3306"/>
      <c r="O50" s="3306"/>
      <c r="P50" s="1522" t="s">
        <v>2868</v>
      </c>
      <c r="Q50" s="3197">
        <v>0.03</v>
      </c>
    </row>
    <row r="51" spans="1:35" ht="20.399999999999999" customHeight="1">
      <c r="A51" s="2224"/>
      <c r="B51" s="3320" t="s">
        <v>864</v>
      </c>
      <c r="C51" s="3320"/>
      <c r="D51" s="1904"/>
      <c r="E51" s="1918"/>
      <c r="F51" s="2219"/>
      <c r="G51" s="3328"/>
      <c r="H51" s="2223" t="s">
        <v>865</v>
      </c>
      <c r="I51" s="2255"/>
      <c r="J51" s="2254" t="s">
        <v>866</v>
      </c>
      <c r="K51" s="3310" t="s">
        <v>867</v>
      </c>
      <c r="L51" s="3310"/>
      <c r="M51" s="2254" t="s">
        <v>868</v>
      </c>
      <c r="N51" s="2254" t="s">
        <v>869</v>
      </c>
      <c r="O51" s="2254" t="s">
        <v>870</v>
      </c>
      <c r="P51" s="1522" t="s">
        <v>2869</v>
      </c>
      <c r="Q51" s="1417">
        <f ca="1">ROUND(M49*S51,4)</f>
        <v>0</v>
      </c>
      <c r="R51" s="1417" t="str">
        <f>N53</f>
        <v>销售额×税（费）率</v>
      </c>
      <c r="S51" s="3197">
        <v>0.01</v>
      </c>
    </row>
    <row r="52" spans="1:35" ht="24" customHeight="1">
      <c r="A52" s="2225" t="s">
        <v>871</v>
      </c>
      <c r="B52" s="3320" t="s">
        <v>872</v>
      </c>
      <c r="C52" s="3320"/>
      <c r="D52" s="1904">
        <f ca="1">ROUND(D45*'数据-取费表'!B41/(1+'数据-取费表'!C42),0)</f>
        <v>0</v>
      </c>
      <c r="E52" s="1908" t="s">
        <v>873</v>
      </c>
      <c r="F52" s="2226">
        <f>'数据-取费表'!B41</f>
        <v>5.5000000000000007E-2</v>
      </c>
      <c r="G52" s="2227"/>
      <c r="H52" s="2019"/>
      <c r="I52" s="2256"/>
      <c r="J52" s="576">
        <v>1</v>
      </c>
      <c r="K52" s="3322" t="s">
        <v>874</v>
      </c>
      <c r="L52" s="3322"/>
      <c r="M52" s="2257">
        <f ca="1">D48</f>
        <v>0</v>
      </c>
      <c r="N52" s="576" t="str">
        <f>E48</f>
        <v>(销售额-原购置价)×税（费）率</v>
      </c>
      <c r="O52" s="2258">
        <f>F48</f>
        <v>5.5000000000000007E-2</v>
      </c>
      <c r="P52" s="3198" t="s">
        <v>2870</v>
      </c>
      <c r="Q52" s="3198" t="s">
        <v>2871</v>
      </c>
      <c r="R52" s="3199"/>
    </row>
    <row r="53" spans="1:35" ht="12" customHeight="1">
      <c r="A53" s="2225" t="s">
        <v>875</v>
      </c>
      <c r="B53" s="3323" t="s">
        <v>876</v>
      </c>
      <c r="C53" s="3324"/>
      <c r="D53" s="1904">
        <f ca="1">ROUND(D45*'数据-取费表'!B41/(1+'数据-取费表'!C42),0)</f>
        <v>0</v>
      </c>
      <c r="E53" s="1908" t="s">
        <v>873</v>
      </c>
      <c r="F53" s="2226">
        <f>'数据-取费表'!B41</f>
        <v>5.5000000000000007E-2</v>
      </c>
      <c r="G53" s="2227"/>
      <c r="H53" s="2019"/>
      <c r="I53" s="2256"/>
      <c r="J53" s="576">
        <v>2</v>
      </c>
      <c r="K53" s="3322" t="s">
        <v>877</v>
      </c>
      <c r="L53" s="3322"/>
      <c r="M53" s="2257">
        <f t="shared" ref="M53:O54" ca="1" si="0">D55</f>
        <v>0</v>
      </c>
      <c r="N53" s="576" t="str">
        <f t="shared" si="0"/>
        <v>销售额×税（费）率</v>
      </c>
      <c r="O53" s="2258">
        <f t="shared" si="0"/>
        <v>5.0000000000000001E-4</v>
      </c>
      <c r="P53" s="3198" t="s">
        <v>2872</v>
      </c>
      <c r="Q53" s="3198" t="s">
        <v>2873</v>
      </c>
      <c r="R53" s="3200" t="s">
        <v>2874</v>
      </c>
    </row>
    <row r="54" spans="1:35" ht="12" customHeight="1">
      <c r="A54" s="2225" t="s">
        <v>878</v>
      </c>
      <c r="B54" s="3323" t="s">
        <v>879</v>
      </c>
      <c r="C54" s="3324"/>
      <c r="D54" s="1904">
        <f ca="1">C68</f>
        <v>0</v>
      </c>
      <c r="E54" s="1918" t="s">
        <v>880</v>
      </c>
      <c r="F54" s="2226">
        <f>'数据-取费表'!B41</f>
        <v>5.5000000000000007E-2</v>
      </c>
      <c r="G54" s="2227"/>
      <c r="H54" s="2228"/>
      <c r="I54" s="2256"/>
      <c r="J54" s="576">
        <v>3</v>
      </c>
      <c r="K54" s="3322" t="s">
        <v>881</v>
      </c>
      <c r="L54" s="3322"/>
      <c r="M54" s="2257">
        <f t="shared" ca="1" si="0"/>
        <v>0</v>
      </c>
      <c r="N54" s="576" t="str">
        <f t="shared" si="0"/>
        <v>增值额×税（费）率</v>
      </c>
      <c r="O54" s="2259" t="str">
        <f t="shared" si="0"/>
        <v>——</v>
      </c>
      <c r="P54" s="3201">
        <f ca="1">ROUND(M49*Q50,4)</f>
        <v>0</v>
      </c>
      <c r="Q54" s="3201">
        <f ca="1">P54+N57+Q51</f>
        <v>0</v>
      </c>
      <c r="R54" s="3199"/>
    </row>
    <row r="55" spans="1:35" ht="24" customHeight="1">
      <c r="A55" s="3325" t="s">
        <v>882</v>
      </c>
      <c r="B55" s="3318"/>
      <c r="C55" s="3318"/>
      <c r="D55" s="2229">
        <f ca="1">IF(H55="个人住宅",0,ROUND(D45*I55,4))</f>
        <v>0</v>
      </c>
      <c r="E55" s="1908" t="s">
        <v>883</v>
      </c>
      <c r="F55" s="2226">
        <f>IF(H55="正常",I55,"免征")</f>
        <v>5.0000000000000001E-4</v>
      </c>
      <c r="G55" s="2227"/>
      <c r="H55" s="2217" t="s">
        <v>884</v>
      </c>
      <c r="I55" s="2260">
        <f>'数据-取费表'!B49</f>
        <v>5.0000000000000001E-4</v>
      </c>
      <c r="J55" s="576" t="str">
        <f>IF(H59="非个人房产","",4)</f>
        <v/>
      </c>
      <c r="K55" s="3322" t="str">
        <f>IF(H59="非个人房产","——","个人所得税")</f>
        <v>——</v>
      </c>
      <c r="L55" s="3322"/>
      <c r="M55" s="2261" t="str">
        <f>D59</f>
        <v>——</v>
      </c>
      <c r="N55" s="557" t="str">
        <f>E59</f>
        <v>——</v>
      </c>
      <c r="O55" s="2262" t="str">
        <f>F59</f>
        <v>——</v>
      </c>
      <c r="P55" s="3201">
        <f ca="1">ROUND(M49-P54,0)</f>
        <v>0</v>
      </c>
      <c r="Q55" s="3201">
        <f ca="1">ROUND(M49-Q54,0)</f>
        <v>0</v>
      </c>
      <c r="R55" s="3199"/>
    </row>
    <row r="56" spans="1:35" ht="25.2">
      <c r="A56" s="3325" t="s">
        <v>885</v>
      </c>
      <c r="B56" s="3318"/>
      <c r="C56" s="3318"/>
      <c r="D56" s="2005">
        <f ca="1">IF(H56="个人住宅",D57,D58)</f>
        <v>0</v>
      </c>
      <c r="E56" s="1908" t="s">
        <v>886</v>
      </c>
      <c r="F56" s="2226" t="str">
        <f>IF(H56="正常",F58,"免征")</f>
        <v>——</v>
      </c>
      <c r="G56" s="2230" t="s">
        <v>887</v>
      </c>
      <c r="H56" s="2231" t="s">
        <v>884</v>
      </c>
      <c r="I56" s="2239"/>
      <c r="J56" s="576" t="str">
        <f>IF(项目基本情况!K6="上海银行",IF(J55="",4,J55+1),"")</f>
        <v/>
      </c>
      <c r="K56" s="3329" t="str">
        <f>IF(项目基本情况!K6="上海银行","其他处置费用","")</f>
        <v/>
      </c>
      <c r="L56" s="3330"/>
      <c r="M56" s="2257" t="str">
        <f>IF(项目基本情况!K6="上海银行",M69,"")</f>
        <v/>
      </c>
      <c r="N56" s="3329" t="str">
        <f>IF(项目基本情况!K6="上海银行","包含处置中涉及的律师、诉讼、拍卖、评估等费用","")</f>
        <v/>
      </c>
      <c r="O56" s="3331"/>
      <c r="P56" s="3201" t="e">
        <f ca="1">ROUND(P55/B118*10000,0)</f>
        <v>#DIV/0!</v>
      </c>
      <c r="Q56" s="3201" t="e">
        <f ca="1">ROUND(Q55/B118*10000,0)</f>
        <v>#DIV/0!</v>
      </c>
      <c r="R56" s="3199"/>
    </row>
    <row r="57" spans="1:35" ht="13.2">
      <c r="A57" s="2225" t="s">
        <v>857</v>
      </c>
      <c r="B57" s="3323" t="s">
        <v>888</v>
      </c>
      <c r="C57" s="3324"/>
      <c r="D57" s="2218">
        <v>0</v>
      </c>
      <c r="E57" s="1914" t="s">
        <v>859</v>
      </c>
      <c r="F57" s="1855"/>
      <c r="G57" s="2227"/>
      <c r="H57" s="2232"/>
      <c r="I57" s="2239"/>
      <c r="J57" s="3322">
        <f>IF(AND(J55="",J56=""),4,IF(项目基本情况!K6="上海银行",结果表103!J56+1,结果表103!J55+1))</f>
        <v>4</v>
      </c>
      <c r="K57" s="3322" t="s">
        <v>889</v>
      </c>
      <c r="L57" s="2264" t="s">
        <v>890</v>
      </c>
      <c r="M57" s="2265"/>
      <c r="N57" s="2266">
        <f ca="1">SUMIF(M52:M56,"&lt;9e307")</f>
        <v>0</v>
      </c>
      <c r="O57" s="2267"/>
      <c r="P57" s="2268" t="e">
        <f ca="1">N57/M49</f>
        <v>#DIV/0!</v>
      </c>
    </row>
    <row r="58" spans="1:35" ht="25.2">
      <c r="A58" s="2225" t="s">
        <v>871</v>
      </c>
      <c r="B58" s="3323" t="s">
        <v>891</v>
      </c>
      <c r="C58" s="3320"/>
      <c r="D58" s="2005">
        <f ca="1">IF(H58="转让取得",C81,C97)</f>
        <v>0</v>
      </c>
      <c r="E58" s="1908" t="s">
        <v>886</v>
      </c>
      <c r="F58" s="1855" t="s">
        <v>124</v>
      </c>
      <c r="G58" s="2227"/>
      <c r="H58" s="2231" t="s">
        <v>892</v>
      </c>
      <c r="I58" s="2239"/>
      <c r="J58" s="3322"/>
      <c r="K58" s="3322"/>
      <c r="L58" s="2264" t="s">
        <v>893</v>
      </c>
      <c r="M58" s="2269"/>
      <c r="N58" s="2270" t="str">
        <f ca="1">NUMBERSTRING(INT(N57*10000),2)&amp;"元整"</f>
        <v>零元整</v>
      </c>
      <c r="O58" s="2271"/>
    </row>
    <row r="59" spans="1:35" ht="24.6" thickBot="1">
      <c r="A59" s="3332" t="s">
        <v>894</v>
      </c>
      <c r="B59" s="3333"/>
      <c r="C59" s="333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7">
        <f>J57+1</f>
        <v>5</v>
      </c>
      <c r="K59" s="3322" t="s">
        <v>896</v>
      </c>
      <c r="L59" s="576" t="s">
        <v>890</v>
      </c>
      <c r="M59" s="2273"/>
      <c r="N59" s="2274">
        <f ca="1">M49-N57</f>
        <v>0</v>
      </c>
      <c r="O59" s="2275"/>
    </row>
    <row r="60" spans="1:35" ht="12" customHeight="1">
      <c r="A60" s="2237"/>
      <c r="B60" s="1998"/>
      <c r="C60" s="1998"/>
      <c r="D60" s="1998"/>
      <c r="E60" s="2238"/>
      <c r="F60" s="2239"/>
      <c r="G60" s="2239"/>
      <c r="H60" s="1459"/>
      <c r="I60" s="1458"/>
      <c r="J60" s="3338"/>
      <c r="K60" s="3322"/>
      <c r="L60" s="2264" t="s">
        <v>893</v>
      </c>
      <c r="M60" s="2269"/>
      <c r="N60" s="2270" t="str">
        <f ca="1">NUMBERSTRING(INT(N59*10000),2)&amp;"元整"</f>
        <v>零元整</v>
      </c>
      <c r="O60" s="2271"/>
    </row>
    <row r="61" spans="1:35" ht="13.8" thickBot="1">
      <c r="A61" s="3334" t="s">
        <v>897</v>
      </c>
      <c r="B61" s="3334"/>
      <c r="C61" s="3334"/>
      <c r="D61" s="3334"/>
      <c r="E61" s="3334"/>
      <c r="F61" s="2239"/>
      <c r="G61" s="2239"/>
      <c r="H61" s="1459"/>
      <c r="I61" s="1458"/>
      <c r="J61" s="576">
        <f>J59+1</f>
        <v>6</v>
      </c>
      <c r="K61" s="3322" t="s">
        <v>898</v>
      </c>
      <c r="L61" s="3322"/>
      <c r="M61" s="2276"/>
      <c r="N61" s="2488">
        <f ca="1">ROUND(N59*10000/'数据-汇总表'!E3,0)</f>
        <v>0</v>
      </c>
      <c r="O61" s="2277"/>
    </row>
    <row r="62" spans="1:35" ht="13.2">
      <c r="A62" s="3335" t="s">
        <v>899</v>
      </c>
      <c r="B62" s="3336"/>
      <c r="C62" s="528"/>
      <c r="D62" s="528" t="s">
        <v>900</v>
      </c>
      <c r="E62" s="2240" t="s">
        <v>851</v>
      </c>
      <c r="F62" s="2239"/>
      <c r="G62" s="2239"/>
      <c r="H62" s="1459"/>
      <c r="I62" s="1458"/>
    </row>
    <row r="63" spans="1:35" ht="13.2">
      <c r="A63" s="2241" t="s">
        <v>901</v>
      </c>
      <c r="B63" s="586" t="s">
        <v>902</v>
      </c>
      <c r="C63" s="2242">
        <f ca="1">ROUND((C64+C65)/(1+'数据-取费表'!C42),4)</f>
        <v>0</v>
      </c>
      <c r="D63" s="586"/>
      <c r="E63" s="2243"/>
      <c r="F63" s="2239"/>
      <c r="G63" s="2239"/>
      <c r="H63" s="1459"/>
      <c r="I63" s="1458"/>
      <c r="J63" s="3321" t="s">
        <v>903</v>
      </c>
      <c r="K63" s="2278" t="s">
        <v>904</v>
      </c>
      <c r="L63" s="2278">
        <f ca="1">IF(M49&gt;10000,M49*0.5%,IF(AND(M49&gt;1000,M49&lt;=10000),M49*1%,IF(AND(M49&gt;100,M49&lt;=1000),M49*3%,IF(AND(M49&gt;10,M49&lt;=100),M49*5%,M49*8%))))</f>
        <v>0</v>
      </c>
      <c r="M63" s="1855">
        <f ca="1">ROUND(L63,1)</f>
        <v>0</v>
      </c>
      <c r="N63" s="2279"/>
      <c r="Z63" s="2113"/>
      <c r="AI63" s="2114"/>
    </row>
    <row r="64" spans="1:35" ht="14.25" customHeight="1">
      <c r="A64" s="2244" t="s">
        <v>905</v>
      </c>
      <c r="B64" s="509" t="s">
        <v>906</v>
      </c>
      <c r="C64" s="2245">
        <f ca="1">D45</f>
        <v>0</v>
      </c>
      <c r="D64" s="509" t="s">
        <v>124</v>
      </c>
      <c r="E64" s="2246"/>
      <c r="F64" s="2239"/>
      <c r="G64" s="2239"/>
      <c r="H64" s="1459"/>
      <c r="I64" s="1458"/>
      <c r="J64" s="3321"/>
      <c r="K64" s="2278" t="s">
        <v>907</v>
      </c>
      <c r="L64" s="2278" t="b">
        <f ca="1">IF(M49&gt;2000,M49*0.5%,IF(AND(M49&gt;1000,M49&lt;=2000),M49*0.6%,IF(AND(M49&gt;500,M49&lt;=1000),M49*0.7%,IF(AND(M49&gt;200,M49&lt;=500),M49*0.8%,IF(AND(M49&gt;100,M49&lt;=200),M49*0.9%,IF(AND(M49&gt;50,M49&lt;=100),M49*1%,IF(AND(M49&gt;20,M49&lt;=50),M49*1.5%,IF(AND(M49&gt;10,M49&lt;=20),M49*2%,IF(AND(M49&gt;1,M49&lt;=10),M49*2.5%)))))))))</f>
        <v>0</v>
      </c>
      <c r="M64" s="1855">
        <f t="shared" ref="M64:M65" ca="1" si="1">ROUND(L64,1)</f>
        <v>0</v>
      </c>
      <c r="N64" s="2019" t="s">
        <v>908</v>
      </c>
      <c r="Z64" s="2113"/>
      <c r="AI64" s="2114"/>
    </row>
    <row r="65" spans="1:35" ht="14.25" customHeight="1">
      <c r="A65" s="2244" t="s">
        <v>909</v>
      </c>
      <c r="B65" s="509" t="s">
        <v>910</v>
      </c>
      <c r="C65" s="2281"/>
      <c r="D65" s="509"/>
      <c r="E65" s="2246"/>
      <c r="F65" s="2239"/>
      <c r="G65" s="2239"/>
      <c r="H65" s="1459"/>
      <c r="I65" s="1458"/>
      <c r="J65" s="3321"/>
      <c r="K65" s="2278" t="s">
        <v>911</v>
      </c>
      <c r="L65" s="2278" t="b">
        <f ca="1">IF(M49&gt;1000,M49*0.1%,IF(AND(M49&gt;500,M49&lt;=1000),M49*0.5%,IF(AND(M49&gt;50,M49&lt;=500),M49*1%,IF(AND(M49&gt;1,M49&lt;=50),M49*1.5%))))</f>
        <v>0</v>
      </c>
      <c r="M65" s="1855">
        <f t="shared" ca="1" si="1"/>
        <v>0</v>
      </c>
      <c r="N65" s="2019" t="s">
        <v>908</v>
      </c>
      <c r="Z65" s="2113"/>
      <c r="AI65" s="2114"/>
    </row>
    <row r="66" spans="1:35" ht="14.25" customHeight="1">
      <c r="A66" s="2241" t="s">
        <v>912</v>
      </c>
      <c r="B66" s="2282" t="s">
        <v>913</v>
      </c>
      <c r="C66" s="2283">
        <f>1133.26/1.05</f>
        <v>1079.2952380952381</v>
      </c>
      <c r="D66" s="2282" t="s">
        <v>124</v>
      </c>
      <c r="E66" s="2284" t="s">
        <v>914</v>
      </c>
      <c r="F66" s="2239"/>
      <c r="G66" s="2239"/>
      <c r="H66" s="1459"/>
      <c r="I66" s="1458"/>
      <c r="J66" s="3321"/>
      <c r="K66" s="2278" t="s">
        <v>915</v>
      </c>
      <c r="L66" s="2278">
        <f ca="1">M49*0.5%</f>
        <v>0</v>
      </c>
      <c r="M66" s="1855">
        <f ca="1">IF(L66&gt;0.5,0.5,ROUND(L66,0))</f>
        <v>0</v>
      </c>
      <c r="N66" s="2019" t="s">
        <v>916</v>
      </c>
      <c r="Z66" s="2113"/>
      <c r="AI66" s="2114"/>
    </row>
    <row r="67" spans="1:35" ht="14.25" customHeight="1">
      <c r="A67" s="2241" t="s">
        <v>917</v>
      </c>
      <c r="B67" s="2282" t="s">
        <v>918</v>
      </c>
      <c r="C67" s="2285">
        <f ca="1">C63-C66</f>
        <v>-1079.2952380952381</v>
      </c>
      <c r="D67" s="509" t="s">
        <v>124</v>
      </c>
      <c r="E67" s="2246"/>
      <c r="F67" s="2239"/>
      <c r="G67" s="2239"/>
      <c r="H67" s="1459"/>
      <c r="I67" s="1458"/>
      <c r="J67" s="3321"/>
      <c r="K67" s="2278" t="s">
        <v>919</v>
      </c>
      <c r="L67" s="2278" t="b">
        <f ca="1">IF(M49&gt;=10000,(8.25+(M49-10000)*0.01%),IF(AND(M49&gt;=8000,M49&lt;10000),(7.85+(M49-8000)*0.02%),IF(AND(M49&gt;=5000,M49&lt;8000),(6.65+(M49-5000)*0.04%),IF(AND(M49&gt;=2000,M49&lt;5000),(4.25+(PM49-2000)*0.08%),IF(AND(M49&gt;=1000,M49&lt;2000),(2.75+(M49-1000)*0.15%),IF(AND(M49&gt;=100,M49&lt;1000),(0.5+(M49-100)*0.25%),IF(AND(M49&gt;0,M49&lt;100),M49*0.5%)))))))</f>
        <v>0</v>
      </c>
      <c r="M67" s="1855">
        <f ca="1">ROUND(L67*0.9,1)</f>
        <v>0</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1"/>
      <c r="K68" s="2278" t="s">
        <v>922</v>
      </c>
      <c r="L68" s="2278">
        <f ca="1">IF(M49&gt;10000,M49*0.5%,IF(AND(M49&gt;5000,M49&lt;=10000),M49*1%,IF(AND(M49&gt;1000,M49&lt;=5000),M49*2%,IF(AND(M49&gt;200,M49&lt;=1000),M49*3%,M49*5%))))</f>
        <v>0</v>
      </c>
      <c r="M68" s="1855">
        <f ca="1">ROUND(L68,1)</f>
        <v>0</v>
      </c>
      <c r="N68" s="2279"/>
      <c r="Z68" s="2113"/>
      <c r="AI68" s="2114"/>
    </row>
    <row r="69" spans="1:35" ht="16.5" customHeight="1">
      <c r="A69" s="2290"/>
      <c r="B69" s="2291"/>
      <c r="C69" s="2292"/>
      <c r="D69" s="693"/>
      <c r="E69" s="2293"/>
      <c r="F69" s="2238"/>
      <c r="G69" s="2238"/>
      <c r="H69" s="2198"/>
      <c r="I69" s="1998"/>
      <c r="J69" s="3321"/>
      <c r="K69" s="2278" t="s">
        <v>923</v>
      </c>
      <c r="L69" s="2278"/>
      <c r="M69" s="1855">
        <f ca="1">ROUND(SUM(M63:M68),0)</f>
        <v>0</v>
      </c>
      <c r="N69" s="2358" t="e">
        <f ca="1">M69/M49</f>
        <v>#DIV/0!</v>
      </c>
      <c r="Z69" s="2113"/>
      <c r="AI69" s="2114"/>
    </row>
    <row r="70" spans="1:35" s="886" customFormat="1" ht="14.4" thickBot="1">
      <c r="A70" s="3359" t="s">
        <v>924</v>
      </c>
      <c r="B70" s="3360"/>
      <c r="C70" s="3360"/>
      <c r="D70" s="3360"/>
      <c r="E70" s="3360"/>
      <c r="F70" s="3360"/>
      <c r="G70" s="3360"/>
      <c r="H70" s="336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5" t="s">
        <v>899</v>
      </c>
      <c r="B71" s="3336"/>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1329.075</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1329.075</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1079.2952380952381</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269.82380000000001</v>
      </c>
      <c r="D76" s="2304">
        <v>0.05</v>
      </c>
      <c r="E76" s="3323" t="s">
        <v>935</v>
      </c>
      <c r="F76" s="3320"/>
      <c r="G76" s="3320"/>
      <c r="H76" s="3361"/>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31.350999999999999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v>
      </c>
      <c r="D78" s="2310">
        <f>'数据-取费表'!B43</f>
        <v>5.000000000000001E-3</v>
      </c>
      <c r="E78" s="3362" t="s">
        <v>941</v>
      </c>
      <c r="F78" s="3363"/>
      <c r="G78" s="3363"/>
      <c r="H78" s="336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-1329.075</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9" t="s">
        <v>946</v>
      </c>
      <c r="B83" s="3360"/>
      <c r="C83" s="3360"/>
      <c r="D83" s="3360"/>
      <c r="E83" s="3360"/>
      <c r="F83" s="3360"/>
      <c r="G83" s="3360"/>
      <c r="H83" s="336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5" t="s">
        <v>899</v>
      </c>
      <c r="B84" s="3336"/>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1" t="s">
        <v>954</v>
      </c>
      <c r="H90" s="3372"/>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2" t="s">
        <v>958</v>
      </c>
      <c r="F91" s="3363"/>
      <c r="G91" s="336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2" t="s">
        <v>961</v>
      </c>
      <c r="F92" s="3363"/>
      <c r="G92" s="3363"/>
      <c r="H92" s="336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0</v>
      </c>
      <c r="D93" s="2310">
        <f>'数据-取费表'!B43</f>
        <v>5.000000000000001E-3</v>
      </c>
      <c r="E93" s="3362" t="s">
        <v>941</v>
      </c>
      <c r="F93" s="3363"/>
      <c r="G93" s="3363"/>
      <c r="H93" s="336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4" t="s">
        <v>966</v>
      </c>
      <c r="F94" s="3385"/>
      <c r="G94" s="3385"/>
      <c r="H94" s="338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0</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0</v>
      </c>
      <c r="D96" s="509" t="s">
        <v>124</v>
      </c>
      <c r="E96" s="2005" t="str">
        <f ca="1">IF(C96&gt;=200%,"增值额超过扣除项目金额200%",IF(C96&gt;=100%,"增值额超过扣除项目金额100%，未超过200%",IF(C96&gt;=50%,"增值额超过扣除项目金额50%，未超过100%",IF(C96&lt;50%,"增值额未超过扣除项目金额50%"))))</f>
        <v>增值额未超过扣除项目金额50%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0</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5" t="s">
        <v>968</v>
      </c>
      <c r="B100" s="3286"/>
      <c r="C100" s="3286"/>
      <c r="D100" s="3347"/>
      <c r="E100" s="3286" t="s">
        <v>969</v>
      </c>
      <c r="F100" s="3286"/>
      <c r="G100" s="3286"/>
      <c r="H100" s="3347"/>
      <c r="I100" s="1458"/>
    </row>
    <row r="101" spans="1:35" ht="18.75" customHeight="1">
      <c r="A101" s="3348" t="s">
        <v>970</v>
      </c>
      <c r="B101" s="3349"/>
      <c r="C101" s="2334" t="str">
        <f>C4</f>
        <v>比较法-商业2</v>
      </c>
      <c r="D101" s="2335" t="str">
        <f>D4</f>
        <v>收益法2</v>
      </c>
      <c r="E101" s="3370" t="s">
        <v>971</v>
      </c>
      <c r="F101" s="3366"/>
      <c r="G101" s="2337" t="s">
        <v>972</v>
      </c>
      <c r="H101" s="2338">
        <f ca="1">H118</f>
        <v>0</v>
      </c>
      <c r="I101" s="1458"/>
    </row>
    <row r="102" spans="1:35" ht="18.75" customHeight="1">
      <c r="A102" s="3379" t="s">
        <v>973</v>
      </c>
      <c r="B102" s="2339" t="s">
        <v>972</v>
      </c>
      <c r="C102" s="2334">
        <f ca="1">IF(D32="楼面单价",ROUND(C19,0),C19)</f>
        <v>112</v>
      </c>
      <c r="D102" s="2335">
        <f ca="1">IF(D32="楼面单价",ROUND(D19,0),D19)</f>
        <v>87</v>
      </c>
      <c r="E102" s="3370"/>
      <c r="F102" s="3366"/>
      <c r="G102" s="2337" t="s">
        <v>99</v>
      </c>
      <c r="H102" s="2227">
        <f ca="1">I118</f>
        <v>33246</v>
      </c>
      <c r="I102" s="1458"/>
    </row>
    <row r="103" spans="1:35" ht="42.75" customHeight="1">
      <c r="A103" s="3379"/>
      <c r="B103" s="2339" t="s">
        <v>99</v>
      </c>
      <c r="C103" s="2340">
        <f ca="1">C20</f>
        <v>36468</v>
      </c>
      <c r="D103" s="2341">
        <f ca="1">D20</f>
        <v>28414</v>
      </c>
      <c r="E103" s="3350" t="s">
        <v>974</v>
      </c>
      <c r="F103" s="3351"/>
      <c r="G103" s="2342" t="s">
        <v>102</v>
      </c>
      <c r="H103" s="2338">
        <f>IF(D36="正常操作",H104+H105+H106,H105+H106)</f>
        <v>0</v>
      </c>
      <c r="I103" s="1458"/>
    </row>
    <row r="104" spans="1:35" ht="18.75" customHeight="1">
      <c r="A104" s="3379" t="s">
        <v>975</v>
      </c>
      <c r="B104" s="2343" t="s">
        <v>972</v>
      </c>
      <c r="C104" s="2344">
        <f ca="1">H118</f>
        <v>0</v>
      </c>
      <c r="D104" s="2345"/>
      <c r="E104" s="2183" t="s">
        <v>976</v>
      </c>
      <c r="F104" s="2346"/>
      <c r="G104" s="2342" t="s">
        <v>102</v>
      </c>
      <c r="H104" s="2347">
        <f>IF(D36="同一抵押权人同一抵押物续贷",C36&amp;"（续贷，未扣减，详见特别提示）",C36)</f>
        <v>0</v>
      </c>
      <c r="I104" s="1458"/>
    </row>
    <row r="105" spans="1:35" ht="18.75" customHeight="1" thickBot="1">
      <c r="A105" s="3380"/>
      <c r="B105" s="2348" t="s">
        <v>99</v>
      </c>
      <c r="C105" s="2349">
        <f ca="1">I118</f>
        <v>33246</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5" t="str">
        <f>IF(项目基本情况!E8="已注销","——","3.房地产抵押价值")</f>
        <v>3.房地产抵押价值</v>
      </c>
      <c r="F107" s="3366"/>
      <c r="G107" s="2337" t="s">
        <v>972</v>
      </c>
      <c r="H107" s="2338">
        <f ca="1">IF(E107="——","——",H101-H103)</f>
        <v>0</v>
      </c>
      <c r="I107" s="1458"/>
    </row>
    <row r="108" spans="1:35" ht="18.75" customHeight="1">
      <c r="A108" s="1458"/>
      <c r="B108" s="1458"/>
      <c r="C108" s="1458"/>
      <c r="D108" s="1458"/>
      <c r="E108" s="3365"/>
      <c r="F108" s="3366"/>
      <c r="G108" s="2337" t="s">
        <v>99</v>
      </c>
      <c r="H108" s="2227">
        <f ca="1">IF(H107=H101,H102,ROUND(H107*10000/'数据-汇总表'!E3,0))</f>
        <v>33246</v>
      </c>
      <c r="I108" s="1458"/>
    </row>
    <row r="109" spans="1:35" ht="18.75" customHeight="1">
      <c r="A109" s="1458"/>
      <c r="B109" s="1458"/>
      <c r="C109" s="1458"/>
      <c r="D109" s="1458"/>
      <c r="E109" s="3365" t="str">
        <f>IF(项目基本情况!E8="已注销及未注销","4.抵押担保权已注销时的房地产抵押价值",IF(项目基本情况!E8="已注销","3.抵押担保权已注销时的房地产抵押价值","——"))</f>
        <v>——</v>
      </c>
      <c r="F109" s="3366"/>
      <c r="G109" s="2337" t="s">
        <v>972</v>
      </c>
      <c r="H109" s="2353" t="str">
        <f>IF(E109="——","——",H101-H105-H106)</f>
        <v>——</v>
      </c>
      <c r="I109" s="1458"/>
    </row>
    <row r="110" spans="1:35" ht="18.75" customHeight="1">
      <c r="A110" s="1458"/>
      <c r="B110" s="1458"/>
      <c r="C110" s="1458"/>
      <c r="D110" s="1458"/>
      <c r="E110" s="3365"/>
      <c r="F110" s="3366"/>
      <c r="G110" s="2337" t="s">
        <v>99</v>
      </c>
      <c r="H110" s="2227" t="str">
        <f>IF(H109="——","——",ROUND(H109*10000/'数据-汇总表'!E3,0))</f>
        <v>——</v>
      </c>
      <c r="I110" s="1458"/>
    </row>
    <row r="111" spans="1:35" ht="18.75" customHeight="1">
      <c r="A111" s="1458"/>
      <c r="B111" s="1458"/>
      <c r="C111" s="1458"/>
      <c r="D111" s="1458"/>
      <c r="E111" s="3367" t="str">
        <f>IF(项目基本情况!E9="抵押净值",IF(OR(项目基本情况!E8="已注销",项目基本情况!E8="房地产抵押价值"),"4.抵押净值","5.抵押净值"),"——")</f>
        <v>——</v>
      </c>
      <c r="F111" s="3339"/>
      <c r="G111" s="2337" t="s">
        <v>972</v>
      </c>
      <c r="H111" s="2338" t="str">
        <f>IF(E111="——","——",N59)</f>
        <v>——</v>
      </c>
      <c r="I111" s="1458"/>
    </row>
    <row r="112" spans="1:35" ht="18.75" customHeight="1" thickBot="1">
      <c r="A112" s="1458"/>
      <c r="B112" s="1458"/>
      <c r="C112" s="1458"/>
      <c r="D112" s="1458"/>
      <c r="E112" s="3368"/>
      <c r="F112" s="3369"/>
      <c r="G112" s="2354" t="s">
        <v>99</v>
      </c>
      <c r="H112" s="2355" t="str">
        <f>IF(E111="——","——",N61)</f>
        <v>——</v>
      </c>
      <c r="I112" s="1458"/>
    </row>
    <row r="113" spans="1:27" ht="18.75" customHeight="1">
      <c r="A113" s="1458"/>
      <c r="B113" s="1458"/>
      <c r="C113" s="1458"/>
      <c r="D113" s="1458"/>
      <c r="E113" s="3352" t="s">
        <v>978</v>
      </c>
      <c r="F113" s="3352"/>
      <c r="G113" s="3352"/>
      <c r="H113" s="3352"/>
      <c r="I113" s="1458"/>
    </row>
    <row r="114" spans="1:27" ht="3.75" customHeight="1">
      <c r="A114" s="1998"/>
      <c r="B114" s="1998"/>
      <c r="C114" s="1998"/>
      <c r="D114" s="1998"/>
      <c r="E114" s="2237"/>
      <c r="F114" s="2237"/>
      <c r="G114" s="2237"/>
      <c r="H114" s="2237"/>
      <c r="I114" s="1998"/>
    </row>
    <row r="115" spans="1:27" ht="18.75" customHeight="1">
      <c r="A115" s="3353" t="s">
        <v>980</v>
      </c>
      <c r="B115" s="3354"/>
      <c r="C115" s="3354"/>
      <c r="D115" s="3354"/>
      <c r="E115" s="3354"/>
      <c r="F115" s="3354"/>
      <c r="G115" s="3354"/>
      <c r="H115" s="3354"/>
      <c r="I115" s="3355"/>
    </row>
    <row r="116" spans="1:27" ht="27" customHeight="1">
      <c r="A116" s="3343" t="s">
        <v>981</v>
      </c>
      <c r="B116" s="3382" t="s">
        <v>982</v>
      </c>
      <c r="C116" s="3382" t="s">
        <v>983</v>
      </c>
      <c r="D116" s="3356" t="s">
        <v>984</v>
      </c>
      <c r="E116" s="3357"/>
      <c r="F116" s="3358" t="s">
        <v>985</v>
      </c>
      <c r="G116" s="3358"/>
      <c r="H116" s="3343" t="s">
        <v>986</v>
      </c>
      <c r="I116" s="3343"/>
    </row>
    <row r="117" spans="1:27" ht="18.75" customHeight="1">
      <c r="A117" s="3343"/>
      <c r="B117" s="3383"/>
      <c r="C117" s="3383"/>
      <c r="D117" s="868" t="s">
        <v>987</v>
      </c>
      <c r="E117" s="868" t="s">
        <v>810</v>
      </c>
      <c r="F117" s="868" t="s">
        <v>987</v>
      </c>
      <c r="G117" s="868" t="s">
        <v>810</v>
      </c>
      <c r="H117" s="868" t="s">
        <v>987</v>
      </c>
      <c r="I117" s="868" t="s">
        <v>810</v>
      </c>
    </row>
    <row r="118" spans="1:27" ht="24.75" customHeight="1">
      <c r="A118" s="2356" t="str">
        <f>项目基本情况!S2</f>
        <v>北京市房地产</v>
      </c>
      <c r="B118" s="868">
        <f>M18</f>
        <v>0</v>
      </c>
      <c r="C118" s="868">
        <f>M19</f>
        <v>0</v>
      </c>
      <c r="D118" s="868">
        <f ca="1">ROUND(IF(D32="总价",C34,E118*B118/10000),0)</f>
        <v>0</v>
      </c>
      <c r="E118" s="868">
        <f ca="1">ROUND(IF(C33="自定义",IF(D32="楼面单价",C34,D118*10000/B118),I118-G118),0)</f>
        <v>27295</v>
      </c>
      <c r="F118" s="868">
        <f ca="1">ROUND(IF(D32="总价",C35,G118*B118/10000),0)</f>
        <v>0</v>
      </c>
      <c r="G118" s="868">
        <f ca="1">ROUND(IF(D32="楼面单价",C35,F118*10000/B118),0)</f>
        <v>5951</v>
      </c>
      <c r="H118" s="2357">
        <f ca="1">ROUND(IF(D32="总价",C32,I118*B118/10000),0)</f>
        <v>0</v>
      </c>
      <c r="I118" s="868">
        <f ca="1">ROUND(IF(D32="楼面单价",C32,H118*10000/B118),0)</f>
        <v>33246</v>
      </c>
    </row>
    <row r="119" spans="1:27" ht="18.75" customHeight="1">
      <c r="A119" s="3343" t="s">
        <v>988</v>
      </c>
      <c r="B119" s="3343"/>
      <c r="C119" s="3343"/>
      <c r="D119" s="3344" t="str">
        <f ca="1">NUMBERSTRING(INT(D118*10000),2)&amp;"元整"</f>
        <v>零元整</v>
      </c>
      <c r="E119" s="3346"/>
      <c r="F119" s="3344" t="str">
        <f ca="1">NUMBERSTRING(INT(F118*10000),2)&amp;"元整"</f>
        <v>零元整</v>
      </c>
      <c r="G119" s="3346"/>
      <c r="H119" s="3344" t="str">
        <f ca="1">NUMBERSTRING(INT(H118*10000),2)&amp;"元整"</f>
        <v>零元整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4" t="s">
        <v>988</v>
      </c>
      <c r="B121" s="3345"/>
      <c r="C121" s="3346"/>
      <c r="D121" s="3344" t="str">
        <f>IF(D120=0,"零元整",NUMBERSTRING(INT(D120*10000),2)&amp;"元整")</f>
        <v>零元整</v>
      </c>
      <c r="E121" s="3345"/>
      <c r="F121" s="3345"/>
      <c r="G121" s="3345"/>
      <c r="H121" s="3345"/>
      <c r="I121" s="3346"/>
      <c r="AA121" s="1417"/>
    </row>
    <row r="122" spans="1:27" ht="18.75" customHeight="1">
      <c r="A122" s="3339" t="str">
        <f>IF(项目基本情况!B9="房地产市场价值","",MID(E107,3,LEN(E107)-2))</f>
        <v>房地产抵押价值</v>
      </c>
      <c r="B122" s="3339"/>
      <c r="C122" s="3339"/>
      <c r="D122" s="3340">
        <f ca="1">H107</f>
        <v>0</v>
      </c>
      <c r="E122" s="3341"/>
      <c r="F122" s="3341"/>
      <c r="G122" s="3341"/>
      <c r="H122" s="3341"/>
      <c r="I122" s="3342"/>
      <c r="AA122" s="1417"/>
    </row>
    <row r="123" spans="1:27" ht="18.75" customHeight="1">
      <c r="A123" s="3343" t="s">
        <v>988</v>
      </c>
      <c r="B123" s="3343"/>
      <c r="C123" s="3343"/>
      <c r="D123" s="3344" t="str">
        <f ca="1">NUMBERSTRING(INT(D122*10000),2)&amp;"元整"</f>
        <v>零元整</v>
      </c>
      <c r="E123" s="3345"/>
      <c r="F123" s="3345"/>
      <c r="G123" s="3345"/>
      <c r="H123" s="3345"/>
      <c r="I123" s="3346"/>
      <c r="AA123" s="1417"/>
    </row>
    <row r="124" spans="1:27" ht="18.75" customHeight="1">
      <c r="A124" s="3339" t="str">
        <f>IF(项目基本情况!B9="房地产市场价值","",MID(E109,3,LEN(E109)-2))</f>
        <v/>
      </c>
      <c r="B124" s="3339"/>
      <c r="C124" s="3339"/>
      <c r="D124" s="3340" t="str">
        <f>H109</f>
        <v>——</v>
      </c>
      <c r="E124" s="3341"/>
      <c r="F124" s="3341"/>
      <c r="G124" s="3341"/>
      <c r="H124" s="3341"/>
      <c r="I124" s="3342"/>
      <c r="AA124" s="1417"/>
    </row>
    <row r="125" spans="1:27" ht="18.75" customHeight="1">
      <c r="A125" s="3343" t="s">
        <v>988</v>
      </c>
      <c r="B125" s="3343"/>
      <c r="C125" s="3343"/>
      <c r="D125" s="3344" t="e">
        <f>NUMBERSTRING(INT(D124*10000),2)&amp;"元整"</f>
        <v>#VALUE!</v>
      </c>
      <c r="E125" s="3345"/>
      <c r="F125" s="3345"/>
      <c r="G125" s="3345"/>
      <c r="H125" s="3345"/>
      <c r="I125" s="3346"/>
      <c r="AA125" s="1417"/>
    </row>
    <row r="126" spans="1:27" ht="18.75" customHeight="1">
      <c r="A126" s="3339" t="str">
        <f>IF(项目基本情况!B9="房地产市场价值","",MID(E111,3,LEN(E111)-2))</f>
        <v/>
      </c>
      <c r="B126" s="3339"/>
      <c r="C126" s="3339"/>
      <c r="D126" s="3340" t="str">
        <f>H111</f>
        <v>——</v>
      </c>
      <c r="E126" s="3341"/>
      <c r="F126" s="3341"/>
      <c r="G126" s="3341"/>
      <c r="H126" s="3341"/>
      <c r="I126" s="3342"/>
      <c r="AA126" s="1417"/>
    </row>
    <row r="127" spans="1:27" ht="18.75" customHeight="1">
      <c r="A127" s="3343" t="s">
        <v>988</v>
      </c>
      <c r="B127" s="3343"/>
      <c r="C127" s="3343"/>
      <c r="D127" s="3344" t="e">
        <f>NUMBERSTRING(INT(D126*10000),2)&amp;"元整"</f>
        <v>#VALUE!</v>
      </c>
      <c r="E127" s="3345"/>
      <c r="F127" s="3345"/>
      <c r="G127" s="3345"/>
      <c r="H127" s="3345"/>
      <c r="I127" s="3346"/>
      <c r="AA127" s="1417"/>
    </row>
    <row r="128" spans="1:27" ht="21.75" customHeight="1">
      <c r="A128" s="3373" t="s">
        <v>113</v>
      </c>
      <c r="B128" s="3373"/>
      <c r="C128" s="3373"/>
      <c r="D128" s="3373"/>
      <c r="E128" s="3373"/>
      <c r="F128" s="3373"/>
      <c r="G128" s="3373"/>
      <c r="H128" s="3373"/>
      <c r="I128" s="3373"/>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8" zoomScaleNormal="70" zoomScaleSheetLayoutView="100" workbookViewId="0">
      <selection activeCell="E130" sqref="E130"/>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103</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111.6285</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36468</v>
      </c>
      <c r="C3" s="1273" t="s">
        <v>1345</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11" t="s">
        <v>1349</v>
      </c>
      <c r="AC4" s="3449" t="s">
        <v>1350</v>
      </c>
    </row>
    <row r="5" spans="1:29" ht="13.95" customHeight="1">
      <c r="A5" s="922"/>
      <c r="B5" s="923"/>
      <c r="C5" s="3443" t="s">
        <v>1575</v>
      </c>
      <c r="D5" s="3400"/>
      <c r="E5" s="3444" t="s">
        <v>2846</v>
      </c>
      <c r="F5" s="3445"/>
      <c r="G5" s="3399" t="s">
        <v>2847</v>
      </c>
      <c r="H5" s="3400"/>
      <c r="I5" s="3399" t="s">
        <v>2848</v>
      </c>
      <c r="J5" s="3400"/>
      <c r="K5" s="1064"/>
      <c r="L5" s="1065"/>
      <c r="M5" s="1015"/>
      <c r="N5" s="1015"/>
      <c r="O5" s="1015"/>
      <c r="P5" s="3452"/>
      <c r="Q5" s="3433"/>
      <c r="R5" s="3438"/>
      <c r="S5" s="3439"/>
      <c r="T5" s="3438"/>
      <c r="U5" s="3439"/>
      <c r="V5" s="3411"/>
      <c r="W5" s="3411"/>
      <c r="X5" s="1113"/>
      <c r="Y5" s="3438"/>
      <c r="Z5" s="3439"/>
      <c r="AA5" s="3425"/>
      <c r="AB5" s="3411"/>
      <c r="AC5" s="3425"/>
    </row>
    <row r="6" spans="1:29" ht="15" thickBot="1">
      <c r="A6" s="924"/>
      <c r="B6" s="925"/>
      <c r="C6" s="3401" t="s">
        <v>1354</v>
      </c>
      <c r="D6" s="3402"/>
      <c r="E6" s="3403" t="s">
        <v>2796</v>
      </c>
      <c r="F6" s="3404"/>
      <c r="G6" s="3401" t="s">
        <v>2796</v>
      </c>
      <c r="H6" s="3402"/>
      <c r="I6" s="3401" t="s">
        <v>2796</v>
      </c>
      <c r="J6" s="3402"/>
      <c r="K6" s="1064" t="s">
        <v>1355</v>
      </c>
      <c r="L6" s="1065"/>
      <c r="M6" s="1015"/>
      <c r="N6" s="1015"/>
      <c r="O6" s="1015"/>
      <c r="P6" s="3453"/>
      <c r="Q6" s="3435"/>
      <c r="R6" s="3438"/>
      <c r="S6" s="3439"/>
      <c r="T6" s="3440"/>
      <c r="U6" s="3441"/>
      <c r="V6" s="3411"/>
      <c r="W6" s="3411"/>
      <c r="X6" s="1113"/>
      <c r="Y6" s="3440"/>
      <c r="Z6" s="3441"/>
      <c r="AA6" s="3426"/>
      <c r="AB6" s="3411"/>
      <c r="AC6" s="3426"/>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7" t="s">
        <v>1357</v>
      </c>
      <c r="Q7" s="3406"/>
      <c r="R7" s="1114" t="s">
        <v>1358</v>
      </c>
      <c r="S7" s="1115">
        <f t="shared" ref="S7:S15" si="0">F7</f>
        <v>100</v>
      </c>
      <c r="T7" s="1114" t="s">
        <v>1358</v>
      </c>
      <c r="U7" s="1115">
        <f t="shared" ref="U7:U15" si="1">H7</f>
        <v>100</v>
      </c>
      <c r="V7" s="1114" t="s">
        <v>1358</v>
      </c>
      <c r="W7" s="1115">
        <f t="shared" ref="W7:W15" si="2">J7</f>
        <v>100</v>
      </c>
      <c r="X7" s="1116"/>
      <c r="Y7" s="3407" t="s">
        <v>1357</v>
      </c>
      <c r="Z7" s="3408"/>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7" t="s">
        <v>1361</v>
      </c>
      <c r="Q8" s="3408"/>
      <c r="R8" s="1114" t="s">
        <v>1358</v>
      </c>
      <c r="S8" s="1115">
        <f t="shared" si="0"/>
        <v>102</v>
      </c>
      <c r="T8" s="1114" t="s">
        <v>1358</v>
      </c>
      <c r="U8" s="1115">
        <f t="shared" si="1"/>
        <v>102</v>
      </c>
      <c r="V8" s="1114" t="s">
        <v>1358</v>
      </c>
      <c r="W8" s="1115">
        <f t="shared" si="2"/>
        <v>102</v>
      </c>
      <c r="X8" s="1116"/>
      <c r="Y8" s="3407" t="s">
        <v>1361</v>
      </c>
      <c r="Z8" s="3408"/>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9"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09"/>
      <c r="Q10" s="790" t="str">
        <f t="shared" si="6"/>
        <v>土地使用年限（年）</v>
      </c>
      <c r="R10" s="1114" t="s">
        <v>1358</v>
      </c>
      <c r="S10" s="1115">
        <f t="shared" si="0"/>
        <v>95</v>
      </c>
      <c r="T10" s="1114" t="s">
        <v>1358</v>
      </c>
      <c r="U10" s="1115">
        <f t="shared" si="1"/>
        <v>95</v>
      </c>
      <c r="V10" s="1114" t="s">
        <v>1358</v>
      </c>
      <c r="W10" s="1115">
        <f t="shared" si="2"/>
        <v>100</v>
      </c>
      <c r="X10" s="1116"/>
      <c r="Y10" s="3381"/>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9"/>
      <c r="Q11" s="790" t="str">
        <f t="shared" si="6"/>
        <v>容积率</v>
      </c>
      <c r="R11" s="1114" t="s">
        <v>1358</v>
      </c>
      <c r="S11" s="1115">
        <f t="shared" si="0"/>
        <v>100</v>
      </c>
      <c r="T11" s="1114" t="s">
        <v>1358</v>
      </c>
      <c r="U11" s="1115">
        <f t="shared" si="1"/>
        <v>100</v>
      </c>
      <c r="V11" s="1114" t="s">
        <v>1358</v>
      </c>
      <c r="W11" s="1115">
        <f t="shared" si="2"/>
        <v>100</v>
      </c>
      <c r="X11" s="1116"/>
      <c r="Y11" s="3381"/>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9"/>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2" t="s">
        <v>1370</v>
      </c>
      <c r="Q15" s="621" t="str">
        <f t="shared" si="6"/>
        <v>商业繁华度</v>
      </c>
      <c r="R15" s="1118" t="s">
        <v>1358</v>
      </c>
      <c r="S15" s="1119">
        <f t="shared" si="0"/>
        <v>100</v>
      </c>
      <c r="T15" s="1118" t="s">
        <v>1358</v>
      </c>
      <c r="U15" s="1119">
        <f t="shared" si="1"/>
        <v>100</v>
      </c>
      <c r="V15" s="1118" t="s">
        <v>1358</v>
      </c>
      <c r="W15" s="1119">
        <f t="shared" si="2"/>
        <v>100</v>
      </c>
      <c r="X15" s="1113"/>
      <c r="Y15" s="3417"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3"/>
      <c r="Q16" s="621"/>
      <c r="R16" s="1118"/>
      <c r="S16" s="1119"/>
      <c r="T16" s="1118"/>
      <c r="U16" s="1119"/>
      <c r="V16" s="1118"/>
      <c r="W16" s="1119"/>
      <c r="X16" s="1113"/>
      <c r="Y16" s="3418"/>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3"/>
      <c r="Q17" s="621" t="str">
        <f>B17</f>
        <v>交通便捷度</v>
      </c>
      <c r="R17" s="1118" t="s">
        <v>1358</v>
      </c>
      <c r="S17" s="1119">
        <f>F17</f>
        <v>102</v>
      </c>
      <c r="T17" s="1118" t="s">
        <v>1358</v>
      </c>
      <c r="U17" s="1119">
        <f>H17</f>
        <v>102</v>
      </c>
      <c r="V17" s="1118" t="s">
        <v>1358</v>
      </c>
      <c r="W17" s="1119">
        <f>J17</f>
        <v>102</v>
      </c>
      <c r="X17" s="1113"/>
      <c r="Y17" s="3418"/>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3"/>
      <c r="Q18" s="621"/>
      <c r="R18" s="1118"/>
      <c r="S18" s="1119"/>
      <c r="T18" s="1118"/>
      <c r="U18" s="1119"/>
      <c r="V18" s="1118"/>
      <c r="W18" s="1119"/>
      <c r="X18" s="1113"/>
      <c r="Y18" s="3418"/>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3"/>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3"/>
      <c r="Q20" s="621"/>
      <c r="R20" s="1118"/>
      <c r="S20" s="1119"/>
      <c r="T20" s="1118"/>
      <c r="U20" s="1119"/>
      <c r="V20" s="1118"/>
      <c r="W20" s="1119"/>
      <c r="X20" s="1113"/>
      <c r="Y20" s="3418"/>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3"/>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3"/>
      <c r="Q22" s="621"/>
      <c r="R22" s="1118"/>
      <c r="S22" s="1119"/>
      <c r="T22" s="1118"/>
      <c r="U22" s="1119"/>
      <c r="V22" s="1118"/>
      <c r="W22" s="1119"/>
      <c r="X22" s="1113"/>
      <c r="Y22" s="3418"/>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3"/>
      <c r="Q23" s="621" t="str">
        <f>B23</f>
        <v>自然及人文环境</v>
      </c>
      <c r="R23" s="1118" t="s">
        <v>1358</v>
      </c>
      <c r="S23" s="1119">
        <f>F23</f>
        <v>100</v>
      </c>
      <c r="T23" s="1118" t="s">
        <v>1358</v>
      </c>
      <c r="U23" s="1119">
        <f>H23</f>
        <v>100</v>
      </c>
      <c r="V23" s="1118" t="s">
        <v>1358</v>
      </c>
      <c r="W23" s="1119">
        <f>J23</f>
        <v>100</v>
      </c>
      <c r="X23" s="1113"/>
      <c r="Y23" s="3418"/>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3"/>
      <c r="Q24" s="621"/>
      <c r="R24" s="1118"/>
      <c r="S24" s="1119"/>
      <c r="T24" s="1118"/>
      <c r="U24" s="1119"/>
      <c r="V24" s="1118"/>
      <c r="W24" s="1119"/>
      <c r="X24" s="1113"/>
      <c r="Y24" s="3418"/>
      <c r="Z24" s="1102"/>
      <c r="AA24" s="1102">
        <v>1</v>
      </c>
      <c r="AB24" s="1102">
        <v>1</v>
      </c>
      <c r="AC24" s="1102">
        <v>1</v>
      </c>
    </row>
    <row r="25" spans="1:29" ht="15">
      <c r="A25" s="943"/>
      <c r="B25" s="940" t="s">
        <v>1606</v>
      </c>
      <c r="C25" s="976" t="s">
        <v>2877</v>
      </c>
      <c r="D25" s="755">
        <v>100</v>
      </c>
      <c r="E25" s="976" t="s">
        <v>2877</v>
      </c>
      <c r="F25" s="1097">
        <f>SUMIF(86:86,E25,87:87)-SUMIF(86:86,C25,87:87)+100</f>
        <v>100</v>
      </c>
      <c r="G25" s="976" t="s">
        <v>2877</v>
      </c>
      <c r="H25" s="755">
        <f>SUMIF(86:86,G25,87:87)-SUMIF(86:86,C25,87:87)+100</f>
        <v>100</v>
      </c>
      <c r="I25" s="976" t="s">
        <v>2877</v>
      </c>
      <c r="J25" s="755">
        <f>SUMIF(86:86,I25,87:87)-SUMIF(86:86,C25,87:87)+100</f>
        <v>100</v>
      </c>
      <c r="K25" s="1088">
        <v>2</v>
      </c>
      <c r="L25" s="1081"/>
      <c r="M25" s="1015"/>
      <c r="N25" s="1015"/>
      <c r="O25" s="1015"/>
      <c r="P25" s="3413"/>
      <c r="Q25" s="621" t="str">
        <f t="shared" ref="Q25:Q46" si="11">B25</f>
        <v>临街状况</v>
      </c>
      <c r="R25" s="1118" t="s">
        <v>1358</v>
      </c>
      <c r="S25" s="1119">
        <f>F25</f>
        <v>100</v>
      </c>
      <c r="T25" s="1118" t="s">
        <v>1358</v>
      </c>
      <c r="U25" s="1119">
        <f>H25</f>
        <v>100</v>
      </c>
      <c r="V25" s="1118" t="s">
        <v>1358</v>
      </c>
      <c r="W25" s="1119">
        <f>J25</f>
        <v>100</v>
      </c>
      <c r="X25" s="1113"/>
      <c r="Y25" s="3418"/>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3"/>
      <c r="Q26" s="621" t="str">
        <f t="shared" si="11"/>
        <v>平面位置/可视性</v>
      </c>
      <c r="R26" s="1118" t="s">
        <v>1358</v>
      </c>
      <c r="S26" s="1119">
        <f>F26</f>
        <v>100</v>
      </c>
      <c r="T26" s="1118" t="s">
        <v>1358</v>
      </c>
      <c r="U26" s="1119">
        <f>H26</f>
        <v>100</v>
      </c>
      <c r="V26" s="1118" t="s">
        <v>1358</v>
      </c>
      <c r="W26" s="1119">
        <f>J26</f>
        <v>100</v>
      </c>
      <c r="X26" s="1113"/>
      <c r="Y26" s="3418"/>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3"/>
      <c r="Q27" s="790" t="str">
        <f t="shared" si="11"/>
        <v>人流量</v>
      </c>
      <c r="R27" s="1114" t="s">
        <v>1358</v>
      </c>
      <c r="S27" s="1115">
        <f>F27</f>
        <v>100</v>
      </c>
      <c r="T27" s="1114" t="s">
        <v>1358</v>
      </c>
      <c r="U27" s="1115">
        <f>H27</f>
        <v>100</v>
      </c>
      <c r="V27" s="1114" t="s">
        <v>1358</v>
      </c>
      <c r="W27" s="1115">
        <f>J27</f>
        <v>100</v>
      </c>
      <c r="X27" s="1116"/>
      <c r="Y27" s="3418"/>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3"/>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8"/>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3"/>
      <c r="Q29" s="621">
        <f t="shared" si="11"/>
        <v>111</v>
      </c>
      <c r="R29" s="1118" t="s">
        <v>1358</v>
      </c>
      <c r="S29" s="1119">
        <f t="shared" si="12"/>
        <v>100</v>
      </c>
      <c r="T29" s="1118" t="s">
        <v>1358</v>
      </c>
      <c r="U29" s="1119">
        <f t="shared" si="13"/>
        <v>100</v>
      </c>
      <c r="V29" s="1118" t="s">
        <v>1358</v>
      </c>
      <c r="W29" s="1119">
        <f t="shared" si="14"/>
        <v>100</v>
      </c>
      <c r="X29" s="1113"/>
      <c r="Y29" s="3418"/>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3"/>
      <c r="Q30" s="621">
        <f t="shared" si="11"/>
        <v>111</v>
      </c>
      <c r="R30" s="1118" t="s">
        <v>1358</v>
      </c>
      <c r="S30" s="1119">
        <f t="shared" si="12"/>
        <v>100</v>
      </c>
      <c r="T30" s="1118" t="s">
        <v>1358</v>
      </c>
      <c r="U30" s="1119">
        <f t="shared" si="13"/>
        <v>100</v>
      </c>
      <c r="V30" s="1118" t="s">
        <v>1358</v>
      </c>
      <c r="W30" s="1119">
        <f t="shared" si="14"/>
        <v>100</v>
      </c>
      <c r="X30" s="1113"/>
      <c r="Y30" s="3418"/>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3"/>
      <c r="Q31" s="621">
        <f t="shared" si="11"/>
        <v>111</v>
      </c>
      <c r="R31" s="1118" t="s">
        <v>1358</v>
      </c>
      <c r="S31" s="1119">
        <f t="shared" si="12"/>
        <v>100</v>
      </c>
      <c r="T31" s="1118" t="s">
        <v>1358</v>
      </c>
      <c r="U31" s="1119">
        <f t="shared" si="13"/>
        <v>100</v>
      </c>
      <c r="V31" s="1118" t="s">
        <v>1358</v>
      </c>
      <c r="W31" s="1119">
        <f t="shared" si="14"/>
        <v>100</v>
      </c>
      <c r="X31" s="1113"/>
      <c r="Y31" s="3418"/>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4" t="s">
        <v>1384</v>
      </c>
      <c r="Q32" s="621" t="str">
        <f t="shared" si="11"/>
        <v>商业类型</v>
      </c>
      <c r="R32" s="1118" t="s">
        <v>1358</v>
      </c>
      <c r="S32" s="1119">
        <f t="shared" si="12"/>
        <v>100</v>
      </c>
      <c r="T32" s="1118" t="s">
        <v>1358</v>
      </c>
      <c r="U32" s="1119">
        <f t="shared" si="13"/>
        <v>100</v>
      </c>
      <c r="V32" s="1118" t="s">
        <v>1358</v>
      </c>
      <c r="W32" s="1119">
        <f t="shared" si="14"/>
        <v>100</v>
      </c>
      <c r="X32" s="1113"/>
      <c r="Y32" s="3419"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30.61</v>
      </c>
      <c r="D33" s="942">
        <v>100</v>
      </c>
      <c r="E33" s="945">
        <v>93.81</v>
      </c>
      <c r="F33" s="940">
        <f>LOOKUP(E33,103:103,104:104)-LOOKUP(C33,103:103,104:104)+100</f>
        <v>98</v>
      </c>
      <c r="G33" s="944">
        <v>126.85</v>
      </c>
      <c r="H33" s="942">
        <f>LOOKUP(G33,103:103,104:104)-LOOKUP(C33,103:103,104:104)+100</f>
        <v>96</v>
      </c>
      <c r="I33" s="944">
        <v>105.19</v>
      </c>
      <c r="J33" s="942">
        <f>LOOKUP(I33,103:103,104:104)-LOOKUP(C33,103:103,104:104)+100</f>
        <v>96</v>
      </c>
      <c r="K33" s="1087"/>
      <c r="L33" s="1079"/>
      <c r="M33" s="1089"/>
      <c r="N33" s="1089"/>
      <c r="O33" s="1089"/>
      <c r="P33" s="3415"/>
      <c r="Q33" s="1308" t="str">
        <f t="shared" si="11"/>
        <v>项目建筑规模</v>
      </c>
      <c r="R33" s="1120" t="s">
        <v>1358</v>
      </c>
      <c r="S33" s="1121">
        <f t="shared" si="12"/>
        <v>98</v>
      </c>
      <c r="T33" s="1120" t="s">
        <v>1358</v>
      </c>
      <c r="U33" s="1121">
        <f t="shared" si="13"/>
        <v>96</v>
      </c>
      <c r="V33" s="1120" t="s">
        <v>1358</v>
      </c>
      <c r="W33" s="1121">
        <f t="shared" si="14"/>
        <v>96</v>
      </c>
      <c r="X33" s="1122"/>
      <c r="Y33" s="3419"/>
      <c r="Z33" s="1127" t="str">
        <f t="shared" si="15"/>
        <v>项目建筑规模</v>
      </c>
      <c r="AA33" s="1102">
        <f t="shared" si="3"/>
        <v>1.0204081632653061</v>
      </c>
      <c r="AB33" s="1102">
        <f t="shared" si="4"/>
        <v>1.0416666666666667</v>
      </c>
      <c r="AC33" s="1102">
        <f t="shared" si="5"/>
        <v>1.0416666666666667</v>
      </c>
    </row>
    <row r="34" spans="1:29" ht="15">
      <c r="A34" s="991"/>
      <c r="B34" s="940" t="s">
        <v>1386</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5"/>
      <c r="Q34" s="621" t="str">
        <f t="shared" si="11"/>
        <v>建筑结构</v>
      </c>
      <c r="R34" s="1118" t="s">
        <v>1358</v>
      </c>
      <c r="S34" s="1119">
        <f t="shared" si="12"/>
        <v>100</v>
      </c>
      <c r="T34" s="1118" t="s">
        <v>1358</v>
      </c>
      <c r="U34" s="1119">
        <f t="shared" si="13"/>
        <v>100</v>
      </c>
      <c r="V34" s="1118" t="s">
        <v>1358</v>
      </c>
      <c r="W34" s="1119">
        <f t="shared" si="14"/>
        <v>100</v>
      </c>
      <c r="X34" s="1113"/>
      <c r="Y34" s="3419"/>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5"/>
      <c r="Q35" s="621" t="str">
        <f t="shared" si="11"/>
        <v>公共部分装修</v>
      </c>
      <c r="R35" s="1118" t="s">
        <v>1358</v>
      </c>
      <c r="S35" s="1119">
        <f t="shared" si="12"/>
        <v>100</v>
      </c>
      <c r="T35" s="1118" t="s">
        <v>1358</v>
      </c>
      <c r="U35" s="1119">
        <f t="shared" si="13"/>
        <v>100</v>
      </c>
      <c r="V35" s="1118" t="s">
        <v>1358</v>
      </c>
      <c r="W35" s="1119">
        <f t="shared" si="14"/>
        <v>100</v>
      </c>
      <c r="X35" s="1113"/>
      <c r="Y35" s="3419"/>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15"/>
      <c r="Q36" s="621" t="str">
        <f t="shared" si="11"/>
        <v>成新度</v>
      </c>
      <c r="R36" s="1118" t="s">
        <v>1358</v>
      </c>
      <c r="S36" s="1119">
        <f t="shared" si="12"/>
        <v>96</v>
      </c>
      <c r="T36" s="1118" t="s">
        <v>1358</v>
      </c>
      <c r="U36" s="1119">
        <f t="shared" si="13"/>
        <v>96</v>
      </c>
      <c r="V36" s="1118" t="s">
        <v>1358</v>
      </c>
      <c r="W36" s="1119">
        <f t="shared" si="14"/>
        <v>98</v>
      </c>
      <c r="X36" s="1113"/>
      <c r="Y36" s="3419"/>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5"/>
      <c r="Q37" s="790" t="str">
        <f t="shared" si="11"/>
        <v>市政基础设施</v>
      </c>
      <c r="R37" s="1114" t="s">
        <v>1358</v>
      </c>
      <c r="S37" s="1115">
        <f t="shared" si="12"/>
        <v>100</v>
      </c>
      <c r="T37" s="1114" t="s">
        <v>1358</v>
      </c>
      <c r="U37" s="1115">
        <f t="shared" si="13"/>
        <v>100</v>
      </c>
      <c r="V37" s="1114" t="s">
        <v>1358</v>
      </c>
      <c r="W37" s="1115">
        <f t="shared" si="14"/>
        <v>100</v>
      </c>
      <c r="X37" s="1116"/>
      <c r="Y37" s="3419"/>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5" t="s">
        <v>1384</v>
      </c>
      <c r="Q38" s="621" t="str">
        <f t="shared" si="11"/>
        <v>业态</v>
      </c>
      <c r="R38" s="1118" t="s">
        <v>1358</v>
      </c>
      <c r="S38" s="1119">
        <f t="shared" si="12"/>
        <v>100</v>
      </c>
      <c r="T38" s="1118" t="s">
        <v>1358</v>
      </c>
      <c r="U38" s="1119">
        <f t="shared" si="13"/>
        <v>100</v>
      </c>
      <c r="V38" s="1118" t="s">
        <v>1358</v>
      </c>
      <c r="W38" s="1119">
        <f t="shared" si="14"/>
        <v>100</v>
      </c>
      <c r="X38" s="1113"/>
      <c r="Y38" s="3419"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5"/>
      <c r="Q39" s="621" t="str">
        <f t="shared" si="11"/>
        <v>层高</v>
      </c>
      <c r="R39" s="1118" t="s">
        <v>1358</v>
      </c>
      <c r="S39" s="1119">
        <f t="shared" si="12"/>
        <v>100</v>
      </c>
      <c r="T39" s="1118" t="s">
        <v>1358</v>
      </c>
      <c r="U39" s="1119">
        <f t="shared" si="13"/>
        <v>100</v>
      </c>
      <c r="V39" s="1118" t="s">
        <v>1358</v>
      </c>
      <c r="W39" s="1119">
        <f t="shared" si="14"/>
        <v>100</v>
      </c>
      <c r="X39" s="1113"/>
      <c r="Y39" s="3419"/>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5"/>
      <c r="Q40" s="621" t="str">
        <f t="shared" si="11"/>
        <v>单套建筑面积</v>
      </c>
      <c r="R40" s="1118" t="s">
        <v>1358</v>
      </c>
      <c r="S40" s="1119">
        <f t="shared" si="12"/>
        <v>100</v>
      </c>
      <c r="T40" s="1118" t="s">
        <v>1358</v>
      </c>
      <c r="U40" s="1119">
        <f t="shared" si="13"/>
        <v>100</v>
      </c>
      <c r="V40" s="1118" t="s">
        <v>1358</v>
      </c>
      <c r="W40" s="1119">
        <f t="shared" si="14"/>
        <v>100</v>
      </c>
      <c r="X40" s="1113"/>
      <c r="Y40" s="3419"/>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5"/>
      <c r="Q41" s="1308" t="str">
        <f t="shared" si="11"/>
        <v>进深比</v>
      </c>
      <c r="R41" s="1120" t="s">
        <v>1358</v>
      </c>
      <c r="S41" s="1121">
        <f t="shared" si="12"/>
        <v>100</v>
      </c>
      <c r="T41" s="1120" t="s">
        <v>1358</v>
      </c>
      <c r="U41" s="1121">
        <f t="shared" si="13"/>
        <v>100</v>
      </c>
      <c r="V41" s="1120" t="s">
        <v>1358</v>
      </c>
      <c r="W41" s="1121">
        <f t="shared" si="14"/>
        <v>100</v>
      </c>
      <c r="X41" s="1122"/>
      <c r="Y41" s="3419"/>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5"/>
      <c r="Q42" s="621" t="str">
        <f t="shared" si="11"/>
        <v>内部装修</v>
      </c>
      <c r="R42" s="1118" t="s">
        <v>1358</v>
      </c>
      <c r="S42" s="1119">
        <f t="shared" si="12"/>
        <v>100</v>
      </c>
      <c r="T42" s="1118" t="s">
        <v>1358</v>
      </c>
      <c r="U42" s="1119">
        <f t="shared" si="13"/>
        <v>98</v>
      </c>
      <c r="V42" s="1118" t="s">
        <v>1358</v>
      </c>
      <c r="W42" s="1119">
        <f t="shared" si="14"/>
        <v>100</v>
      </c>
      <c r="X42" s="1113"/>
      <c r="Y42" s="3419"/>
      <c r="Z42" s="1102" t="str">
        <f t="shared" si="15"/>
        <v>内部装修</v>
      </c>
      <c r="AA42" s="1102">
        <f t="shared" si="3"/>
        <v>1</v>
      </c>
      <c r="AB42" s="1102">
        <f t="shared" si="4"/>
        <v>1.0204081632653061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5"/>
      <c r="Q43" s="621" t="str">
        <f t="shared" si="11"/>
        <v>内部装修维护情况</v>
      </c>
      <c r="R43" s="1118" t="s">
        <v>1358</v>
      </c>
      <c r="S43" s="1119">
        <f t="shared" si="12"/>
        <v>100</v>
      </c>
      <c r="T43" s="1118" t="s">
        <v>1358</v>
      </c>
      <c r="U43" s="1119">
        <f t="shared" si="13"/>
        <v>100</v>
      </c>
      <c r="V43" s="1118" t="s">
        <v>1358</v>
      </c>
      <c r="W43" s="1119">
        <f t="shared" si="14"/>
        <v>100</v>
      </c>
      <c r="X43" s="1113"/>
      <c r="Y43" s="3419"/>
      <c r="Z43" s="1102" t="str">
        <f t="shared" si="15"/>
        <v>内部装修维护情况</v>
      </c>
      <c r="AA43" s="1102">
        <f t="shared" si="3"/>
        <v>1</v>
      </c>
      <c r="AB43" s="1102">
        <f t="shared" si="4"/>
        <v>1</v>
      </c>
      <c r="AC43" s="1102">
        <f t="shared" si="5"/>
        <v>1</v>
      </c>
    </row>
    <row r="44" spans="1:29" s="899" customFormat="1" ht="15">
      <c r="A44" s="993"/>
      <c r="B44" s="3194" t="s">
        <v>2879</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15"/>
      <c r="Q44" s="790" t="str">
        <f t="shared" si="11"/>
        <v>进深比</v>
      </c>
      <c r="R44" s="1114" t="s">
        <v>1358</v>
      </c>
      <c r="S44" s="1115">
        <f t="shared" si="12"/>
        <v>100</v>
      </c>
      <c r="T44" s="1114" t="s">
        <v>1358</v>
      </c>
      <c r="U44" s="1115">
        <f t="shared" si="13"/>
        <v>100</v>
      </c>
      <c r="V44" s="1114" t="s">
        <v>1358</v>
      </c>
      <c r="W44" s="1115">
        <f t="shared" si="14"/>
        <v>100</v>
      </c>
      <c r="X44" s="1116"/>
      <c r="Y44" s="3419"/>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5"/>
      <c r="Q45" s="621">
        <f t="shared" si="11"/>
        <v>0</v>
      </c>
      <c r="R45" s="1118" t="s">
        <v>1358</v>
      </c>
      <c r="S45" s="1119">
        <f t="shared" si="12"/>
        <v>100</v>
      </c>
      <c r="T45" s="1118" t="s">
        <v>1358</v>
      </c>
      <c r="U45" s="1119">
        <f t="shared" si="13"/>
        <v>100</v>
      </c>
      <c r="V45" s="1118" t="s">
        <v>1358</v>
      </c>
      <c r="W45" s="1119">
        <f t="shared" si="14"/>
        <v>100</v>
      </c>
      <c r="X45" s="1113"/>
      <c r="Y45" s="3419"/>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6"/>
      <c r="Q46" s="621">
        <f t="shared" si="11"/>
        <v>0</v>
      </c>
      <c r="R46" s="1118" t="s">
        <v>1358</v>
      </c>
      <c r="S46" s="1119">
        <f t="shared" si="12"/>
        <v>100</v>
      </c>
      <c r="T46" s="1118" t="s">
        <v>1358</v>
      </c>
      <c r="U46" s="1119">
        <f t="shared" si="13"/>
        <v>100</v>
      </c>
      <c r="V46" s="1118" t="s">
        <v>1358</v>
      </c>
      <c r="W46" s="1119">
        <f t="shared" si="14"/>
        <v>100</v>
      </c>
      <c r="X46" s="1113"/>
      <c r="Y46" s="3420"/>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0" t="str">
        <f>A47</f>
        <v>成交单价（元/平方米）</v>
      </c>
      <c r="Q47" s="3410"/>
      <c r="R47" s="3411">
        <f>E47</f>
        <v>33579</v>
      </c>
      <c r="S47" s="3411"/>
      <c r="T47" s="3411">
        <f>G47</f>
        <v>35081</v>
      </c>
      <c r="U47" s="3411"/>
      <c r="V47" s="3411">
        <f>I47</f>
        <v>33274</v>
      </c>
      <c r="W47" s="3411"/>
      <c r="X47" s="1055"/>
      <c r="Y47" s="1128"/>
      <c r="Z47" s="1055"/>
      <c r="AA47" s="1055"/>
      <c r="AB47" s="1055"/>
      <c r="AC47" s="1055"/>
    </row>
    <row r="48" spans="1:29" ht="15" thickBot="1">
      <c r="A48" s="1006" t="s">
        <v>1401</v>
      </c>
      <c r="B48" s="1293"/>
      <c r="C48" s="1294">
        <f>R49</f>
        <v>36468</v>
      </c>
      <c r="D48" s="1009" t="s">
        <v>1402</v>
      </c>
      <c r="E48" s="1295">
        <f>R48</f>
        <v>36112</v>
      </c>
      <c r="F48" s="1010"/>
      <c r="G48" s="1294">
        <f>T48</f>
        <v>39299</v>
      </c>
      <c r="H48" s="1010"/>
      <c r="I48" s="1295">
        <f>V48</f>
        <v>33994</v>
      </c>
      <c r="J48" s="1010"/>
      <c r="K48" s="1095">
        <f>F48+H48+J48</f>
        <v>0</v>
      </c>
      <c r="L48" s="1094"/>
      <c r="M48" s="1015"/>
      <c r="N48" s="1015"/>
      <c r="O48" s="1015"/>
      <c r="P48" s="3410" t="str">
        <f>A48</f>
        <v>比较价值（元/平方米）</v>
      </c>
      <c r="Q48" s="3410"/>
      <c r="R48" s="3411">
        <f>IF(F1="售价",ROUND(PRODUCT(R47,AA7:AA46),0),ROUND(PRODUCT(R47,AA7:AA46),1))</f>
        <v>36112</v>
      </c>
      <c r="S48" s="3411"/>
      <c r="T48" s="3411">
        <f>IF(F1="售价",ROUND(PRODUCT(T47,AB7:AB46),0),ROUND(PRODUCT(T47,AB7:AB46),1))</f>
        <v>39299</v>
      </c>
      <c r="U48" s="3411"/>
      <c r="V48" s="3411">
        <f>IF(F1="售价",ROUND(PRODUCT(V47,AC7:AC46),0),ROUND(PRODUCT(V47,AC7:AC46),1))</f>
        <v>33994</v>
      </c>
      <c r="W48" s="3411"/>
      <c r="X48" s="1055"/>
      <c r="Y48" s="1055"/>
      <c r="Z48" s="1055"/>
      <c r="AA48" s="1055"/>
      <c r="AB48" s="1055"/>
      <c r="AC48" s="1055"/>
    </row>
    <row r="49" spans="1:29" ht="15" thickBot="1">
      <c r="A49" s="1012" t="s">
        <v>1403</v>
      </c>
      <c r="B49" s="1013"/>
      <c r="C49" s="925">
        <f>R49</f>
        <v>36468</v>
      </c>
      <c r="D49" s="925"/>
      <c r="E49" s="925"/>
      <c r="F49" s="925"/>
      <c r="G49" s="925"/>
      <c r="H49" s="925"/>
      <c r="I49" s="925"/>
      <c r="J49" s="925"/>
      <c r="K49" s="1096"/>
      <c r="L49" s="1094"/>
      <c r="M49" s="1015"/>
      <c r="N49" s="1015"/>
      <c r="O49" s="1015"/>
      <c r="P49" s="3446" t="str">
        <f>A49</f>
        <v>估价对象XX用房的比较价值（楼面单价，元/平方米）</v>
      </c>
      <c r="Q49" s="3447"/>
      <c r="R49" s="3448">
        <f>IF(F1="售价",ROUND(IF(D48="简单平均",AVERAGE(R48:V48),R48*F48+T48*H48+V48*J48),0),ROUND(IF(D48="简单平均",AVERAGE(R48:V48),R48*F48+T48*H48+V48*J48),1))</f>
        <v>36468</v>
      </c>
      <c r="S49" s="3448"/>
      <c r="T49" s="3448"/>
      <c r="U49" s="3448"/>
      <c r="V49" s="3448"/>
      <c r="W49" s="3448"/>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7.5434051043807182E-2</v>
      </c>
      <c r="F52" s="1019" t="str">
        <f>IF(OR(E52&gt;=0.3,E52&lt;=-0.3),"超过30%","")</f>
        <v/>
      </c>
      <c r="G52" s="1018">
        <f>IF(G47&lt;G48,G48/G47-1,G47/G48-1)</f>
        <v>0.12023602519882548</v>
      </c>
      <c r="H52" s="1019" t="str">
        <f>IF(OR(G52&gt;=0.3,G52&lt;=-0.3),"超过30%","")</f>
        <v/>
      </c>
      <c r="I52" s="1018">
        <f>IF(I47&lt;I48,I48/I47-1,I47/I48-1)</f>
        <v>2.1638516559475907E-2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8.8253212228622147E-2</v>
      </c>
      <c r="F53" s="1019" t="str">
        <f>IF(OR(E53&gt;=0.2,E53&lt;=-0.2),"超过20%","")</f>
        <v/>
      </c>
      <c r="G53" s="1018">
        <f>IF(G48&lt;I48,I48/G48-1,G48/I48-1)</f>
        <v>0.15605695122668717</v>
      </c>
      <c r="H53" s="1019" t="str">
        <f>IF(OR(G53&gt;=0.2,G53&lt;=-0.2),"超过20%","")</f>
        <v/>
      </c>
      <c r="I53" s="1018">
        <f>IF(I48&lt;E48,E48/I48-1,I48/E48-1)</f>
        <v>6.2305112666941165E-2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2876</v>
      </c>
      <c r="D86" s="2106" t="s">
        <v>2878</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103</v>
      </c>
      <c r="D1" s="1827" t="s">
        <v>124</v>
      </c>
      <c r="E1" s="1828" t="s">
        <v>1147</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86.976500000000001</v>
      </c>
      <c r="C2" s="1833" t="s">
        <v>1149</v>
      </c>
      <c r="D2" s="1834">
        <f ca="1">C40+J29+L46</f>
        <v>869765</v>
      </c>
      <c r="E2" s="1835" t="s">
        <v>1438</v>
      </c>
      <c r="F2" s="1836"/>
      <c r="G2" s="1837"/>
      <c r="H2" s="1838"/>
      <c r="I2" s="3202">
        <f ca="1">F6*F7*F8/12</f>
        <v>5586.3249999999998</v>
      </c>
      <c r="J2" s="1838"/>
      <c r="K2" s="1993"/>
      <c r="L2" s="1838"/>
      <c r="M2" s="1838"/>
    </row>
    <row r="3" spans="1:37" ht="18" customHeight="1" thickBot="1">
      <c r="A3" s="1839" t="s">
        <v>1150</v>
      </c>
      <c r="B3" s="1840">
        <f ca="1">IF(ISERROR(D2/F43),0,ROUND(D2/F43,0))</f>
        <v>28414</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60407</v>
      </c>
      <c r="D5" s="1849" t="s">
        <v>1159</v>
      </c>
      <c r="E5" s="1850"/>
      <c r="F5" s="1851"/>
      <c r="G5" s="714"/>
      <c r="H5" s="1846">
        <v>1</v>
      </c>
      <c r="I5" s="1847" t="s">
        <v>1158</v>
      </c>
      <c r="J5" s="1848">
        <f ca="1">J6+J10+J12</f>
        <v>0</v>
      </c>
      <c r="K5" s="1849" t="s">
        <v>1159</v>
      </c>
      <c r="L5" s="1850"/>
      <c r="M5" s="1851"/>
    </row>
    <row r="6" spans="1:37" ht="18" customHeight="1">
      <c r="A6" s="1852" t="s">
        <v>905</v>
      </c>
      <c r="B6" s="3392" t="s">
        <v>1160</v>
      </c>
      <c r="C6" s="1853">
        <f ca="1">ROUND(F6*F8*F7*(1-F9),0)</f>
        <v>60332</v>
      </c>
      <c r="D6" s="1854" t="s">
        <v>1439</v>
      </c>
      <c r="E6" s="1855" t="s">
        <v>1162</v>
      </c>
      <c r="F6" s="1856">
        <f ca="1">INDIRECT("'数据-取费表'!u"&amp;$G$1)</f>
        <v>6</v>
      </c>
      <c r="G6" s="714"/>
      <c r="H6" s="1852" t="s">
        <v>905</v>
      </c>
      <c r="I6" s="3392" t="s">
        <v>1160</v>
      </c>
      <c r="J6" s="1926">
        <f ca="1">ROUND(M6*M8*M7*(1-M9),0)</f>
        <v>0</v>
      </c>
      <c r="K6" s="1996" t="s">
        <v>1440</v>
      </c>
      <c r="L6" s="1855" t="s">
        <v>1162</v>
      </c>
      <c r="M6" s="1856">
        <f ca="1">INDIRECT("'数据-取费表'!z"&amp;$G$1)</f>
        <v>0</v>
      </c>
    </row>
    <row r="7" spans="1:37" ht="18" customHeight="1">
      <c r="A7" s="1857"/>
      <c r="B7" s="3393"/>
      <c r="C7" s="1858"/>
      <c r="D7" s="1859"/>
      <c r="E7" s="1860" t="s">
        <v>1164</v>
      </c>
      <c r="F7" s="1856">
        <f ca="1">IF(INDIRECT("'数据-取费表'!ah"&amp;$G$1)="",INDIRECT("'数据-取费表'!k"&amp;$G$1),INDIRECT("'数据-取费表'!ah"&amp;$G$1))</f>
        <v>30.61</v>
      </c>
      <c r="G7" s="714"/>
      <c r="H7" s="1861"/>
      <c r="I7" s="3393"/>
      <c r="J7" s="1862"/>
      <c r="K7" s="1859"/>
      <c r="L7" s="1855" t="s">
        <v>1164</v>
      </c>
      <c r="M7" s="1856">
        <f ca="1">F7</f>
        <v>30.61</v>
      </c>
    </row>
    <row r="8" spans="1:37" ht="18" customHeight="1">
      <c r="A8" s="1861"/>
      <c r="B8" s="3393"/>
      <c r="C8" s="1862"/>
      <c r="D8" s="1859"/>
      <c r="E8" s="1855" t="s">
        <v>1165</v>
      </c>
      <c r="F8" s="1856">
        <f ca="1">INDIRECT("'数据-取费表'!ai"&amp;$G$1)</f>
        <v>365</v>
      </c>
      <c r="G8" s="714"/>
      <c r="H8" s="1861"/>
      <c r="I8" s="3393"/>
      <c r="J8" s="1862"/>
      <c r="K8" s="1859"/>
      <c r="L8" s="1855" t="s">
        <v>1165</v>
      </c>
      <c r="M8" s="1856">
        <f ca="1">INDIRECT("'数据-取费表'!ai"&amp;$G$1)</f>
        <v>365</v>
      </c>
    </row>
    <row r="9" spans="1:37" ht="18" customHeight="1">
      <c r="A9" s="1861"/>
      <c r="B9" s="3394"/>
      <c r="C9" s="1862"/>
      <c r="D9" s="1859"/>
      <c r="E9" s="1855" t="s">
        <v>1166</v>
      </c>
      <c r="F9" s="1863">
        <f ca="1">INDIRECT("'数据-取费表'!w"&amp;$G$1)</f>
        <v>0.1</v>
      </c>
      <c r="G9" s="714"/>
      <c r="H9" s="1861"/>
      <c r="I9" s="3394"/>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75</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148262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122440</v>
      </c>
      <c r="D14" s="1886" t="s">
        <v>1177</v>
      </c>
      <c r="E14" s="1887"/>
      <c r="F14" s="1888"/>
      <c r="G14" s="714"/>
      <c r="H14" s="1884" t="s">
        <v>905</v>
      </c>
      <c r="I14" s="1855" t="s">
        <v>1178</v>
      </c>
      <c r="J14" s="1469">
        <f ca="1">C29</f>
        <v>178629</v>
      </c>
      <c r="K14" s="2005"/>
      <c r="L14" s="2006"/>
      <c r="M14" s="2007"/>
    </row>
    <row r="15" spans="1:37" s="1823" customFormat="1" ht="18" customHeight="1" thickBot="1">
      <c r="A15" s="1884" t="s">
        <v>933</v>
      </c>
      <c r="B15" s="1855" t="s">
        <v>1107</v>
      </c>
      <c r="C15" s="1469">
        <f ca="1">ROUND(C14*F15,0)</f>
        <v>6122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357</v>
      </c>
      <c r="K16" s="1904" t="s">
        <v>1183</v>
      </c>
      <c r="L16" s="1905"/>
      <c r="M16" s="1851"/>
    </row>
    <row r="17" spans="1:37" s="1823" customFormat="1" ht="18" customHeight="1">
      <c r="A17" s="1884" t="s">
        <v>1184</v>
      </c>
      <c r="B17" s="1855" t="s">
        <v>1185</v>
      </c>
      <c r="C17" s="1469">
        <f ca="1">ROUND(F17*(F43+INDIRECT("'数据-取费表'!S"&amp;$G$1)),0)</f>
        <v>6122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2449</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137133</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2743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357</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-357</v>
      </c>
      <c r="K25" s="1923" t="s">
        <v>1221</v>
      </c>
      <c r="L25" s="1924"/>
      <c r="M25" s="1925"/>
    </row>
    <row r="26" spans="1:37" ht="18" customHeight="1">
      <c r="A26" s="1884" t="s">
        <v>928</v>
      </c>
      <c r="B26" s="1855" t="s">
        <v>1222</v>
      </c>
      <c r="C26" s="1469">
        <f ca="1">ROUND((C19+C20)*F26,0)</f>
        <v>20981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178629</v>
      </c>
      <c r="D29" s="1901"/>
      <c r="E29" s="1877"/>
      <c r="F29" s="1902"/>
      <c r="G29" s="1891"/>
      <c r="H29" s="1903" t="s">
        <v>1237</v>
      </c>
      <c r="I29" s="1932" t="s">
        <v>1238</v>
      </c>
      <c r="J29" s="1933">
        <f ca="1">ROUND(J26/(1+F40)^F41,0)</f>
        <v>0</v>
      </c>
      <c r="K29" s="1934" t="s">
        <v>1239</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10862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10055</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3160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6895</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357</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148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302</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49545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860148</v>
      </c>
      <c r="D40" s="1914" t="s">
        <v>1227</v>
      </c>
      <c r="E40" s="1855" t="s">
        <v>1228</v>
      </c>
      <c r="F40" s="1863">
        <f ca="1">INDIRECT("'数据-取费表'!I"&amp;$G$1)</f>
        <v>5.5E-2</v>
      </c>
      <c r="G40" s="714"/>
      <c r="H40" s="1927">
        <f ca="1">C39/C5</f>
        <v>0.8201864022381512</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28100</v>
      </c>
      <c r="D43" s="1934" t="s">
        <v>1244</v>
      </c>
      <c r="E43" s="1935" t="s">
        <v>1245</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-86.724900000000005</v>
      </c>
      <c r="D45" s="1941" t="s">
        <v>1446</v>
      </c>
      <c r="E45" s="1937"/>
      <c r="F45" s="1937"/>
      <c r="O45" s="2021" t="s">
        <v>1246</v>
      </c>
      <c r="P45" s="1927"/>
      <c r="Q45" s="1927"/>
      <c r="R45" s="1927"/>
    </row>
    <row r="46" spans="1:18" s="714" customFormat="1" ht="13.8" thickBot="1">
      <c r="A46" s="1942" t="s">
        <v>1247</v>
      </c>
      <c r="C46" s="1943">
        <f ca="1">ROUND(C45,0)</f>
        <v>-87</v>
      </c>
      <c r="D46" s="1944" t="str">
        <f>C2</f>
        <v>万元</v>
      </c>
      <c r="I46" s="2022" t="s">
        <v>1248</v>
      </c>
      <c r="J46" s="2023"/>
      <c r="K46" s="2024"/>
      <c r="L46" s="2025">
        <f ca="1">IF(M47="住宅",0,IF(L48&gt;J51,L60,J60))</f>
        <v>9617</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860148</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9617</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178629</v>
      </c>
      <c r="R49" s="2070" t="s">
        <v>1256</v>
      </c>
    </row>
    <row r="50" spans="1:18" s="714" customFormat="1" ht="13.8" thickBot="1">
      <c r="A50" s="1960"/>
      <c r="B50" s="1431"/>
      <c r="C50" s="1961"/>
      <c r="D50" s="1962"/>
      <c r="E50" s="1963" t="s">
        <v>1164</v>
      </c>
      <c r="F50" s="1964">
        <f ca="1">F7</f>
        <v>30.61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715024</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0" t="s">
        <v>1284</v>
      </c>
      <c r="L53" s="3391"/>
      <c r="O53" s="2033" t="s">
        <v>1109</v>
      </c>
      <c r="P53" s="2034" t="s">
        <v>1285</v>
      </c>
      <c r="Q53" s="2070">
        <f ca="1">Q47+Q48</f>
        <v>869765</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148262</v>
      </c>
      <c r="D56" s="1974"/>
      <c r="E56" s="1975"/>
      <c r="F56" s="1971"/>
      <c r="I56" s="2058" t="s">
        <v>1290</v>
      </c>
      <c r="J56" s="2059" t="s">
        <v>1450</v>
      </c>
      <c r="K56" s="2035" t="s">
        <v>1291</v>
      </c>
      <c r="L56" s="2038" t="str">
        <f ca="1">IF(L48&lt;J51,"——",L48-J51)</f>
        <v>——</v>
      </c>
      <c r="O56" s="2033" t="s">
        <v>1012</v>
      </c>
      <c r="P56" s="2034" t="s">
        <v>1255</v>
      </c>
      <c r="Q56" s="2070">
        <f ca="1">C40+J29</f>
        <v>860148</v>
      </c>
      <c r="R56" s="2070" t="s">
        <v>1256</v>
      </c>
    </row>
    <row r="57" spans="1:18" s="714" customFormat="1" ht="24.6" thickBot="1">
      <c r="A57" s="1976"/>
      <c r="B57" s="1977" t="s">
        <v>1236</v>
      </c>
      <c r="C57" s="388">
        <f ca="1">C29</f>
        <v>178629</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505</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9617</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860148</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357</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148</v>
      </c>
      <c r="D65" s="1985" t="s">
        <v>1213</v>
      </c>
      <c r="E65" s="1977" t="s">
        <v>1180</v>
      </c>
      <c r="F65" s="1921">
        <f t="shared" ca="1" si="0"/>
        <v>1E-3</v>
      </c>
      <c r="I65" s="2066" t="s">
        <v>1314</v>
      </c>
      <c r="J65" s="1032">
        <v>40</v>
      </c>
      <c r="K65" s="1032">
        <v>30</v>
      </c>
      <c r="L65" s="1032">
        <v>50</v>
      </c>
      <c r="M65" s="2068">
        <v>0.02</v>
      </c>
      <c r="O65" s="2033" t="s">
        <v>1012</v>
      </c>
      <c r="P65" s="2034" t="s">
        <v>1255</v>
      </c>
      <c r="Q65" s="2070">
        <f ca="1">C40+J29</f>
        <v>860148</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-505</v>
      </c>
      <c r="D67" s="1984" t="s">
        <v>1221</v>
      </c>
      <c r="E67" s="2073"/>
      <c r="F67" s="2074"/>
      <c r="O67" s="2041" t="s">
        <v>1267</v>
      </c>
      <c r="P67" s="2034" t="s">
        <v>1298</v>
      </c>
      <c r="Q67" s="2094">
        <f ca="1">L51</f>
        <v>715024</v>
      </c>
      <c r="R67" s="2070" t="s">
        <v>1315</v>
      </c>
    </row>
    <row r="68" spans="1:18" s="714" customFormat="1" ht="16.2" thickBot="1">
      <c r="A68" s="2075" t="s">
        <v>1225</v>
      </c>
      <c r="B68" s="2076" t="s">
        <v>1242</v>
      </c>
      <c r="C68" s="1926">
        <f ca="1">ROUND(C67*(1-((1+F70)/(1+F68))^F69)/(F68-F70),0)</f>
        <v>-7101</v>
      </c>
      <c r="D68" s="1987" t="s">
        <v>1227</v>
      </c>
      <c r="E68" s="1977" t="s">
        <v>1228</v>
      </c>
      <c r="F68" s="1863">
        <f ca="1">F40</f>
        <v>5.5E-2</v>
      </c>
      <c r="O68" s="2041" t="s">
        <v>1271</v>
      </c>
      <c r="P68" s="2093" t="s">
        <v>1316</v>
      </c>
      <c r="Q68" s="2070">
        <f ca="1">ROUND(Q69-Q70*Q71,0)</f>
        <v>39167</v>
      </c>
      <c r="R68" s="2070" t="s">
        <v>1317</v>
      </c>
    </row>
    <row r="69" spans="1:18" s="714" customFormat="1" ht="13.8" thickBot="1">
      <c r="A69" s="2077"/>
      <c r="B69" s="2078"/>
      <c r="C69" s="1862"/>
      <c r="D69" s="2079" t="s">
        <v>1231</v>
      </c>
      <c r="E69" s="1977" t="s">
        <v>1232</v>
      </c>
      <c r="F69" s="1930">
        <f ca="1">F41</f>
        <v>27.73</v>
      </c>
      <c r="O69" s="2041" t="s">
        <v>1318</v>
      </c>
      <c r="P69" s="2093" t="s">
        <v>1319</v>
      </c>
      <c r="Q69" s="2070">
        <f ca="1">C39</f>
        <v>49545</v>
      </c>
      <c r="R69" s="2070" t="s">
        <v>1256</v>
      </c>
    </row>
    <row r="70" spans="1:18" s="714" customFormat="1" ht="13.8" thickBot="1">
      <c r="A70" s="2080"/>
      <c r="B70" s="2081"/>
      <c r="C70" s="1881"/>
      <c r="D70" s="1989"/>
      <c r="E70" s="1977" t="s">
        <v>1235</v>
      </c>
      <c r="F70" s="1967"/>
      <c r="O70" s="2041" t="s">
        <v>1320</v>
      </c>
      <c r="P70" s="2093" t="s">
        <v>1321</v>
      </c>
      <c r="Q70" s="2070">
        <f ca="1">C13</f>
        <v>148262</v>
      </c>
      <c r="R70" s="2070" t="s">
        <v>1256</v>
      </c>
    </row>
    <row r="71" spans="1:18" s="714" customFormat="1" ht="13.8" thickBot="1">
      <c r="A71" s="2082" t="s">
        <v>1237</v>
      </c>
      <c r="B71" s="2083" t="s">
        <v>1243</v>
      </c>
      <c r="C71" s="1933">
        <f ca="1">ROUND(C68/F71,0)</f>
        <v>-232</v>
      </c>
      <c r="D71" s="2084" t="s">
        <v>1244</v>
      </c>
      <c r="E71" s="2085" t="s">
        <v>1245</v>
      </c>
      <c r="F71" s="1936">
        <f ca="1">F43</f>
        <v>30.61</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10378</v>
      </c>
      <c r="D75" s="714"/>
      <c r="E75" s="714"/>
      <c r="F75" s="714"/>
      <c r="K75" s="2020"/>
      <c r="L75" s="714"/>
      <c r="O75" s="2033" t="s">
        <v>1109</v>
      </c>
      <c r="P75" s="2034" t="s">
        <v>1285</v>
      </c>
      <c r="Q75" s="2070">
        <f ca="1">Q65+Q66</f>
        <v>860148</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0.79100000000000004</v>
      </c>
    </row>
    <row r="80" spans="1:18">
      <c r="B80" s="2087" t="s">
        <v>1331</v>
      </c>
      <c r="C80" s="421">
        <f ca="1">ROUND(C75/C39,3)</f>
        <v>0.20899999999999999</v>
      </c>
    </row>
    <row r="81" spans="2:3">
      <c r="B81" s="418" t="s">
        <v>1332</v>
      </c>
      <c r="C81" s="388"/>
    </row>
    <row r="82" spans="2:3">
      <c r="B82" s="420" t="s">
        <v>1091</v>
      </c>
      <c r="C82" s="422">
        <f ca="1">1-C83</f>
        <v>0.82800000000000007</v>
      </c>
    </row>
    <row r="83" spans="2:3">
      <c r="B83" s="420" t="s">
        <v>1092</v>
      </c>
      <c r="C83" s="421">
        <f ca="1">ROUND(C13/C40,3)</f>
        <v>0.17199999999999999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zoomScaleNormal="100" zoomScaleSheetLayoutView="100" zoomScalePageLayoutView="80" workbookViewId="0">
      <selection activeCell="E6" sqref="E6"/>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104</v>
      </c>
      <c r="D1" s="1998"/>
      <c r="E1" s="1998"/>
      <c r="F1" s="2117" t="s">
        <v>779</v>
      </c>
      <c r="G1" s="2118"/>
      <c r="H1" s="2117" t="str">
        <f>IF(G1="现房","——","估价对象范围")</f>
        <v>估价对象范围</v>
      </c>
      <c r="I1" s="2247"/>
    </row>
    <row r="2" spans="1:12" ht="21.75" customHeight="1" thickBot="1">
      <c r="A2" s="3293" t="str">
        <f>项目基本情况!S2</f>
        <v>北京市房地产</v>
      </c>
      <c r="B2" s="3294"/>
      <c r="C2" s="3294"/>
      <c r="D2" s="3294"/>
      <c r="E2" s="3294"/>
      <c r="F2" s="3294"/>
      <c r="G2" s="3294"/>
      <c r="H2" s="3294"/>
      <c r="I2" s="3295"/>
    </row>
    <row r="3" spans="1:12" ht="13.2">
      <c r="A3" s="3296" t="s">
        <v>780</v>
      </c>
      <c r="B3" s="3297"/>
      <c r="C3" s="3297"/>
      <c r="D3" s="3297"/>
      <c r="E3" s="3297"/>
      <c r="F3" s="3297"/>
      <c r="G3" s="3297"/>
      <c r="H3" s="3297"/>
      <c r="I3" s="3297"/>
    </row>
    <row r="4" spans="1:12" ht="14.4">
      <c r="A4" s="2119" t="s">
        <v>781</v>
      </c>
      <c r="B4" s="2120" t="s">
        <v>782</v>
      </c>
      <c r="C4" s="2121" t="s">
        <v>2860</v>
      </c>
      <c r="D4" s="2121" t="s">
        <v>2856</v>
      </c>
      <c r="E4" s="3298" t="s">
        <v>783</v>
      </c>
      <c r="F4" s="3299"/>
      <c r="G4" s="3299"/>
      <c r="H4" s="3299"/>
      <c r="I4" s="3300"/>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343" t="s">
        <v>784</v>
      </c>
      <c r="B5" s="3381">
        <v>25</v>
      </c>
      <c r="C5" s="3313"/>
      <c r="D5" s="3312"/>
      <c r="E5" s="1895" t="s">
        <v>785</v>
      </c>
      <c r="F5" s="2125"/>
      <c r="G5" s="2125"/>
      <c r="H5" s="2125"/>
      <c r="I5" s="2249"/>
    </row>
    <row r="6" spans="1:12" ht="13.2">
      <c r="A6" s="3343"/>
      <c r="B6" s="3381"/>
      <c r="C6" s="3314"/>
      <c r="D6" s="3312"/>
      <c r="E6" s="1895" t="s">
        <v>786</v>
      </c>
      <c r="F6" s="2125"/>
      <c r="G6" s="2125"/>
      <c r="H6" s="2125"/>
      <c r="I6" s="2249"/>
    </row>
    <row r="7" spans="1:12" ht="13.2">
      <c r="A7" s="3343"/>
      <c r="B7" s="3381"/>
      <c r="C7" s="3315"/>
      <c r="D7" s="3312"/>
      <c r="E7" s="1895" t="s">
        <v>787</v>
      </c>
      <c r="F7" s="2125"/>
      <c r="G7" s="2125"/>
      <c r="H7" s="2125"/>
      <c r="I7" s="2249"/>
    </row>
    <row r="8" spans="1:12" ht="13.2">
      <c r="A8" s="3343" t="s">
        <v>788</v>
      </c>
      <c r="B8" s="3381">
        <v>15</v>
      </c>
      <c r="C8" s="3313"/>
      <c r="D8" s="3312"/>
      <c r="E8" s="1895" t="s">
        <v>789</v>
      </c>
      <c r="F8" s="2125"/>
      <c r="G8" s="2125"/>
      <c r="H8" s="2125"/>
      <c r="I8" s="2249"/>
    </row>
    <row r="9" spans="1:12" ht="13.2">
      <c r="A9" s="3343"/>
      <c r="B9" s="3381"/>
      <c r="C9" s="3315"/>
      <c r="D9" s="3312"/>
      <c r="E9" s="1895" t="s">
        <v>790</v>
      </c>
      <c r="F9" s="2125"/>
      <c r="G9" s="2125"/>
      <c r="H9" s="2125"/>
      <c r="I9" s="2249"/>
    </row>
    <row r="10" spans="1:12" ht="13.2">
      <c r="A10" s="3343" t="s">
        <v>791</v>
      </c>
      <c r="B10" s="3381">
        <v>15</v>
      </c>
      <c r="C10" s="3313"/>
      <c r="D10" s="3312"/>
      <c r="E10" s="1895" t="s">
        <v>792</v>
      </c>
      <c r="F10" s="2125"/>
      <c r="G10" s="2125"/>
      <c r="H10" s="2125"/>
      <c r="I10" s="2249"/>
    </row>
    <row r="11" spans="1:12" ht="13.2">
      <c r="A11" s="3343"/>
      <c r="B11" s="3381"/>
      <c r="C11" s="3315"/>
      <c r="D11" s="3312"/>
      <c r="E11" s="1895" t="s">
        <v>793</v>
      </c>
      <c r="F11" s="2125"/>
      <c r="G11" s="2125"/>
      <c r="H11" s="2125"/>
      <c r="I11" s="2249"/>
    </row>
    <row r="12" spans="1:12" ht="13.2">
      <c r="A12" s="3343" t="s">
        <v>794</v>
      </c>
      <c r="B12" s="3381">
        <v>15</v>
      </c>
      <c r="C12" s="3313"/>
      <c r="D12" s="3312"/>
      <c r="E12" s="1895" t="s">
        <v>795</v>
      </c>
      <c r="F12" s="2125"/>
      <c r="G12" s="2125"/>
      <c r="H12" s="2125"/>
      <c r="I12" s="2249"/>
    </row>
    <row r="13" spans="1:12" ht="13.2">
      <c r="A13" s="3343"/>
      <c r="B13" s="3381"/>
      <c r="C13" s="3315"/>
      <c r="D13" s="3312"/>
      <c r="E13" s="1895" t="s">
        <v>796</v>
      </c>
      <c r="F13" s="2125"/>
      <c r="G13" s="2125"/>
      <c r="H13" s="2125"/>
      <c r="I13" s="2249"/>
    </row>
    <row r="14" spans="1:12" ht="13.2">
      <c r="A14" s="3343" t="s">
        <v>797</v>
      </c>
      <c r="B14" s="3381">
        <v>30</v>
      </c>
      <c r="C14" s="3313">
        <v>6</v>
      </c>
      <c r="D14" s="3312">
        <v>4</v>
      </c>
      <c r="E14" s="1895" t="s">
        <v>798</v>
      </c>
      <c r="F14" s="2125"/>
      <c r="G14" s="2125"/>
      <c r="H14" s="2125"/>
      <c r="I14" s="2249"/>
    </row>
    <row r="15" spans="1:12" ht="13.2">
      <c r="A15" s="3343"/>
      <c r="B15" s="3381"/>
      <c r="C15" s="3314"/>
      <c r="D15" s="3312"/>
      <c r="E15" s="1895" t="s">
        <v>799</v>
      </c>
      <c r="F15" s="2125"/>
      <c r="G15" s="2125"/>
      <c r="H15" s="2125"/>
      <c r="I15" s="2249"/>
    </row>
    <row r="16" spans="1:12" ht="13.2">
      <c r="A16" s="3343"/>
      <c r="B16" s="3381"/>
      <c r="C16" s="3315"/>
      <c r="D16" s="3312"/>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01" t="s">
        <v>805</v>
      </c>
      <c r="F18" s="3302"/>
      <c r="G18" s="3302"/>
      <c r="H18" s="3302"/>
      <c r="I18" s="3302"/>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806</v>
      </c>
      <c r="B19" s="2132" t="s">
        <v>807</v>
      </c>
      <c r="C19" s="2133">
        <f ca="1">SUMIF(INDIRECT("'"&amp;C4&amp;"'"&amp;"!A:A"),结果表104!B19,INDIRECT("'"&amp;C4&amp;"'"&amp;"!B:B"))</f>
        <v>150.71369999999999</v>
      </c>
      <c r="D19" s="1245">
        <f ca="1">SUMIF(INDIRECT("'"&amp;D4&amp;"'"&amp;"!A:A"),结果表104!B19,INDIRECT("'"&amp;D4&amp;"'"&amp;"!B:B"))</f>
        <v>101.79049999999999</v>
      </c>
      <c r="E19" s="1129" t="s">
        <v>808</v>
      </c>
      <c r="F19" s="2132" t="s">
        <v>807</v>
      </c>
      <c r="G19" s="2134">
        <f ca="1">ROUND(C19*$C$18+D19*$D$18,0)</f>
        <v>131</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SUMIF(INDIRECT("'"&amp;C4&amp;"'"&amp;"!A:A"),结果表104!B20,INDIRECT("'"&amp;C4&amp;"'"&amp;"!B:B"))</f>
        <v>35066</v>
      </c>
      <c r="D20" s="1602">
        <f ca="1">SUMIF(INDIRECT("'"&amp;D4&amp;"'"&amp;"!A:A"),结果表104!B20,INDIRECT("'"&amp;D4&amp;"'"&amp;"!B:B"))</f>
        <v>23683</v>
      </c>
      <c r="E20" s="2136"/>
      <c r="F20" s="2137" t="s">
        <v>810</v>
      </c>
      <c r="G20" s="2138">
        <f ca="1">ROUND(C20*$C$18+D20*$D$18,0)</f>
        <v>30513</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0.48062638458402307</v>
      </c>
      <c r="E22" s="1458"/>
      <c r="F22" s="1458"/>
      <c r="G22" s="1458"/>
      <c r="H22" s="1458"/>
      <c r="I22" s="1458"/>
    </row>
    <row r="23" spans="1:36" ht="13.8" thickBot="1">
      <c r="A23" s="1998"/>
      <c r="B23" s="1998"/>
      <c r="C23" s="1998"/>
      <c r="D23" s="1998"/>
      <c r="E23" s="1458"/>
      <c r="F23" s="1458"/>
      <c r="G23" s="1458"/>
      <c r="H23" s="1458"/>
      <c r="I23" s="1458"/>
    </row>
    <row r="24" spans="1:36" ht="14.4">
      <c r="A24" s="3374" t="s">
        <v>814</v>
      </c>
      <c r="B24" s="2132" t="s">
        <v>807</v>
      </c>
      <c r="C24" s="2134">
        <f>IF(B30=0,0,D30)</f>
        <v>0</v>
      </c>
      <c r="D24" s="2148"/>
      <c r="E24" s="1458"/>
      <c r="F24" s="1458"/>
      <c r="G24" s="1458"/>
      <c r="H24" s="1458"/>
      <c r="I24" s="1458"/>
      <c r="K24" s="1522" t="s">
        <v>2863</v>
      </c>
      <c r="L24" s="1522" t="s">
        <v>2862</v>
      </c>
      <c r="M24" s="1522" t="s">
        <v>2861</v>
      </c>
    </row>
    <row r="25" spans="1:36" ht="14.4">
      <c r="A25" s="3375"/>
      <c r="B25" s="2137" t="s">
        <v>810</v>
      </c>
      <c r="C25" s="2149">
        <f>IF(B30=0,0,C30)</f>
        <v>0</v>
      </c>
      <c r="D25" s="2150"/>
      <c r="E25" s="1458"/>
      <c r="F25" s="1458"/>
      <c r="G25" s="1458"/>
      <c r="H25" s="1458"/>
      <c r="I25" s="1458"/>
      <c r="K25" s="3195">
        <v>110</v>
      </c>
      <c r="L25" s="3195">
        <f ca="1">结果表101!G20</f>
        <v>34440</v>
      </c>
      <c r="M25" s="3195">
        <f ca="1">结果表101!G19</f>
        <v>453</v>
      </c>
      <c r="N25" s="1417">
        <v>1008</v>
      </c>
    </row>
    <row r="26" spans="1:36" ht="13.5" customHeight="1">
      <c r="A26" s="2151" t="s">
        <v>815</v>
      </c>
      <c r="B26" s="2152" t="s">
        <v>816</v>
      </c>
      <c r="C26" s="2152" t="s">
        <v>817</v>
      </c>
      <c r="D26" s="2153" t="s">
        <v>818</v>
      </c>
      <c r="E26" s="1458"/>
      <c r="F26" s="1458"/>
      <c r="G26" s="1458"/>
      <c r="H26" s="1458"/>
      <c r="I26" s="1458"/>
      <c r="K26" s="3195">
        <v>111</v>
      </c>
      <c r="L26" s="3195">
        <f ca="1">结果表103!G20</f>
        <v>33246</v>
      </c>
      <c r="M26" s="3195">
        <f ca="1">结果表103!G19</f>
        <v>102</v>
      </c>
      <c r="N26" s="1417">
        <v>1064</v>
      </c>
    </row>
    <row r="27" spans="1:36" ht="13.8">
      <c r="A27" s="2151"/>
      <c r="B27" s="2152">
        <v>0</v>
      </c>
      <c r="C27" s="2152">
        <v>0</v>
      </c>
      <c r="D27" s="2153">
        <f>ROUND(C27*B27/10000,0)</f>
        <v>0</v>
      </c>
      <c r="E27" s="1458"/>
      <c r="F27" s="1458"/>
      <c r="G27" s="1458"/>
      <c r="H27" s="1458"/>
      <c r="I27" s="1458"/>
      <c r="K27" s="3195">
        <v>112</v>
      </c>
      <c r="L27" s="3195">
        <f ca="1">G20</f>
        <v>30513</v>
      </c>
      <c r="M27" s="3195">
        <f ca="1">G19</f>
        <v>131</v>
      </c>
      <c r="N27" s="1417">
        <v>435</v>
      </c>
    </row>
    <row r="28" spans="1:36" ht="13.8">
      <c r="A28" s="2151"/>
      <c r="B28" s="2152"/>
      <c r="C28" s="2152"/>
      <c r="D28" s="2153"/>
      <c r="E28" s="1458"/>
      <c r="F28" s="1458"/>
      <c r="G28" s="1458"/>
      <c r="H28" s="1458"/>
      <c r="I28" s="1458"/>
      <c r="K28" s="3196" t="s">
        <v>2864</v>
      </c>
      <c r="L28" s="3195" t="s">
        <v>2865</v>
      </c>
      <c r="M28" s="3195">
        <f ca="1">SUM(M25:M27)</f>
        <v>686</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30513</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25051</v>
      </c>
      <c r="D34" s="2169">
        <f ca="1">IF(C33="自定义",ROUND(C34/C32,3),IF(C33="收益比率",SUMIF(INDIRECT("'"&amp;D33&amp;"'"&amp;"!b:b"),"土地收益比率",INDIRECT("'"&amp;D33&amp;"'"&amp;"!c:c")),SUMIF(INDIRECT("'"&amp;D33&amp;"'"&amp;"!b:b"),"土地成本比率",INDIRECT("'"&amp;D33&amp;"'"&amp;"!c:c"))))</f>
        <v>0.82099999999999995</v>
      </c>
      <c r="E34" s="2170" t="s">
        <v>827</v>
      </c>
      <c r="F34" s="2171"/>
      <c r="G34" s="1458"/>
      <c r="H34" s="1458"/>
      <c r="I34" s="1458"/>
    </row>
    <row r="35" spans="1:15" ht="15" thickBot="1">
      <c r="A35" s="2172"/>
      <c r="B35" s="2173" t="s">
        <v>828</v>
      </c>
      <c r="C35" s="2174">
        <f ca="1">IF(C33="自定义",F35,ROUND(C32*D35,0))</f>
        <v>5462</v>
      </c>
      <c r="D35" s="2175">
        <f ca="1">IF(C33="自定义",ROUND(C35/C32,3),IF(C33="收益比率",SUMIF(INDIRECT("'"&amp;D33&amp;"'"&amp;"!b:b"),"建筑物收益比率",INDIRECT("'"&amp;D33&amp;"'"&amp;"!c:c")),SUMIF(INDIRECT("'"&amp;D33&amp;"'"&amp;"!b:b"),"建筑物成本比率",INDIRECT("'"&amp;D33&amp;"'"&amp;"!c:c"))))</f>
        <v>0.17899999999999999</v>
      </c>
      <c r="E35" s="2176" t="s">
        <v>829</v>
      </c>
      <c r="F35" s="2177"/>
      <c r="G35" s="1458"/>
      <c r="H35" s="1458"/>
      <c r="I35" s="1458"/>
    </row>
    <row r="36" spans="1:15" ht="15" thickBot="1">
      <c r="A36" s="3376" t="s">
        <v>830</v>
      </c>
      <c r="B36" s="2178" t="s">
        <v>831</v>
      </c>
      <c r="C36" s="2179"/>
      <c r="D36" s="2180"/>
      <c r="E36" s="2181"/>
      <c r="F36" s="2182"/>
      <c r="G36" s="1458"/>
      <c r="H36" s="1458"/>
      <c r="I36" s="1458"/>
    </row>
    <row r="37" spans="1:15" ht="15" thickBot="1">
      <c r="A37" s="3377"/>
      <c r="B37" s="2183" t="s">
        <v>832</v>
      </c>
      <c r="C37" s="2184"/>
      <c r="D37" s="2185"/>
      <c r="E37" s="2185"/>
      <c r="F37" s="2182"/>
      <c r="G37" s="1458"/>
      <c r="H37" s="1458"/>
      <c r="I37" s="1458"/>
    </row>
    <row r="38" spans="1:15" ht="15" thickBot="1">
      <c r="A38" s="3378"/>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03" t="s">
        <v>841</v>
      </c>
      <c r="B45" s="3304"/>
      <c r="C45" s="3305"/>
      <c r="D45" s="2204">
        <f ca="1">ROUND(H101*F45,4)</f>
        <v>131</v>
      </c>
      <c r="E45" s="2205" t="s">
        <v>842</v>
      </c>
      <c r="F45" s="2206">
        <v>1</v>
      </c>
      <c r="G45" s="1865" t="s">
        <v>843</v>
      </c>
      <c r="H45" s="1458"/>
      <c r="I45" s="1458"/>
      <c r="J45" s="3306" t="s">
        <v>844</v>
      </c>
      <c r="K45" s="3306"/>
      <c r="L45" s="3306"/>
      <c r="M45" s="3306"/>
      <c r="N45" s="3306"/>
      <c r="O45" s="3306"/>
    </row>
    <row r="46" spans="1:15" ht="14.25" customHeight="1">
      <c r="A46" s="3307" t="s">
        <v>845</v>
      </c>
      <c r="B46" s="3308"/>
      <c r="C46" s="3308"/>
      <c r="D46" s="3308"/>
      <c r="E46" s="3308"/>
      <c r="F46" s="3308"/>
      <c r="G46" s="3309"/>
      <c r="H46" s="2207"/>
      <c r="I46" s="1459"/>
      <c r="J46" s="576">
        <v>1</v>
      </c>
      <c r="K46" s="3310" t="s">
        <v>846</v>
      </c>
      <c r="L46" s="3310"/>
      <c r="M46" s="3311"/>
      <c r="N46" s="3311"/>
      <c r="O46" s="3311"/>
    </row>
    <row r="47" spans="1:15" ht="12" customHeight="1">
      <c r="A47" s="2208" t="s">
        <v>847</v>
      </c>
      <c r="B47" s="2209"/>
      <c r="C47" s="2210"/>
      <c r="D47" s="1904" t="s">
        <v>848</v>
      </c>
      <c r="E47" s="1855" t="s">
        <v>849</v>
      </c>
      <c r="F47" s="2211" t="s">
        <v>850</v>
      </c>
      <c r="G47" s="2212" t="s">
        <v>851</v>
      </c>
      <c r="H47" s="2213"/>
      <c r="I47" s="1459"/>
      <c r="J47" s="576">
        <v>2</v>
      </c>
      <c r="K47" s="3310" t="s">
        <v>852</v>
      </c>
      <c r="L47" s="3310"/>
      <c r="M47" s="3316">
        <f>'数据-取费表'!B2</f>
        <v>45862</v>
      </c>
      <c r="N47" s="3316"/>
      <c r="O47" s="3316"/>
    </row>
    <row r="48" spans="1:15" ht="39.6">
      <c r="A48" s="3317" t="s">
        <v>853</v>
      </c>
      <c r="B48" s="3318"/>
      <c r="C48" s="3318"/>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10" t="s">
        <v>856</v>
      </c>
      <c r="L48" s="3310"/>
      <c r="M48" s="3319">
        <f ca="1">H101</f>
        <v>131</v>
      </c>
      <c r="N48" s="3319"/>
      <c r="O48" s="3319"/>
    </row>
    <row r="49" spans="1:35" ht="25.5" customHeight="1">
      <c r="A49" s="2214" t="s">
        <v>857</v>
      </c>
      <c r="B49" s="3320" t="s">
        <v>858</v>
      </c>
      <c r="C49" s="3320"/>
      <c r="D49" s="2218">
        <v>0</v>
      </c>
      <c r="E49" s="1914" t="s">
        <v>859</v>
      </c>
      <c r="F49" s="2219" t="s">
        <v>124</v>
      </c>
      <c r="G49" s="3326"/>
      <c r="H49" s="2220" t="s">
        <v>860</v>
      </c>
      <c r="I49" s="2255"/>
      <c r="J49" s="576">
        <v>4</v>
      </c>
      <c r="K49" s="3310" t="str">
        <f>IF(项目基本情况!E8="房地产抵押价值","房地产抵押价值","抵押担保权已注销时的房地产抵押价值")</f>
        <v>房地产抵押价值</v>
      </c>
      <c r="L49" s="3310"/>
      <c r="M49" s="3319">
        <f ca="1">IF(项目基本情况!E8="房地产抵押价值",H107,H109)</f>
        <v>131</v>
      </c>
      <c r="N49" s="3319"/>
      <c r="O49" s="3319"/>
    </row>
    <row r="50" spans="1:35" ht="25.5" customHeight="1">
      <c r="A50" s="2221"/>
      <c r="B50" s="3320" t="s">
        <v>861</v>
      </c>
      <c r="C50" s="3320"/>
      <c r="D50" s="2222"/>
      <c r="E50" s="1929"/>
      <c r="F50" s="2219"/>
      <c r="G50" s="3327"/>
      <c r="H50" s="2223" t="s">
        <v>862</v>
      </c>
      <c r="I50" s="2255"/>
      <c r="J50" s="3306" t="s">
        <v>863</v>
      </c>
      <c r="K50" s="3306"/>
      <c r="L50" s="3306"/>
      <c r="M50" s="3306"/>
      <c r="N50" s="3306"/>
      <c r="O50" s="3306"/>
      <c r="P50" s="1522" t="s">
        <v>2868</v>
      </c>
      <c r="Q50" s="3197">
        <v>0.03</v>
      </c>
    </row>
    <row r="51" spans="1:35" ht="20.399999999999999" customHeight="1">
      <c r="A51" s="2224"/>
      <c r="B51" s="3320" t="s">
        <v>864</v>
      </c>
      <c r="C51" s="3320"/>
      <c r="D51" s="1904"/>
      <c r="E51" s="1918"/>
      <c r="F51" s="2219"/>
      <c r="G51" s="3328"/>
      <c r="H51" s="2223" t="s">
        <v>865</v>
      </c>
      <c r="I51" s="2255"/>
      <c r="J51" s="2254" t="s">
        <v>866</v>
      </c>
      <c r="K51" s="3310" t="s">
        <v>867</v>
      </c>
      <c r="L51" s="3310"/>
      <c r="M51" s="2254" t="s">
        <v>868</v>
      </c>
      <c r="N51" s="2254" t="s">
        <v>869</v>
      </c>
      <c r="O51" s="2254" t="s">
        <v>870</v>
      </c>
      <c r="P51" s="1522" t="s">
        <v>2869</v>
      </c>
      <c r="Q51" s="1417">
        <f ca="1">ROUND(M49*S51,4)</f>
        <v>1.31</v>
      </c>
      <c r="R51" s="1417" t="str">
        <f>N53</f>
        <v>销售额×税（费）率</v>
      </c>
      <c r="S51" s="3197">
        <v>0.01</v>
      </c>
    </row>
    <row r="52" spans="1:35" ht="24" customHeight="1">
      <c r="A52" s="2225" t="s">
        <v>871</v>
      </c>
      <c r="B52" s="3320" t="s">
        <v>872</v>
      </c>
      <c r="C52" s="3320"/>
      <c r="D52" s="1904">
        <f ca="1">ROUND(D45*'数据-取费表'!B41/(1+'数据-取费表'!C42),0)</f>
        <v>7</v>
      </c>
      <c r="E52" s="1908" t="s">
        <v>873</v>
      </c>
      <c r="F52" s="2226">
        <f>'数据-取费表'!B41</f>
        <v>5.5000000000000007E-2</v>
      </c>
      <c r="G52" s="2227"/>
      <c r="H52" s="2019"/>
      <c r="I52" s="2256"/>
      <c r="J52" s="576">
        <v>1</v>
      </c>
      <c r="K52" s="3322" t="s">
        <v>874</v>
      </c>
      <c r="L52" s="3322"/>
      <c r="M52" s="2257">
        <f ca="1">D48</f>
        <v>0</v>
      </c>
      <c r="N52" s="576" t="str">
        <f>E48</f>
        <v>(销售额-原购置价)×税（费）率</v>
      </c>
      <c r="O52" s="2258">
        <f>F48</f>
        <v>5.5000000000000007E-2</v>
      </c>
      <c r="P52" s="3198" t="s">
        <v>2870</v>
      </c>
      <c r="Q52" s="3198" t="s">
        <v>2871</v>
      </c>
      <c r="R52" s="3199"/>
    </row>
    <row r="53" spans="1:35" ht="12" customHeight="1">
      <c r="A53" s="2225" t="s">
        <v>875</v>
      </c>
      <c r="B53" s="3323" t="s">
        <v>876</v>
      </c>
      <c r="C53" s="3324"/>
      <c r="D53" s="1904">
        <f ca="1">ROUND(D45*'数据-取费表'!B41/(1+'数据-取费表'!C42),0)</f>
        <v>7</v>
      </c>
      <c r="E53" s="1908" t="s">
        <v>873</v>
      </c>
      <c r="F53" s="2226">
        <f>'数据-取费表'!B41</f>
        <v>5.5000000000000007E-2</v>
      </c>
      <c r="G53" s="2227"/>
      <c r="H53" s="2019"/>
      <c r="I53" s="2256"/>
      <c r="J53" s="576">
        <v>2</v>
      </c>
      <c r="K53" s="3322" t="s">
        <v>877</v>
      </c>
      <c r="L53" s="3322"/>
      <c r="M53" s="2257">
        <f t="shared" ref="M53:O54" ca="1" si="0">D55</f>
        <v>6.5500000000000003E-2</v>
      </c>
      <c r="N53" s="576" t="str">
        <f t="shared" si="0"/>
        <v>销售额×税（费）率</v>
      </c>
      <c r="O53" s="2258">
        <f t="shared" si="0"/>
        <v>5.0000000000000001E-4</v>
      </c>
      <c r="P53" s="3198" t="s">
        <v>2872</v>
      </c>
      <c r="Q53" s="3198" t="s">
        <v>2873</v>
      </c>
      <c r="R53" s="3200" t="s">
        <v>2874</v>
      </c>
    </row>
    <row r="54" spans="1:35" ht="12" customHeight="1">
      <c r="A54" s="2225" t="s">
        <v>878</v>
      </c>
      <c r="B54" s="3323" t="s">
        <v>879</v>
      </c>
      <c r="C54" s="3324"/>
      <c r="D54" s="1904">
        <f ca="1">C68</f>
        <v>0</v>
      </c>
      <c r="E54" s="1918" t="s">
        <v>880</v>
      </c>
      <c r="F54" s="2226">
        <f>'数据-取费表'!B41</f>
        <v>5.5000000000000007E-2</v>
      </c>
      <c r="G54" s="2227"/>
      <c r="H54" s="2228"/>
      <c r="I54" s="2256"/>
      <c r="J54" s="576">
        <v>3</v>
      </c>
      <c r="K54" s="3322" t="s">
        <v>881</v>
      </c>
      <c r="L54" s="3322"/>
      <c r="M54" s="2257">
        <f t="shared" ca="1" si="0"/>
        <v>0</v>
      </c>
      <c r="N54" s="576" t="str">
        <f t="shared" si="0"/>
        <v>增值额×税（费）率</v>
      </c>
      <c r="O54" s="2259" t="str">
        <f t="shared" si="0"/>
        <v>——</v>
      </c>
      <c r="P54" s="3201">
        <f ca="1">ROUND(M49*Q50,4)</f>
        <v>3.93</v>
      </c>
      <c r="Q54" s="3201">
        <f ca="1">P54+N57+Q51</f>
        <v>5.3055000000000003</v>
      </c>
      <c r="R54" s="3199"/>
    </row>
    <row r="55" spans="1:35" ht="24" customHeight="1">
      <c r="A55" s="3325" t="s">
        <v>882</v>
      </c>
      <c r="B55" s="3318"/>
      <c r="C55" s="3318"/>
      <c r="D55" s="2229">
        <f ca="1">IF(H55="个人住宅",0,ROUND(D45*I55,4))</f>
        <v>6.5500000000000003E-2</v>
      </c>
      <c r="E55" s="1908" t="s">
        <v>883</v>
      </c>
      <c r="F55" s="2226">
        <f>IF(H55="正常",I55,"免征")</f>
        <v>5.0000000000000001E-4</v>
      </c>
      <c r="G55" s="2227"/>
      <c r="H55" s="2217" t="s">
        <v>884</v>
      </c>
      <c r="I55" s="2260">
        <f>'数据-取费表'!B49</f>
        <v>5.0000000000000001E-4</v>
      </c>
      <c r="J55" s="576" t="str">
        <f>IF(H59="非个人房产","",4)</f>
        <v/>
      </c>
      <c r="K55" s="3322" t="str">
        <f>IF(H59="非个人房产","——","个人所得税")</f>
        <v>——</v>
      </c>
      <c r="L55" s="3322"/>
      <c r="M55" s="2261" t="str">
        <f>D59</f>
        <v>——</v>
      </c>
      <c r="N55" s="557" t="str">
        <f>E59</f>
        <v>——</v>
      </c>
      <c r="O55" s="2262" t="str">
        <f>F59</f>
        <v>——</v>
      </c>
      <c r="P55" s="3201">
        <f ca="1">ROUND(M49-P54,0)</f>
        <v>127</v>
      </c>
      <c r="Q55" s="3201">
        <f ca="1">ROUND(M49-Q54,0)</f>
        <v>126</v>
      </c>
      <c r="R55" s="3199"/>
    </row>
    <row r="56" spans="1:35" ht="25.2">
      <c r="A56" s="3325" t="s">
        <v>885</v>
      </c>
      <c r="B56" s="3318"/>
      <c r="C56" s="3318"/>
      <c r="D56" s="2005">
        <f ca="1">IF(H56="个人住宅",D57,D58)</f>
        <v>0</v>
      </c>
      <c r="E56" s="1908" t="s">
        <v>886</v>
      </c>
      <c r="F56" s="2226" t="str">
        <f>IF(H56="正常",F58,"免征")</f>
        <v>——</v>
      </c>
      <c r="G56" s="2230" t="s">
        <v>887</v>
      </c>
      <c r="H56" s="2231" t="s">
        <v>884</v>
      </c>
      <c r="I56" s="2239"/>
      <c r="J56" s="576" t="str">
        <f>IF(项目基本情况!K6="上海银行",IF(J55="",4,J55+1),"")</f>
        <v/>
      </c>
      <c r="K56" s="3329" t="str">
        <f>IF(项目基本情况!K6="上海银行","其他处置费用","")</f>
        <v/>
      </c>
      <c r="L56" s="3330"/>
      <c r="M56" s="2257" t="str">
        <f>IF(项目基本情况!K6="上海银行",M69,"")</f>
        <v/>
      </c>
      <c r="N56" s="3329" t="str">
        <f>IF(项目基本情况!K6="上海银行","包含处置中涉及的律师、诉讼、拍卖、评估等费用","")</f>
        <v/>
      </c>
      <c r="O56" s="3331"/>
      <c r="P56" s="3201">
        <f ca="1">ROUND(P55/B118*10000,0)</f>
        <v>29549</v>
      </c>
      <c r="Q56" s="3201">
        <f ca="1">ROUND(Q55/B118*10000,0)</f>
        <v>29316</v>
      </c>
      <c r="R56" s="3199"/>
    </row>
    <row r="57" spans="1:35" ht="13.2">
      <c r="A57" s="2225" t="s">
        <v>857</v>
      </c>
      <c r="B57" s="3323" t="s">
        <v>888</v>
      </c>
      <c r="C57" s="3324"/>
      <c r="D57" s="2218">
        <v>0</v>
      </c>
      <c r="E57" s="1914" t="s">
        <v>859</v>
      </c>
      <c r="F57" s="1855"/>
      <c r="G57" s="2227"/>
      <c r="H57" s="2232"/>
      <c r="I57" s="2239"/>
      <c r="J57" s="3322">
        <f>IF(AND(J55="",J56=""),4,IF(项目基本情况!K6="上海银行",结果表104!J56+1,结果表104!J55+1))</f>
        <v>4</v>
      </c>
      <c r="K57" s="3322" t="s">
        <v>889</v>
      </c>
      <c r="L57" s="2264" t="s">
        <v>890</v>
      </c>
      <c r="M57" s="2265"/>
      <c r="N57" s="2266">
        <f ca="1">SUMIF(M52:M56,"&lt;9e307")</f>
        <v>6.5500000000000003E-2</v>
      </c>
      <c r="O57" s="2267"/>
      <c r="P57" s="2268">
        <f ca="1">N57/M49</f>
        <v>5.0000000000000001E-4</v>
      </c>
    </row>
    <row r="58" spans="1:35" ht="25.2">
      <c r="A58" s="2225" t="s">
        <v>871</v>
      </c>
      <c r="B58" s="3323" t="s">
        <v>891</v>
      </c>
      <c r="C58" s="3320"/>
      <c r="D58" s="2005">
        <f ca="1">IF(H58="转让取得",C81,C97)</f>
        <v>0</v>
      </c>
      <c r="E58" s="1908" t="s">
        <v>886</v>
      </c>
      <c r="F58" s="1855" t="s">
        <v>124</v>
      </c>
      <c r="G58" s="2227"/>
      <c r="H58" s="2231" t="s">
        <v>892</v>
      </c>
      <c r="I58" s="2239"/>
      <c r="J58" s="3322"/>
      <c r="K58" s="3322"/>
      <c r="L58" s="2264" t="s">
        <v>893</v>
      </c>
      <c r="M58" s="2269"/>
      <c r="N58" s="2270" t="str">
        <f ca="1">NUMBERSTRING(INT(N57*10000),2)&amp;"元整"</f>
        <v>陆佰伍拾伍元整</v>
      </c>
      <c r="O58" s="2271"/>
    </row>
    <row r="59" spans="1:35" ht="24.6" thickBot="1">
      <c r="A59" s="3332" t="s">
        <v>894</v>
      </c>
      <c r="B59" s="3333"/>
      <c r="C59" s="333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2867</v>
      </c>
      <c r="I59" s="2272" t="s">
        <v>895</v>
      </c>
      <c r="J59" s="3337">
        <f>J57+1</f>
        <v>5</v>
      </c>
      <c r="K59" s="3322" t="s">
        <v>896</v>
      </c>
      <c r="L59" s="576" t="s">
        <v>890</v>
      </c>
      <c r="M59" s="2273"/>
      <c r="N59" s="2274">
        <f ca="1">M49-N57</f>
        <v>130.93450000000001</v>
      </c>
      <c r="O59" s="2275"/>
    </row>
    <row r="60" spans="1:35" ht="12" customHeight="1">
      <c r="A60" s="2237"/>
      <c r="B60" s="1998"/>
      <c r="C60" s="1998"/>
      <c r="D60" s="1998"/>
      <c r="E60" s="2238"/>
      <c r="F60" s="2239"/>
      <c r="G60" s="2239"/>
      <c r="H60" s="1459"/>
      <c r="I60" s="1458"/>
      <c r="J60" s="3338"/>
      <c r="K60" s="3322"/>
      <c r="L60" s="2264" t="s">
        <v>893</v>
      </c>
      <c r="M60" s="2269"/>
      <c r="N60" s="2270" t="str">
        <f ca="1">NUMBERSTRING(INT(N59*10000),2)&amp;"元整"</f>
        <v>壹佰叁拾万玖仟叁佰肆拾伍元整</v>
      </c>
      <c r="O60" s="2271"/>
    </row>
    <row r="61" spans="1:35" ht="13.8" thickBot="1">
      <c r="A61" s="3334" t="s">
        <v>897</v>
      </c>
      <c r="B61" s="3334"/>
      <c r="C61" s="3334"/>
      <c r="D61" s="3334"/>
      <c r="E61" s="3334"/>
      <c r="F61" s="2239"/>
      <c r="G61" s="2239"/>
      <c r="H61" s="1459"/>
      <c r="I61" s="1458"/>
      <c r="J61" s="576">
        <f>J59+1</f>
        <v>6</v>
      </c>
      <c r="K61" s="3322" t="s">
        <v>898</v>
      </c>
      <c r="L61" s="3322"/>
      <c r="M61" s="2276"/>
      <c r="N61" s="2488">
        <f ca="1">ROUND(N59*10000/'数据-汇总表'!E3,0)</f>
        <v>6384</v>
      </c>
      <c r="O61" s="2277"/>
    </row>
    <row r="62" spans="1:35" ht="13.2">
      <c r="A62" s="3335" t="s">
        <v>899</v>
      </c>
      <c r="B62" s="3336"/>
      <c r="C62" s="528"/>
      <c r="D62" s="528" t="s">
        <v>900</v>
      </c>
      <c r="E62" s="2240" t="s">
        <v>851</v>
      </c>
      <c r="F62" s="2239"/>
      <c r="G62" s="2239"/>
      <c r="H62" s="1459"/>
      <c r="I62" s="1458"/>
    </row>
    <row r="63" spans="1:35" ht="13.2">
      <c r="A63" s="2241" t="s">
        <v>901</v>
      </c>
      <c r="B63" s="586" t="s">
        <v>902</v>
      </c>
      <c r="C63" s="2242">
        <f ca="1">ROUND((C64+C65)/(1+'数据-取费表'!C42),4)</f>
        <v>124.7619</v>
      </c>
      <c r="D63" s="586"/>
      <c r="E63" s="2243"/>
      <c r="F63" s="2239"/>
      <c r="G63" s="2239"/>
      <c r="H63" s="1459"/>
      <c r="I63" s="1458"/>
      <c r="J63" s="3321" t="s">
        <v>903</v>
      </c>
      <c r="K63" s="2278" t="s">
        <v>904</v>
      </c>
      <c r="L63" s="2278">
        <f ca="1">IF(M49&gt;10000,M49*0.5%,IF(AND(M49&gt;1000,M49&lt;=10000),M49*1%,IF(AND(M49&gt;100,M49&lt;=1000),M49*3%,IF(AND(M49&gt;10,M49&lt;=100),M49*5%,M49*8%))))</f>
        <v>3.9299999999999997</v>
      </c>
      <c r="M63" s="1855">
        <f ca="1">ROUND(L63,1)</f>
        <v>3.9</v>
      </c>
      <c r="N63" s="2279"/>
      <c r="Z63" s="2113"/>
      <c r="AI63" s="2114"/>
    </row>
    <row r="64" spans="1:35" ht="14.25" customHeight="1">
      <c r="A64" s="2244" t="s">
        <v>905</v>
      </c>
      <c r="B64" s="509" t="s">
        <v>906</v>
      </c>
      <c r="C64" s="2245">
        <f ca="1">D45</f>
        <v>131</v>
      </c>
      <c r="D64" s="509" t="s">
        <v>124</v>
      </c>
      <c r="E64" s="2246"/>
      <c r="F64" s="2239"/>
      <c r="G64" s="2239"/>
      <c r="H64" s="1459"/>
      <c r="I64" s="1458"/>
      <c r="J64" s="3321"/>
      <c r="K64" s="2278" t="s">
        <v>907</v>
      </c>
      <c r="L64" s="2278">
        <f ca="1">IF(M49&gt;2000,M49*0.5%,IF(AND(M49&gt;1000,M49&lt;=2000),M49*0.6%,IF(AND(M49&gt;500,M49&lt;=1000),M49*0.7%,IF(AND(M49&gt;200,M49&lt;=500),M49*0.8%,IF(AND(M49&gt;100,M49&lt;=200),M49*0.9%,IF(AND(M49&gt;50,M49&lt;=100),M49*1%,IF(AND(M49&gt;20,M49&lt;=50),M49*1.5%,IF(AND(M49&gt;10,M49&lt;=20),M49*2%,IF(AND(M49&gt;1,M49&lt;=10),M49*2.5%)))))))))</f>
        <v>1.179</v>
      </c>
      <c r="M64" s="1855">
        <f t="shared" ref="M64:M65" ca="1" si="1">ROUND(L64,1)</f>
        <v>1.2</v>
      </c>
      <c r="N64" s="2019" t="s">
        <v>908</v>
      </c>
      <c r="Z64" s="2113"/>
      <c r="AI64" s="2114"/>
    </row>
    <row r="65" spans="1:35" ht="14.25" customHeight="1">
      <c r="A65" s="2244" t="s">
        <v>909</v>
      </c>
      <c r="B65" s="509" t="s">
        <v>910</v>
      </c>
      <c r="C65" s="2281"/>
      <c r="D65" s="509"/>
      <c r="E65" s="2246"/>
      <c r="F65" s="2239"/>
      <c r="G65" s="2239"/>
      <c r="H65" s="1459"/>
      <c r="I65" s="1458"/>
      <c r="J65" s="3321"/>
      <c r="K65" s="2278" t="s">
        <v>911</v>
      </c>
      <c r="L65" s="2278">
        <f ca="1">IF(M49&gt;1000,M49*0.1%,IF(AND(M49&gt;500,M49&lt;=1000),M49*0.5%,IF(AND(M49&gt;50,M49&lt;=500),M49*1%,IF(AND(M49&gt;1,M49&lt;=50),M49*1.5%))))</f>
        <v>1.31</v>
      </c>
      <c r="M65" s="1855">
        <f t="shared" ca="1" si="1"/>
        <v>1.3</v>
      </c>
      <c r="N65" s="2019" t="s">
        <v>908</v>
      </c>
      <c r="Z65" s="2113"/>
      <c r="AI65" s="2114"/>
    </row>
    <row r="66" spans="1:35" ht="14.25" customHeight="1">
      <c r="A66" s="2241" t="s">
        <v>912</v>
      </c>
      <c r="B66" s="2282" t="s">
        <v>913</v>
      </c>
      <c r="C66" s="2283">
        <f>493.04/1.05</f>
        <v>469.56190476190477</v>
      </c>
      <c r="D66" s="2282" t="s">
        <v>124</v>
      </c>
      <c r="E66" s="2284" t="s">
        <v>914</v>
      </c>
      <c r="F66" s="2239"/>
      <c r="G66" s="2239"/>
      <c r="H66" s="1459"/>
      <c r="I66" s="1458"/>
      <c r="J66" s="3321"/>
      <c r="K66" s="2278" t="s">
        <v>915</v>
      </c>
      <c r="L66" s="2278">
        <f ca="1">M49*0.5%</f>
        <v>0.65500000000000003</v>
      </c>
      <c r="M66" s="1855">
        <f ca="1">IF(L66&gt;0.5,0.5,ROUND(L66,0))</f>
        <v>0.5</v>
      </c>
      <c r="N66" s="2019" t="s">
        <v>916</v>
      </c>
      <c r="Z66" s="2113"/>
      <c r="AI66" s="2114"/>
    </row>
    <row r="67" spans="1:35" ht="14.25" customHeight="1">
      <c r="A67" s="2241" t="s">
        <v>917</v>
      </c>
      <c r="B67" s="2282" t="s">
        <v>918</v>
      </c>
      <c r="C67" s="2285">
        <f ca="1">C63-C66</f>
        <v>-344.8000047619048</v>
      </c>
      <c r="D67" s="509" t="s">
        <v>124</v>
      </c>
      <c r="E67" s="2246"/>
      <c r="F67" s="2239"/>
      <c r="G67" s="2239"/>
      <c r="H67" s="1459"/>
      <c r="I67" s="1458"/>
      <c r="J67" s="3321"/>
      <c r="K67" s="2278" t="s">
        <v>919</v>
      </c>
      <c r="L67" s="2278">
        <f ca="1">IF(M49&gt;=10000,(8.25+(M49-10000)*0.01%),IF(AND(M49&gt;=8000,M49&lt;10000),(7.85+(M49-8000)*0.02%),IF(AND(M49&gt;=5000,M49&lt;8000),(6.65+(M49-5000)*0.04%),IF(AND(M49&gt;=2000,M49&lt;5000),(4.25+(PM49-2000)*0.08%),IF(AND(M49&gt;=1000,M49&lt;2000),(2.75+(M49-1000)*0.15%),IF(AND(M49&gt;=100,M49&lt;1000),(0.5+(M49-100)*0.25%),IF(AND(M49&gt;0,M49&lt;100),M49*0.5%)))))))</f>
        <v>0.57750000000000001</v>
      </c>
      <c r="M67" s="1855">
        <f ca="1">ROUND(L67*0.9,1)</f>
        <v>0.5</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21"/>
      <c r="K68" s="2278" t="s">
        <v>922</v>
      </c>
      <c r="L68" s="2278">
        <f ca="1">IF(M49&gt;10000,M49*0.5%,IF(AND(M49&gt;5000,M49&lt;=10000),M49*1%,IF(AND(M49&gt;1000,M49&lt;=5000),M49*2%,IF(AND(M49&gt;200,M49&lt;=1000),M49*3%,M49*5%))))</f>
        <v>6.5500000000000007</v>
      </c>
      <c r="M68" s="1855">
        <f ca="1">ROUND(L68,1)</f>
        <v>6.6</v>
      </c>
      <c r="N68" s="2279"/>
      <c r="Z68" s="2113"/>
      <c r="AI68" s="2114"/>
    </row>
    <row r="69" spans="1:35" ht="16.5" customHeight="1">
      <c r="A69" s="2290"/>
      <c r="B69" s="2291"/>
      <c r="C69" s="2292"/>
      <c r="D69" s="693"/>
      <c r="E69" s="2293"/>
      <c r="F69" s="2238"/>
      <c r="G69" s="2238"/>
      <c r="H69" s="2198"/>
      <c r="I69" s="1998"/>
      <c r="J69" s="3321"/>
      <c r="K69" s="2278" t="s">
        <v>923</v>
      </c>
      <c r="L69" s="2278"/>
      <c r="M69" s="1855">
        <f ca="1">ROUND(SUM(M63:M68),0)</f>
        <v>14</v>
      </c>
      <c r="N69" s="2358">
        <f ca="1">M69/M49</f>
        <v>0.10687022900763359</v>
      </c>
      <c r="Z69" s="2113"/>
      <c r="AI69" s="2114"/>
    </row>
    <row r="70" spans="1:35" s="886" customFormat="1" ht="14.4" thickBot="1">
      <c r="A70" s="3359" t="s">
        <v>924</v>
      </c>
      <c r="B70" s="3360"/>
      <c r="C70" s="3360"/>
      <c r="D70" s="3360"/>
      <c r="E70" s="3360"/>
      <c r="F70" s="3360"/>
      <c r="G70" s="3360"/>
      <c r="H70" s="3360"/>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5" t="s">
        <v>899</v>
      </c>
      <c r="B71" s="3336"/>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124.7619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743.20240000000001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742.57860000000005</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469.56190476190477</v>
      </c>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281.7371</v>
      </c>
      <c r="D76" s="2304">
        <v>0.05</v>
      </c>
      <c r="E76" s="3323" t="s">
        <v>935</v>
      </c>
      <c r="F76" s="3320"/>
      <c r="G76" s="3320"/>
      <c r="H76" s="3361"/>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13.639699999999999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0.62380000000000002</v>
      </c>
      <c r="D78" s="2310">
        <f>'数据-取费表'!B43</f>
        <v>5.000000000000001E-3</v>
      </c>
      <c r="E78" s="3362" t="s">
        <v>941</v>
      </c>
      <c r="F78" s="3363"/>
      <c r="G78" s="3363"/>
      <c r="H78" s="336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-618.44050000000004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59" t="s">
        <v>946</v>
      </c>
      <c r="B83" s="3360"/>
      <c r="C83" s="3360"/>
      <c r="D83" s="3360"/>
      <c r="E83" s="3360"/>
      <c r="F83" s="3360"/>
      <c r="G83" s="3360"/>
      <c r="H83" s="3360"/>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5" t="s">
        <v>899</v>
      </c>
      <c r="B84" s="3336"/>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71" t="s">
        <v>954</v>
      </c>
      <c r="H90" s="3372"/>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62" t="s">
        <v>958</v>
      </c>
      <c r="F91" s="3363"/>
      <c r="G91" s="336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62" t="s">
        <v>961</v>
      </c>
      <c r="F92" s="3363"/>
      <c r="G92" s="3363"/>
      <c r="H92" s="336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62" t="s">
        <v>941</v>
      </c>
      <c r="F93" s="3363"/>
      <c r="G93" s="3363"/>
      <c r="H93" s="336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84" t="s">
        <v>966</v>
      </c>
      <c r="F94" s="3385"/>
      <c r="G94" s="3385"/>
      <c r="H94" s="3386"/>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124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124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74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5" t="s">
        <v>968</v>
      </c>
      <c r="B100" s="3286"/>
      <c r="C100" s="3286"/>
      <c r="D100" s="3347"/>
      <c r="E100" s="3286" t="s">
        <v>969</v>
      </c>
      <c r="F100" s="3286"/>
      <c r="G100" s="3286"/>
      <c r="H100" s="3347"/>
      <c r="I100" s="1458"/>
    </row>
    <row r="101" spans="1:35" ht="18.75" customHeight="1">
      <c r="A101" s="3348" t="s">
        <v>970</v>
      </c>
      <c r="B101" s="3349"/>
      <c r="C101" s="2334" t="str">
        <f>C4</f>
        <v>比较法-商业3</v>
      </c>
      <c r="D101" s="2335" t="str">
        <f>D4</f>
        <v>收益法3</v>
      </c>
      <c r="E101" s="3370" t="s">
        <v>971</v>
      </c>
      <c r="F101" s="3366"/>
      <c r="G101" s="2337" t="s">
        <v>972</v>
      </c>
      <c r="H101" s="2338">
        <f ca="1">H118</f>
        <v>131</v>
      </c>
      <c r="I101" s="1458"/>
    </row>
    <row r="102" spans="1:35" ht="18.75" customHeight="1">
      <c r="A102" s="3379" t="s">
        <v>973</v>
      </c>
      <c r="B102" s="2339" t="s">
        <v>972</v>
      </c>
      <c r="C102" s="2334">
        <f ca="1">IF(D32="楼面单价",ROUND(C19,0),C19)</f>
        <v>151</v>
      </c>
      <c r="D102" s="2335">
        <f ca="1">IF(D32="楼面单价",ROUND(D19,0),D19)</f>
        <v>102</v>
      </c>
      <c r="E102" s="3370"/>
      <c r="F102" s="3366"/>
      <c r="G102" s="2337" t="s">
        <v>99</v>
      </c>
      <c r="H102" s="2227">
        <f ca="1">I118</f>
        <v>30513</v>
      </c>
      <c r="I102" s="1458"/>
    </row>
    <row r="103" spans="1:35" ht="42.75" customHeight="1">
      <c r="A103" s="3379"/>
      <c r="B103" s="2339" t="s">
        <v>99</v>
      </c>
      <c r="C103" s="2340">
        <f ca="1">C20</f>
        <v>35066</v>
      </c>
      <c r="D103" s="2341">
        <f ca="1">D20</f>
        <v>23683</v>
      </c>
      <c r="E103" s="3350" t="s">
        <v>974</v>
      </c>
      <c r="F103" s="3351"/>
      <c r="G103" s="2342" t="s">
        <v>102</v>
      </c>
      <c r="H103" s="2338">
        <f>IF(D36="正常操作",H104+H105+H106,H105+H106)</f>
        <v>0</v>
      </c>
      <c r="I103" s="1458"/>
    </row>
    <row r="104" spans="1:35" ht="18.75" customHeight="1">
      <c r="A104" s="3379" t="s">
        <v>975</v>
      </c>
      <c r="B104" s="2343" t="s">
        <v>972</v>
      </c>
      <c r="C104" s="2344">
        <f ca="1">H118</f>
        <v>131</v>
      </c>
      <c r="D104" s="2345"/>
      <c r="E104" s="2183" t="s">
        <v>976</v>
      </c>
      <c r="F104" s="2346"/>
      <c r="G104" s="2342" t="s">
        <v>102</v>
      </c>
      <c r="H104" s="2347">
        <f>IF(D36="同一抵押权人同一抵押物续贷",C36&amp;"（续贷，未扣减，详见特别提示）",C36)</f>
        <v>0</v>
      </c>
      <c r="I104" s="1458"/>
    </row>
    <row r="105" spans="1:35" ht="18.75" customHeight="1" thickBot="1">
      <c r="A105" s="3380"/>
      <c r="B105" s="2348" t="s">
        <v>99</v>
      </c>
      <c r="C105" s="2349">
        <f ca="1">I118</f>
        <v>30513</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65" t="str">
        <f>IF(项目基本情况!E8="已注销","——","3.房地产抵押价值")</f>
        <v>3.房地产抵押价值</v>
      </c>
      <c r="F107" s="3366"/>
      <c r="G107" s="2337" t="s">
        <v>972</v>
      </c>
      <c r="H107" s="2338">
        <f ca="1">IF(E107="——","——",H101-H103)</f>
        <v>131</v>
      </c>
      <c r="I107" s="1458"/>
    </row>
    <row r="108" spans="1:35" ht="18.75" customHeight="1">
      <c r="A108" s="1458"/>
      <c r="B108" s="1458"/>
      <c r="C108" s="1458"/>
      <c r="D108" s="1458"/>
      <c r="E108" s="3365"/>
      <c r="F108" s="3366"/>
      <c r="G108" s="2337" t="s">
        <v>99</v>
      </c>
      <c r="H108" s="2227">
        <f ca="1">IF(H107=H101,H102,ROUND(H107*10000/'数据-汇总表'!E3,0))</f>
        <v>30513</v>
      </c>
      <c r="I108" s="1458"/>
    </row>
    <row r="109" spans="1:35" ht="18.75" customHeight="1">
      <c r="A109" s="1458"/>
      <c r="B109" s="1458"/>
      <c r="C109" s="1458"/>
      <c r="D109" s="1458"/>
      <c r="E109" s="3365" t="str">
        <f>IF(项目基本情况!E8="已注销及未注销","4.抵押担保权已注销时的房地产抵押价值",IF(项目基本情况!E8="已注销","3.抵押担保权已注销时的房地产抵押价值","——"))</f>
        <v>——</v>
      </c>
      <c r="F109" s="3366"/>
      <c r="G109" s="2337" t="s">
        <v>972</v>
      </c>
      <c r="H109" s="2353" t="str">
        <f>IF(E109="——","——",H101-H105-H106)</f>
        <v>——</v>
      </c>
      <c r="I109" s="1458"/>
    </row>
    <row r="110" spans="1:35" ht="18.75" customHeight="1">
      <c r="A110" s="1458"/>
      <c r="B110" s="1458"/>
      <c r="C110" s="1458"/>
      <c r="D110" s="1458"/>
      <c r="E110" s="3365"/>
      <c r="F110" s="3366"/>
      <c r="G110" s="2337" t="s">
        <v>99</v>
      </c>
      <c r="H110" s="2227" t="str">
        <f>IF(H109="——","——",ROUND(H109*10000/'数据-汇总表'!E3,0))</f>
        <v>——</v>
      </c>
      <c r="I110" s="1458"/>
    </row>
    <row r="111" spans="1:35" ht="18.75" customHeight="1">
      <c r="A111" s="1458"/>
      <c r="B111" s="1458"/>
      <c r="C111" s="1458"/>
      <c r="D111" s="1458"/>
      <c r="E111" s="3367" t="str">
        <f>IF(项目基本情况!E9="抵押净值",IF(OR(项目基本情况!E8="已注销",项目基本情况!E8="房地产抵押价值"),"4.抵押净值","5.抵押净值"),"——")</f>
        <v>——</v>
      </c>
      <c r="F111" s="3339"/>
      <c r="G111" s="2337" t="s">
        <v>972</v>
      </c>
      <c r="H111" s="2338" t="str">
        <f>IF(E111="——","——",N59)</f>
        <v>——</v>
      </c>
      <c r="I111" s="1458"/>
    </row>
    <row r="112" spans="1:35" ht="18.75" customHeight="1" thickBot="1">
      <c r="A112" s="1458"/>
      <c r="B112" s="1458"/>
      <c r="C112" s="1458"/>
      <c r="D112" s="1458"/>
      <c r="E112" s="3368"/>
      <c r="F112" s="3369"/>
      <c r="G112" s="2354" t="s">
        <v>99</v>
      </c>
      <c r="H112" s="2355" t="str">
        <f>IF(E111="——","——",N61)</f>
        <v>——</v>
      </c>
      <c r="I112" s="1458"/>
    </row>
    <row r="113" spans="1:27" ht="18.75" customHeight="1">
      <c r="A113" s="1458"/>
      <c r="B113" s="1458"/>
      <c r="C113" s="1458"/>
      <c r="D113" s="1458"/>
      <c r="E113" s="3352" t="s">
        <v>978</v>
      </c>
      <c r="F113" s="3352"/>
      <c r="G113" s="3352"/>
      <c r="H113" s="3352"/>
      <c r="I113" s="1458"/>
    </row>
    <row r="114" spans="1:27" ht="3.75" customHeight="1">
      <c r="A114" s="1998"/>
      <c r="B114" s="1998"/>
      <c r="C114" s="1998"/>
      <c r="D114" s="1998"/>
      <c r="E114" s="2237"/>
      <c r="F114" s="2237"/>
      <c r="G114" s="2237"/>
      <c r="H114" s="2237"/>
      <c r="I114" s="1998"/>
    </row>
    <row r="115" spans="1:27" ht="18.75" customHeight="1">
      <c r="A115" s="3353" t="s">
        <v>980</v>
      </c>
      <c r="B115" s="3354"/>
      <c r="C115" s="3354"/>
      <c r="D115" s="3354"/>
      <c r="E115" s="3354"/>
      <c r="F115" s="3354"/>
      <c r="G115" s="3354"/>
      <c r="H115" s="3354"/>
      <c r="I115" s="3355"/>
    </row>
    <row r="116" spans="1:27" ht="27" customHeight="1">
      <c r="A116" s="3343" t="s">
        <v>981</v>
      </c>
      <c r="B116" s="3382" t="s">
        <v>982</v>
      </c>
      <c r="C116" s="3382" t="s">
        <v>983</v>
      </c>
      <c r="D116" s="3356" t="s">
        <v>984</v>
      </c>
      <c r="E116" s="3357"/>
      <c r="F116" s="3358" t="s">
        <v>985</v>
      </c>
      <c r="G116" s="3358"/>
      <c r="H116" s="3343" t="s">
        <v>986</v>
      </c>
      <c r="I116" s="3343"/>
    </row>
    <row r="117" spans="1:27" ht="18.75" customHeight="1">
      <c r="A117" s="3343"/>
      <c r="B117" s="3383"/>
      <c r="C117" s="3383"/>
      <c r="D117" s="868" t="s">
        <v>987</v>
      </c>
      <c r="E117" s="868" t="s">
        <v>810</v>
      </c>
      <c r="F117" s="868" t="s">
        <v>987</v>
      </c>
      <c r="G117" s="868" t="s">
        <v>810</v>
      </c>
      <c r="H117" s="868" t="s">
        <v>987</v>
      </c>
      <c r="I117" s="868" t="s">
        <v>810</v>
      </c>
    </row>
    <row r="118" spans="1:27" ht="24.75" customHeight="1">
      <c r="A118" s="2356" t="str">
        <f>项目基本情况!S2</f>
        <v>北京市房地产</v>
      </c>
      <c r="B118" s="868">
        <f>M18</f>
        <v>42.98</v>
      </c>
      <c r="C118" s="868">
        <f>M19</f>
        <v>0</v>
      </c>
      <c r="D118" s="868">
        <f ca="1">ROUND(IF(D32="总价",C34,E118*B118/10000),0)</f>
        <v>108</v>
      </c>
      <c r="E118" s="868">
        <f ca="1">ROUND(IF(C33="自定义",IF(D32="楼面单价",C34,D118*10000/B118),I118-G118),0)</f>
        <v>25051</v>
      </c>
      <c r="F118" s="868">
        <f ca="1">ROUND(IF(D32="总价",C35,G118*B118/10000),0)</f>
        <v>23</v>
      </c>
      <c r="G118" s="868">
        <f ca="1">ROUND(IF(D32="楼面单价",C35,F118*10000/B118),0)</f>
        <v>5462</v>
      </c>
      <c r="H118" s="2357">
        <f ca="1">ROUND(IF(D32="总价",C32,I118*B118/10000),0)</f>
        <v>131</v>
      </c>
      <c r="I118" s="868">
        <f ca="1">ROUND(IF(D32="楼面单价",C32,H118*10000/B118),0)</f>
        <v>30513</v>
      </c>
    </row>
    <row r="119" spans="1:27" ht="18.75" customHeight="1">
      <c r="A119" s="3343" t="s">
        <v>988</v>
      </c>
      <c r="B119" s="3343"/>
      <c r="C119" s="3343"/>
      <c r="D119" s="3344" t="str">
        <f ca="1">NUMBERSTRING(INT(D118*10000),2)&amp;"元整"</f>
        <v>壹佰零捌万元整</v>
      </c>
      <c r="E119" s="3346"/>
      <c r="F119" s="3344" t="str">
        <f ca="1">NUMBERSTRING(INT(F118*10000),2)&amp;"元整"</f>
        <v>贰拾叁万元整</v>
      </c>
      <c r="G119" s="3346"/>
      <c r="H119" s="3344" t="str">
        <f ca="1">NUMBERSTRING(INT(H118*10000),2)&amp;"元整"</f>
        <v>壹佰叁拾壹万元整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44" t="s">
        <v>988</v>
      </c>
      <c r="B121" s="3345"/>
      <c r="C121" s="3346"/>
      <c r="D121" s="3344" t="str">
        <f>IF(D120=0,"零元整",NUMBERSTRING(INT(D120*10000),2)&amp;"元整")</f>
        <v>零元整</v>
      </c>
      <c r="E121" s="3345"/>
      <c r="F121" s="3345"/>
      <c r="G121" s="3345"/>
      <c r="H121" s="3345"/>
      <c r="I121" s="3346"/>
      <c r="AA121" s="1417"/>
    </row>
    <row r="122" spans="1:27" ht="18.75" customHeight="1">
      <c r="A122" s="3339" t="str">
        <f>IF(项目基本情况!B9="房地产市场价值","",MID(E107,3,LEN(E107)-2))</f>
        <v>房地产抵押价值</v>
      </c>
      <c r="B122" s="3339"/>
      <c r="C122" s="3339"/>
      <c r="D122" s="3340">
        <f ca="1">H107</f>
        <v>131</v>
      </c>
      <c r="E122" s="3341"/>
      <c r="F122" s="3341"/>
      <c r="G122" s="3341"/>
      <c r="H122" s="3341"/>
      <c r="I122" s="3342"/>
      <c r="AA122" s="1417"/>
    </row>
    <row r="123" spans="1:27" ht="18.75" customHeight="1">
      <c r="A123" s="3343" t="s">
        <v>988</v>
      </c>
      <c r="B123" s="3343"/>
      <c r="C123" s="3343"/>
      <c r="D123" s="3344" t="str">
        <f ca="1">NUMBERSTRING(INT(D122*10000),2)&amp;"元整"</f>
        <v>壹佰叁拾壹万元整</v>
      </c>
      <c r="E123" s="3345"/>
      <c r="F123" s="3345"/>
      <c r="G123" s="3345"/>
      <c r="H123" s="3345"/>
      <c r="I123" s="3346"/>
      <c r="AA123" s="1417"/>
    </row>
    <row r="124" spans="1:27" ht="18.75" customHeight="1">
      <c r="A124" s="3339" t="str">
        <f>IF(项目基本情况!B9="房地产市场价值","",MID(E109,3,LEN(E109)-2))</f>
        <v/>
      </c>
      <c r="B124" s="3339"/>
      <c r="C124" s="3339"/>
      <c r="D124" s="3340" t="str">
        <f>H109</f>
        <v>——</v>
      </c>
      <c r="E124" s="3341"/>
      <c r="F124" s="3341"/>
      <c r="G124" s="3341"/>
      <c r="H124" s="3341"/>
      <c r="I124" s="3342"/>
      <c r="AA124" s="1417"/>
    </row>
    <row r="125" spans="1:27" ht="18.75" customHeight="1">
      <c r="A125" s="3343" t="s">
        <v>988</v>
      </c>
      <c r="B125" s="3343"/>
      <c r="C125" s="3343"/>
      <c r="D125" s="3344" t="e">
        <f>NUMBERSTRING(INT(D124*10000),2)&amp;"元整"</f>
        <v>#VALUE!</v>
      </c>
      <c r="E125" s="3345"/>
      <c r="F125" s="3345"/>
      <c r="G125" s="3345"/>
      <c r="H125" s="3345"/>
      <c r="I125" s="3346"/>
      <c r="AA125" s="1417"/>
    </row>
    <row r="126" spans="1:27" ht="18.75" customHeight="1">
      <c r="A126" s="3339" t="str">
        <f>IF(项目基本情况!B9="房地产市场价值","",MID(E111,3,LEN(E111)-2))</f>
        <v/>
      </c>
      <c r="B126" s="3339"/>
      <c r="C126" s="3339"/>
      <c r="D126" s="3340" t="str">
        <f>H111</f>
        <v>——</v>
      </c>
      <c r="E126" s="3341"/>
      <c r="F126" s="3341"/>
      <c r="G126" s="3341"/>
      <c r="H126" s="3341"/>
      <c r="I126" s="3342"/>
      <c r="AA126" s="1417"/>
    </row>
    <row r="127" spans="1:27" ht="18.75" customHeight="1">
      <c r="A127" s="3343" t="s">
        <v>988</v>
      </c>
      <c r="B127" s="3343"/>
      <c r="C127" s="3343"/>
      <c r="D127" s="3344" t="e">
        <f>NUMBERSTRING(INT(D126*10000),2)&amp;"元整"</f>
        <v>#VALUE!</v>
      </c>
      <c r="E127" s="3345"/>
      <c r="F127" s="3345"/>
      <c r="G127" s="3345"/>
      <c r="H127" s="3345"/>
      <c r="I127" s="3346"/>
      <c r="AA127" s="1417"/>
    </row>
    <row r="128" spans="1:27" ht="21.75" customHeight="1">
      <c r="A128" s="3373" t="s">
        <v>113</v>
      </c>
      <c r="B128" s="3373"/>
      <c r="C128" s="3373"/>
      <c r="D128" s="3373"/>
      <c r="E128" s="3373"/>
      <c r="F128" s="3373"/>
      <c r="G128" s="3373"/>
      <c r="H128" s="3373"/>
      <c r="I128" s="3373"/>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1" zoomScaleNormal="70" zoomScaleSheetLayoutView="100" workbookViewId="0">
      <selection activeCell="C45" sqref="C4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104</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150.71369999999999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35066</v>
      </c>
      <c r="C3" s="1273" t="s">
        <v>1345</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395" t="s">
        <v>1347</v>
      </c>
      <c r="D4" s="3396"/>
      <c r="E4" s="3397" t="s">
        <v>1348</v>
      </c>
      <c r="F4" s="3398"/>
      <c r="G4" s="3395" t="s">
        <v>1349</v>
      </c>
      <c r="H4" s="3396"/>
      <c r="I4" s="3395" t="s">
        <v>1350</v>
      </c>
      <c r="J4" s="3396"/>
      <c r="K4" s="1064" t="s">
        <v>1351</v>
      </c>
      <c r="L4" s="1065"/>
      <c r="M4" s="1015"/>
      <c r="N4" s="1015"/>
      <c r="O4" s="1015"/>
      <c r="P4" s="3450" t="s">
        <v>1352</v>
      </c>
      <c r="Q4" s="3451"/>
      <c r="R4" s="3454" t="s">
        <v>1348</v>
      </c>
      <c r="S4" s="3455"/>
      <c r="T4" s="3454" t="s">
        <v>1349</v>
      </c>
      <c r="U4" s="3455"/>
      <c r="V4" s="3411" t="s">
        <v>1350</v>
      </c>
      <c r="W4" s="3411"/>
      <c r="X4" s="1113"/>
      <c r="Y4" s="3454" t="s">
        <v>1352</v>
      </c>
      <c r="Z4" s="3455"/>
      <c r="AA4" s="3449" t="s">
        <v>1348</v>
      </c>
      <c r="AB4" s="3411" t="s">
        <v>1349</v>
      </c>
      <c r="AC4" s="3449" t="s">
        <v>1350</v>
      </c>
    </row>
    <row r="5" spans="1:29" ht="13.95" customHeight="1">
      <c r="A5" s="922"/>
      <c r="B5" s="923"/>
      <c r="C5" s="3443" t="s">
        <v>1575</v>
      </c>
      <c r="D5" s="3400"/>
      <c r="E5" s="3444" t="s">
        <v>2846</v>
      </c>
      <c r="F5" s="3445"/>
      <c r="G5" s="3399" t="s">
        <v>2847</v>
      </c>
      <c r="H5" s="3400"/>
      <c r="I5" s="3399" t="s">
        <v>2848</v>
      </c>
      <c r="J5" s="3400"/>
      <c r="K5" s="1064"/>
      <c r="L5" s="1065"/>
      <c r="M5" s="1015"/>
      <c r="N5" s="1015"/>
      <c r="O5" s="1015"/>
      <c r="P5" s="3452"/>
      <c r="Q5" s="3433"/>
      <c r="R5" s="3438"/>
      <c r="S5" s="3439"/>
      <c r="T5" s="3438"/>
      <c r="U5" s="3439"/>
      <c r="V5" s="3411"/>
      <c r="W5" s="3411"/>
      <c r="X5" s="1113"/>
      <c r="Y5" s="3438"/>
      <c r="Z5" s="3439"/>
      <c r="AA5" s="3425"/>
      <c r="AB5" s="3411"/>
      <c r="AC5" s="3425"/>
    </row>
    <row r="6" spans="1:29" ht="15" thickBot="1">
      <c r="A6" s="924"/>
      <c r="B6" s="925"/>
      <c r="C6" s="3401" t="s">
        <v>1354</v>
      </c>
      <c r="D6" s="3402"/>
      <c r="E6" s="3403" t="s">
        <v>2796</v>
      </c>
      <c r="F6" s="3404"/>
      <c r="G6" s="3401" t="s">
        <v>2796</v>
      </c>
      <c r="H6" s="3402"/>
      <c r="I6" s="3401" t="s">
        <v>2796</v>
      </c>
      <c r="J6" s="3402"/>
      <c r="K6" s="1064" t="s">
        <v>1355</v>
      </c>
      <c r="L6" s="1065"/>
      <c r="M6" s="1015"/>
      <c r="N6" s="1015"/>
      <c r="O6" s="1015"/>
      <c r="P6" s="3453"/>
      <c r="Q6" s="3435"/>
      <c r="R6" s="3438"/>
      <c r="S6" s="3439"/>
      <c r="T6" s="3440"/>
      <c r="U6" s="3441"/>
      <c r="V6" s="3411"/>
      <c r="W6" s="3411"/>
      <c r="X6" s="1113"/>
      <c r="Y6" s="3440"/>
      <c r="Z6" s="3441"/>
      <c r="AA6" s="3426"/>
      <c r="AB6" s="3411"/>
      <c r="AC6" s="3426"/>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07" t="s">
        <v>1357</v>
      </c>
      <c r="Q7" s="3406"/>
      <c r="R7" s="1114" t="s">
        <v>1358</v>
      </c>
      <c r="S7" s="1115">
        <f t="shared" ref="S7:S15" si="0">F7</f>
        <v>100</v>
      </c>
      <c r="T7" s="1114" t="s">
        <v>1358</v>
      </c>
      <c r="U7" s="1115">
        <f t="shared" ref="U7:U15" si="1">H7</f>
        <v>100</v>
      </c>
      <c r="V7" s="1114" t="s">
        <v>1358</v>
      </c>
      <c r="W7" s="1115">
        <f t="shared" ref="W7:W15" si="2">J7</f>
        <v>100</v>
      </c>
      <c r="X7" s="1116"/>
      <c r="Y7" s="3407" t="s">
        <v>1357</v>
      </c>
      <c r="Z7" s="3408"/>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07" t="s">
        <v>1361</v>
      </c>
      <c r="Q8" s="3408"/>
      <c r="R8" s="1114" t="s">
        <v>1358</v>
      </c>
      <c r="S8" s="1115">
        <f t="shared" si="0"/>
        <v>102</v>
      </c>
      <c r="T8" s="1114" t="s">
        <v>1358</v>
      </c>
      <c r="U8" s="1115">
        <f t="shared" si="1"/>
        <v>102</v>
      </c>
      <c r="V8" s="1114" t="s">
        <v>1358</v>
      </c>
      <c r="W8" s="1115">
        <f t="shared" si="2"/>
        <v>102</v>
      </c>
      <c r="X8" s="1116"/>
      <c r="Y8" s="3407" t="s">
        <v>1361</v>
      </c>
      <c r="Z8" s="3408"/>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9" t="s">
        <v>1364</v>
      </c>
      <c r="Q9" s="790" t="str">
        <f t="shared" ref="Q9:Q15" si="6">B9</f>
        <v>用途</v>
      </c>
      <c r="R9" s="1114" t="s">
        <v>1358</v>
      </c>
      <c r="S9" s="1115">
        <f t="shared" si="0"/>
        <v>100</v>
      </c>
      <c r="T9" s="1114" t="s">
        <v>1358</v>
      </c>
      <c r="U9" s="1115">
        <f t="shared" si="1"/>
        <v>100</v>
      </c>
      <c r="V9" s="1114" t="s">
        <v>1358</v>
      </c>
      <c r="W9" s="1115">
        <f t="shared" si="2"/>
        <v>100</v>
      </c>
      <c r="X9" s="1116"/>
      <c r="Y9" s="3381" t="s">
        <v>1365</v>
      </c>
      <c r="Z9" s="1126" t="str">
        <f t="shared" ref="Z9:Z15" si="7">Q9</f>
        <v>用途</v>
      </c>
      <c r="AA9" s="1126">
        <f t="shared" si="3"/>
        <v>1</v>
      </c>
      <c r="AB9" s="1126">
        <f t="shared" si="4"/>
        <v>1</v>
      </c>
      <c r="AC9" s="1126">
        <f t="shared" si="5"/>
        <v>1</v>
      </c>
    </row>
    <row r="10" spans="1:29" s="900" customFormat="1" ht="28.8">
      <c r="A10" s="939"/>
      <c r="B10" s="940" t="s">
        <v>1366</v>
      </c>
      <c r="C10" s="1277" t="s">
        <v>2850</v>
      </c>
      <c r="D10" s="942">
        <v>100</v>
      </c>
      <c r="E10" s="3190" t="s">
        <v>2849</v>
      </c>
      <c r="F10" s="940">
        <f>SUMIF(65:65,E10,66:66)-SUMIF(65:65,C10,66:66)+100</f>
        <v>95</v>
      </c>
      <c r="G10" s="3190" t="s">
        <v>2849</v>
      </c>
      <c r="H10" s="942">
        <f>SUMIF(65:65,G10,66:66)-SUMIF(65:65,C10,66:66)+100</f>
        <v>95</v>
      </c>
      <c r="I10" s="1277" t="s">
        <v>2850</v>
      </c>
      <c r="J10" s="942">
        <f>SUMIF(65:65,I10,66:66)-SUMIF(65:65,C10,66:66)+100</f>
        <v>100</v>
      </c>
      <c r="K10" s="1069"/>
      <c r="L10" s="1075"/>
      <c r="M10" s="1076"/>
      <c r="N10" s="1076"/>
      <c r="O10" s="1076"/>
      <c r="P10" s="3409"/>
      <c r="Q10" s="790" t="str">
        <f t="shared" si="6"/>
        <v>土地使用年限（年）</v>
      </c>
      <c r="R10" s="1114" t="s">
        <v>1358</v>
      </c>
      <c r="S10" s="1115">
        <f t="shared" si="0"/>
        <v>95</v>
      </c>
      <c r="T10" s="1114" t="s">
        <v>1358</v>
      </c>
      <c r="U10" s="1115">
        <f t="shared" si="1"/>
        <v>95</v>
      </c>
      <c r="V10" s="1114" t="s">
        <v>1358</v>
      </c>
      <c r="W10" s="1115">
        <f t="shared" si="2"/>
        <v>100</v>
      </c>
      <c r="X10" s="1116"/>
      <c r="Y10" s="3381"/>
      <c r="Z10" s="1126" t="str">
        <f t="shared" si="7"/>
        <v>土地使用年限（年）</v>
      </c>
      <c r="AA10" s="1126">
        <f t="shared" si="3"/>
        <v>1.0526315789473684</v>
      </c>
      <c r="AB10" s="1126">
        <f t="shared" si="4"/>
        <v>1.0526315789473684</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9"/>
      <c r="Q11" s="790" t="str">
        <f t="shared" si="6"/>
        <v>容积率</v>
      </c>
      <c r="R11" s="1114" t="s">
        <v>1358</v>
      </c>
      <c r="S11" s="1115">
        <f t="shared" si="0"/>
        <v>100</v>
      </c>
      <c r="T11" s="1114" t="s">
        <v>1358</v>
      </c>
      <c r="U11" s="1115">
        <f t="shared" si="1"/>
        <v>100</v>
      </c>
      <c r="V11" s="1114" t="s">
        <v>1358</v>
      </c>
      <c r="W11" s="1115">
        <f t="shared" si="2"/>
        <v>100</v>
      </c>
      <c r="X11" s="1116"/>
      <c r="Y11" s="3381"/>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9"/>
      <c r="Q12" s="790">
        <f t="shared" si="6"/>
        <v>111</v>
      </c>
      <c r="R12" s="1114" t="s">
        <v>1358</v>
      </c>
      <c r="S12" s="1115">
        <f t="shared" si="0"/>
        <v>100</v>
      </c>
      <c r="T12" s="1114" t="s">
        <v>1358</v>
      </c>
      <c r="U12" s="1115">
        <f t="shared" si="1"/>
        <v>100</v>
      </c>
      <c r="V12" s="1114" t="s">
        <v>1358</v>
      </c>
      <c r="W12" s="1115">
        <f t="shared" si="2"/>
        <v>100</v>
      </c>
      <c r="X12" s="1116"/>
      <c r="Y12" s="3381"/>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9"/>
      <c r="Q13" s="790">
        <f t="shared" si="6"/>
        <v>111</v>
      </c>
      <c r="R13" s="1114" t="s">
        <v>1358</v>
      </c>
      <c r="S13" s="1115">
        <f t="shared" si="0"/>
        <v>100</v>
      </c>
      <c r="T13" s="1114" t="s">
        <v>1358</v>
      </c>
      <c r="U13" s="1115">
        <f t="shared" si="1"/>
        <v>100</v>
      </c>
      <c r="V13" s="1114" t="s">
        <v>1358</v>
      </c>
      <c r="W13" s="1115">
        <f t="shared" si="2"/>
        <v>100</v>
      </c>
      <c r="X13" s="1116"/>
      <c r="Y13" s="3381"/>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9"/>
      <c r="Q14" s="790">
        <f t="shared" si="6"/>
        <v>111</v>
      </c>
      <c r="R14" s="1114" t="s">
        <v>1358</v>
      </c>
      <c r="S14" s="1115">
        <f t="shared" si="0"/>
        <v>100</v>
      </c>
      <c r="T14" s="1114" t="s">
        <v>1358</v>
      </c>
      <c r="U14" s="1115">
        <f t="shared" si="1"/>
        <v>100</v>
      </c>
      <c r="V14" s="1114" t="s">
        <v>1358</v>
      </c>
      <c r="W14" s="1115">
        <f t="shared" si="2"/>
        <v>100</v>
      </c>
      <c r="X14" s="1116"/>
      <c r="Y14" s="3381"/>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100</v>
      </c>
      <c r="G15" s="1082"/>
      <c r="H15" s="959">
        <f>SUMIF(76:76,G16,77:77)-SUMIF(76:76,C16,77:77)+100</f>
        <v>100</v>
      </c>
      <c r="I15" s="960"/>
      <c r="J15" s="959">
        <f>SUMIF(76:76,I16,77:77)-SUMIF(76:76,C16,77:77)+100</f>
        <v>100</v>
      </c>
      <c r="K15" s="1305">
        <v>2</v>
      </c>
      <c r="L15" s="1081"/>
      <c r="M15" s="1015"/>
      <c r="N15" s="1015"/>
      <c r="O15" s="1015"/>
      <c r="P15" s="3412" t="s">
        <v>1370</v>
      </c>
      <c r="Q15" s="621" t="str">
        <f t="shared" si="6"/>
        <v>商业繁华度</v>
      </c>
      <c r="R15" s="1118" t="s">
        <v>1358</v>
      </c>
      <c r="S15" s="1119">
        <f t="shared" si="0"/>
        <v>100</v>
      </c>
      <c r="T15" s="1118" t="s">
        <v>1358</v>
      </c>
      <c r="U15" s="1119">
        <f t="shared" si="1"/>
        <v>100</v>
      </c>
      <c r="V15" s="1118" t="s">
        <v>1358</v>
      </c>
      <c r="W15" s="1119">
        <f t="shared" si="2"/>
        <v>100</v>
      </c>
      <c r="X15" s="1113"/>
      <c r="Y15" s="3417" t="s">
        <v>1370</v>
      </c>
      <c r="Z15" s="1102" t="str">
        <f t="shared" si="7"/>
        <v>商业繁华度</v>
      </c>
      <c r="AA15" s="1102">
        <f t="shared" si="3"/>
        <v>1</v>
      </c>
      <c r="AB15" s="1102">
        <f t="shared" si="4"/>
        <v>1</v>
      </c>
      <c r="AC15" s="1102">
        <f t="shared" si="5"/>
        <v>1</v>
      </c>
    </row>
    <row r="16" spans="1:29" ht="15">
      <c r="A16" s="943"/>
      <c r="B16" s="1055"/>
      <c r="C16" s="962" t="s">
        <v>1371</v>
      </c>
      <c r="D16" s="963"/>
      <c r="E16" s="962" t="s">
        <v>1371</v>
      </c>
      <c r="F16" s="1068"/>
      <c r="G16" s="962" t="s">
        <v>1371</v>
      </c>
      <c r="H16" s="965"/>
      <c r="I16" s="962" t="s">
        <v>1371</v>
      </c>
      <c r="J16" s="963"/>
      <c r="K16" s="1306"/>
      <c r="L16" s="1081"/>
      <c r="M16" s="1015"/>
      <c r="N16" s="1015"/>
      <c r="O16" s="1015"/>
      <c r="P16" s="3413"/>
      <c r="Q16" s="621"/>
      <c r="R16" s="1118"/>
      <c r="S16" s="1119"/>
      <c r="T16" s="1118"/>
      <c r="U16" s="1119"/>
      <c r="V16" s="1118"/>
      <c r="W16" s="1119"/>
      <c r="X16" s="1113"/>
      <c r="Y16" s="3418"/>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3"/>
      <c r="Q17" s="621" t="str">
        <f>B17</f>
        <v>交通便捷度</v>
      </c>
      <c r="R17" s="1118" t="s">
        <v>1358</v>
      </c>
      <c r="S17" s="1119">
        <f>F17</f>
        <v>102</v>
      </c>
      <c r="T17" s="1118" t="s">
        <v>1358</v>
      </c>
      <c r="U17" s="1119">
        <f>H17</f>
        <v>102</v>
      </c>
      <c r="V17" s="1118" t="s">
        <v>1358</v>
      </c>
      <c r="W17" s="1119">
        <f>J17</f>
        <v>102</v>
      </c>
      <c r="X17" s="1113"/>
      <c r="Y17" s="3418"/>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13"/>
      <c r="Q18" s="621"/>
      <c r="R18" s="1118"/>
      <c r="S18" s="1119"/>
      <c r="T18" s="1118"/>
      <c r="U18" s="1119"/>
      <c r="V18" s="1118"/>
      <c r="W18" s="1119"/>
      <c r="X18" s="1113"/>
      <c r="Y18" s="3418"/>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3"/>
      <c r="Q19" s="621" t="str">
        <f>B19</f>
        <v>公共配套设施</v>
      </c>
      <c r="R19" s="1118" t="s">
        <v>1358</v>
      </c>
      <c r="S19" s="1119">
        <f>F19</f>
        <v>100</v>
      </c>
      <c r="T19" s="1118" t="s">
        <v>1358</v>
      </c>
      <c r="U19" s="1119">
        <f>H19</f>
        <v>100</v>
      </c>
      <c r="V19" s="1118" t="s">
        <v>1358</v>
      </c>
      <c r="W19" s="1119">
        <f>J19</f>
        <v>100</v>
      </c>
      <c r="X19" s="1113"/>
      <c r="Y19" s="3418"/>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13"/>
      <c r="Q20" s="621"/>
      <c r="R20" s="1118"/>
      <c r="S20" s="1119"/>
      <c r="T20" s="1118"/>
      <c r="U20" s="1119"/>
      <c r="V20" s="1118"/>
      <c r="W20" s="1119"/>
      <c r="X20" s="1113"/>
      <c r="Y20" s="3418"/>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3"/>
      <c r="Q21" s="621" t="str">
        <f>B21</f>
        <v>基础设施水平</v>
      </c>
      <c r="R21" s="1118" t="s">
        <v>1358</v>
      </c>
      <c r="S21" s="1119">
        <f>F21</f>
        <v>100</v>
      </c>
      <c r="T21" s="1118" t="s">
        <v>1358</v>
      </c>
      <c r="U21" s="1119">
        <f>H21</f>
        <v>100</v>
      </c>
      <c r="V21" s="1118" t="s">
        <v>1358</v>
      </c>
      <c r="W21" s="1119">
        <f>J21</f>
        <v>100</v>
      </c>
      <c r="X21" s="1113"/>
      <c r="Y21" s="3418"/>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3"/>
      <c r="Q22" s="621"/>
      <c r="R22" s="1118"/>
      <c r="S22" s="1119"/>
      <c r="T22" s="1118"/>
      <c r="U22" s="1119"/>
      <c r="V22" s="1118"/>
      <c r="W22" s="1119"/>
      <c r="X22" s="1113"/>
      <c r="Y22" s="3418"/>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3"/>
      <c r="Q23" s="621" t="str">
        <f>B23</f>
        <v>自然及人文环境</v>
      </c>
      <c r="R23" s="1118" t="s">
        <v>1358</v>
      </c>
      <c r="S23" s="1119">
        <f>F23</f>
        <v>100</v>
      </c>
      <c r="T23" s="1118" t="s">
        <v>1358</v>
      </c>
      <c r="U23" s="1119">
        <f>H23</f>
        <v>100</v>
      </c>
      <c r="V23" s="1118" t="s">
        <v>1358</v>
      </c>
      <c r="W23" s="1119">
        <f>J23</f>
        <v>100</v>
      </c>
      <c r="X23" s="1113"/>
      <c r="Y23" s="3418"/>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13"/>
      <c r="Q24" s="621"/>
      <c r="R24" s="1118"/>
      <c r="S24" s="1119"/>
      <c r="T24" s="1118"/>
      <c r="U24" s="1119"/>
      <c r="V24" s="1118"/>
      <c r="W24" s="1119"/>
      <c r="X24" s="1113"/>
      <c r="Y24" s="3418"/>
      <c r="Z24" s="1102"/>
      <c r="AA24" s="1102">
        <v>1</v>
      </c>
      <c r="AB24" s="1102">
        <v>1</v>
      </c>
      <c r="AC24" s="1102">
        <v>1</v>
      </c>
    </row>
    <row r="25" spans="1:29" ht="15">
      <c r="A25" s="943"/>
      <c r="B25" s="940" t="s">
        <v>1606</v>
      </c>
      <c r="C25" s="976" t="s">
        <v>2877</v>
      </c>
      <c r="D25" s="755">
        <v>100</v>
      </c>
      <c r="E25" s="976" t="s">
        <v>2877</v>
      </c>
      <c r="F25" s="1097">
        <f>SUMIF(86:86,E25,87:87)-SUMIF(86:86,C25,87:87)+100</f>
        <v>100</v>
      </c>
      <c r="G25" s="976" t="s">
        <v>2877</v>
      </c>
      <c r="H25" s="755">
        <f>SUMIF(86:86,G25,87:87)-SUMIF(86:86,C25,87:87)+100</f>
        <v>100</v>
      </c>
      <c r="I25" s="976" t="s">
        <v>2877</v>
      </c>
      <c r="J25" s="755">
        <f>SUMIF(86:86,I25,87:87)-SUMIF(86:86,C25,87:87)+100</f>
        <v>100</v>
      </c>
      <c r="K25" s="1088">
        <v>2</v>
      </c>
      <c r="L25" s="1081"/>
      <c r="M25" s="1015"/>
      <c r="N25" s="1015"/>
      <c r="O25" s="1015"/>
      <c r="P25" s="3413"/>
      <c r="Q25" s="621" t="str">
        <f t="shared" ref="Q25:Q46" si="11">B25</f>
        <v>临街状况</v>
      </c>
      <c r="R25" s="1118" t="s">
        <v>1358</v>
      </c>
      <c r="S25" s="1119">
        <f>F25</f>
        <v>100</v>
      </c>
      <c r="T25" s="1118" t="s">
        <v>1358</v>
      </c>
      <c r="U25" s="1119">
        <f>H25</f>
        <v>100</v>
      </c>
      <c r="V25" s="1118" t="s">
        <v>1358</v>
      </c>
      <c r="W25" s="1119">
        <f>J25</f>
        <v>100</v>
      </c>
      <c r="X25" s="1113"/>
      <c r="Y25" s="3418"/>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13"/>
      <c r="Q26" s="621" t="str">
        <f t="shared" si="11"/>
        <v>平面位置/可视性</v>
      </c>
      <c r="R26" s="1118" t="s">
        <v>1358</v>
      </c>
      <c r="S26" s="1119">
        <f>F26</f>
        <v>100</v>
      </c>
      <c r="T26" s="1118" t="s">
        <v>1358</v>
      </c>
      <c r="U26" s="1119">
        <f>H26</f>
        <v>100</v>
      </c>
      <c r="V26" s="1118" t="s">
        <v>1358</v>
      </c>
      <c r="W26" s="1119">
        <f>J26</f>
        <v>100</v>
      </c>
      <c r="X26" s="1113"/>
      <c r="Y26" s="3418"/>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13"/>
      <c r="Q27" s="790" t="str">
        <f t="shared" si="11"/>
        <v>人流量</v>
      </c>
      <c r="R27" s="1114" t="s">
        <v>1358</v>
      </c>
      <c r="S27" s="1115">
        <f>F27</f>
        <v>100</v>
      </c>
      <c r="T27" s="1114" t="s">
        <v>1358</v>
      </c>
      <c r="U27" s="1115">
        <f>H27</f>
        <v>100</v>
      </c>
      <c r="V27" s="1114" t="s">
        <v>1358</v>
      </c>
      <c r="W27" s="1115">
        <f>J27</f>
        <v>100</v>
      </c>
      <c r="X27" s="1116"/>
      <c r="Y27" s="3418"/>
      <c r="Z27" s="1126" t="str">
        <f>Q27</f>
        <v>人流量</v>
      </c>
      <c r="AA27" s="1102">
        <f t="shared" si="3"/>
        <v>1</v>
      </c>
      <c r="AB27" s="1102">
        <f t="shared" si="4"/>
        <v>1</v>
      </c>
      <c r="AC27" s="1102">
        <f t="shared" si="5"/>
        <v>1</v>
      </c>
    </row>
    <row r="28" spans="1:29" ht="15">
      <c r="A28" s="943"/>
      <c r="B28" s="940" t="s">
        <v>1378</v>
      </c>
      <c r="C28" s="976" t="s">
        <v>2829</v>
      </c>
      <c r="D28" s="755">
        <v>100</v>
      </c>
      <c r="E28" s="976" t="s">
        <v>2829</v>
      </c>
      <c r="F28" s="1097">
        <f>SUMIF(92:92,E28,93:93)-SUMIF(92:92,C28,93:93)+100</f>
        <v>100</v>
      </c>
      <c r="G28" s="976" t="s">
        <v>2829</v>
      </c>
      <c r="H28" s="755">
        <f>SUMIF(92:92,G28,93:93)-SUMIF(92:92,C28,93:93)+100</f>
        <v>100</v>
      </c>
      <c r="I28" s="976" t="s">
        <v>2829</v>
      </c>
      <c r="J28" s="755">
        <f>SUMIF(92:92,I28,93:93)-SUMIF(92:92,C28,93:93)+100</f>
        <v>100</v>
      </c>
      <c r="K28" s="1087"/>
      <c r="L28" s="1081"/>
      <c r="M28" s="1015"/>
      <c r="N28" s="1015"/>
      <c r="O28" s="1015"/>
      <c r="P28" s="3413"/>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8"/>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3"/>
      <c r="Q29" s="621">
        <f t="shared" si="11"/>
        <v>111</v>
      </c>
      <c r="R29" s="1118" t="s">
        <v>1358</v>
      </c>
      <c r="S29" s="1119">
        <f t="shared" si="12"/>
        <v>100</v>
      </c>
      <c r="T29" s="1118" t="s">
        <v>1358</v>
      </c>
      <c r="U29" s="1119">
        <f t="shared" si="13"/>
        <v>100</v>
      </c>
      <c r="V29" s="1118" t="s">
        <v>1358</v>
      </c>
      <c r="W29" s="1119">
        <f t="shared" si="14"/>
        <v>100</v>
      </c>
      <c r="X29" s="1113"/>
      <c r="Y29" s="3418"/>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3"/>
      <c r="Q30" s="621">
        <f t="shared" si="11"/>
        <v>111</v>
      </c>
      <c r="R30" s="1118" t="s">
        <v>1358</v>
      </c>
      <c r="S30" s="1119">
        <f t="shared" si="12"/>
        <v>100</v>
      </c>
      <c r="T30" s="1118" t="s">
        <v>1358</v>
      </c>
      <c r="U30" s="1119">
        <f t="shared" si="13"/>
        <v>100</v>
      </c>
      <c r="V30" s="1118" t="s">
        <v>1358</v>
      </c>
      <c r="W30" s="1119">
        <f t="shared" si="14"/>
        <v>100</v>
      </c>
      <c r="X30" s="1113"/>
      <c r="Y30" s="3418"/>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3"/>
      <c r="Q31" s="621">
        <f t="shared" si="11"/>
        <v>111</v>
      </c>
      <c r="R31" s="1118" t="s">
        <v>1358</v>
      </c>
      <c r="S31" s="1119">
        <f t="shared" si="12"/>
        <v>100</v>
      </c>
      <c r="T31" s="1118" t="s">
        <v>1358</v>
      </c>
      <c r="U31" s="1119">
        <f t="shared" si="13"/>
        <v>100</v>
      </c>
      <c r="V31" s="1118" t="s">
        <v>1358</v>
      </c>
      <c r="W31" s="1119">
        <f t="shared" si="14"/>
        <v>100</v>
      </c>
      <c r="X31" s="1113"/>
      <c r="Y31" s="3418"/>
      <c r="Z31" s="1102">
        <f t="shared" si="15"/>
        <v>111</v>
      </c>
      <c r="AA31" s="1102">
        <f t="shared" si="3"/>
        <v>1</v>
      </c>
      <c r="AB31" s="1102">
        <f t="shared" si="4"/>
        <v>1</v>
      </c>
      <c r="AC31" s="1102">
        <f t="shared" si="5"/>
        <v>1</v>
      </c>
    </row>
    <row r="32" spans="1:29" ht="15">
      <c r="A32" s="956" t="s">
        <v>1381</v>
      </c>
      <c r="B32" s="936" t="s">
        <v>1609</v>
      </c>
      <c r="C32" s="1283" t="s">
        <v>2838</v>
      </c>
      <c r="D32" s="920">
        <v>100</v>
      </c>
      <c r="E32" s="1283" t="s">
        <v>2838</v>
      </c>
      <c r="F32" s="1097">
        <f>SUMIF(100:100,E32,101:101)-SUMIF(100:100,C32,101:101)+100</f>
        <v>100</v>
      </c>
      <c r="G32" s="1283" t="s">
        <v>2838</v>
      </c>
      <c r="H32" s="755">
        <f>SUMIF(100:100,G32,101:101)-SUMIF(100:100,C32,101:101)+100</f>
        <v>100</v>
      </c>
      <c r="I32" s="1283" t="s">
        <v>2838</v>
      </c>
      <c r="J32" s="920">
        <f>SUMIF(100:100,I32,101:101)-SUMIF(100:100,C32,101:101)+100</f>
        <v>100</v>
      </c>
      <c r="K32" s="1088">
        <v>3</v>
      </c>
      <c r="L32" s="1081"/>
      <c r="M32" s="1015"/>
      <c r="N32" s="1015"/>
      <c r="O32" s="1015"/>
      <c r="P32" s="3414" t="s">
        <v>1384</v>
      </c>
      <c r="Q32" s="621" t="str">
        <f t="shared" si="11"/>
        <v>商业类型</v>
      </c>
      <c r="R32" s="1118" t="s">
        <v>1358</v>
      </c>
      <c r="S32" s="1119">
        <f t="shared" si="12"/>
        <v>100</v>
      </c>
      <c r="T32" s="1118" t="s">
        <v>1358</v>
      </c>
      <c r="U32" s="1119">
        <f t="shared" si="13"/>
        <v>100</v>
      </c>
      <c r="V32" s="1118" t="s">
        <v>1358</v>
      </c>
      <c r="W32" s="1119">
        <f t="shared" si="14"/>
        <v>100</v>
      </c>
      <c r="X32" s="1113"/>
      <c r="Y32" s="3419"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42.98</v>
      </c>
      <c r="D33" s="942">
        <v>100</v>
      </c>
      <c r="E33" s="945">
        <v>93.81</v>
      </c>
      <c r="F33" s="940">
        <f>LOOKUP(E33,103:103,104:104)-LOOKUP(C33,103:103,104:104)+100</f>
        <v>98</v>
      </c>
      <c r="G33" s="944">
        <v>126.85</v>
      </c>
      <c r="H33" s="942">
        <f>LOOKUP(G33,103:103,104:104)-LOOKUP(C33,103:103,104:104)+100</f>
        <v>96</v>
      </c>
      <c r="I33" s="944">
        <v>105.19</v>
      </c>
      <c r="J33" s="942">
        <f>LOOKUP(I33,103:103,104:104)-LOOKUP(C33,103:103,104:104)+100</f>
        <v>96</v>
      </c>
      <c r="K33" s="1087"/>
      <c r="L33" s="1079"/>
      <c r="M33" s="1089"/>
      <c r="N33" s="1089"/>
      <c r="O33" s="1089"/>
      <c r="P33" s="3415"/>
      <c r="Q33" s="1308" t="str">
        <f t="shared" si="11"/>
        <v>项目建筑规模</v>
      </c>
      <c r="R33" s="1120" t="s">
        <v>1358</v>
      </c>
      <c r="S33" s="1121">
        <f t="shared" si="12"/>
        <v>98</v>
      </c>
      <c r="T33" s="1120" t="s">
        <v>1358</v>
      </c>
      <c r="U33" s="1121">
        <f t="shared" si="13"/>
        <v>96</v>
      </c>
      <c r="V33" s="1120" t="s">
        <v>1358</v>
      </c>
      <c r="W33" s="1121">
        <f t="shared" si="14"/>
        <v>96</v>
      </c>
      <c r="X33" s="1122"/>
      <c r="Y33" s="3419"/>
      <c r="Z33" s="1127" t="str">
        <f t="shared" si="15"/>
        <v>项目建筑规模</v>
      </c>
      <c r="AA33" s="1102">
        <f t="shared" si="3"/>
        <v>1.0204081632653061</v>
      </c>
      <c r="AB33" s="1102">
        <f t="shared" si="4"/>
        <v>1.0416666666666667</v>
      </c>
      <c r="AC33" s="1102">
        <f t="shared" si="5"/>
        <v>1.0416666666666667</v>
      </c>
    </row>
    <row r="34" spans="1:29" ht="15">
      <c r="A34" s="991"/>
      <c r="B34" s="940" t="s">
        <v>1386</v>
      </c>
      <c r="C34" s="1287" t="s">
        <v>2839</v>
      </c>
      <c r="D34" s="755">
        <v>100</v>
      </c>
      <c r="E34" s="1287" t="s">
        <v>2839</v>
      </c>
      <c r="F34" s="1097">
        <f>SUMIF(105:105,E34,106:106)-SUMIF(105:105,C34,106:106)+100</f>
        <v>100</v>
      </c>
      <c r="G34" s="1287" t="s">
        <v>2839</v>
      </c>
      <c r="H34" s="755">
        <f>SUMIF(105:105,G34,106:106)-SUMIF(105:105,C34,106:106)+100</f>
        <v>100</v>
      </c>
      <c r="I34" s="1287" t="s">
        <v>2839</v>
      </c>
      <c r="J34" s="755">
        <f>SUMIF(105:105,I34,106:106)-SUMIF(105:105,C34,106:106)+100</f>
        <v>100</v>
      </c>
      <c r="K34" s="1088">
        <v>2</v>
      </c>
      <c r="L34" s="1081"/>
      <c r="M34" s="1015"/>
      <c r="N34" s="1015"/>
      <c r="O34" s="1015"/>
      <c r="P34" s="3415"/>
      <c r="Q34" s="621" t="str">
        <f t="shared" si="11"/>
        <v>建筑结构</v>
      </c>
      <c r="R34" s="1118" t="s">
        <v>1358</v>
      </c>
      <c r="S34" s="1119">
        <f t="shared" si="12"/>
        <v>100</v>
      </c>
      <c r="T34" s="1118" t="s">
        <v>1358</v>
      </c>
      <c r="U34" s="1119">
        <f t="shared" si="13"/>
        <v>100</v>
      </c>
      <c r="V34" s="1118" t="s">
        <v>1358</v>
      </c>
      <c r="W34" s="1119">
        <f t="shared" si="14"/>
        <v>100</v>
      </c>
      <c r="X34" s="1113"/>
      <c r="Y34" s="3419"/>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15"/>
      <c r="Q35" s="621" t="str">
        <f t="shared" si="11"/>
        <v>公共部分装修</v>
      </c>
      <c r="R35" s="1118" t="s">
        <v>1358</v>
      </c>
      <c r="S35" s="1119">
        <f t="shared" si="12"/>
        <v>100</v>
      </c>
      <c r="T35" s="1118" t="s">
        <v>1358</v>
      </c>
      <c r="U35" s="1119">
        <f t="shared" si="13"/>
        <v>100</v>
      </c>
      <c r="V35" s="1118" t="s">
        <v>1358</v>
      </c>
      <c r="W35" s="1119">
        <f t="shared" si="14"/>
        <v>100</v>
      </c>
      <c r="X35" s="1113"/>
      <c r="Y35" s="3419"/>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15"/>
      <c r="Q36" s="621" t="str">
        <f t="shared" si="11"/>
        <v>成新度</v>
      </c>
      <c r="R36" s="1118" t="s">
        <v>1358</v>
      </c>
      <c r="S36" s="1119">
        <f t="shared" si="12"/>
        <v>96</v>
      </c>
      <c r="T36" s="1118" t="s">
        <v>1358</v>
      </c>
      <c r="U36" s="1119">
        <f t="shared" si="13"/>
        <v>96</v>
      </c>
      <c r="V36" s="1118" t="s">
        <v>1358</v>
      </c>
      <c r="W36" s="1119">
        <f t="shared" si="14"/>
        <v>98</v>
      </c>
      <c r="X36" s="1113"/>
      <c r="Y36" s="3419"/>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15"/>
      <c r="Q37" s="790" t="str">
        <f t="shared" si="11"/>
        <v>市政基础设施</v>
      </c>
      <c r="R37" s="1114" t="s">
        <v>1358</v>
      </c>
      <c r="S37" s="1115">
        <f t="shared" si="12"/>
        <v>100</v>
      </c>
      <c r="T37" s="1114" t="s">
        <v>1358</v>
      </c>
      <c r="U37" s="1115">
        <f t="shared" si="13"/>
        <v>100</v>
      </c>
      <c r="V37" s="1114" t="s">
        <v>1358</v>
      </c>
      <c r="W37" s="1115">
        <f t="shared" si="14"/>
        <v>100</v>
      </c>
      <c r="X37" s="1116"/>
      <c r="Y37" s="3419"/>
      <c r="Z37" s="1126" t="str">
        <f t="shared" si="15"/>
        <v>市政基础设施</v>
      </c>
      <c r="AA37" s="1126">
        <f t="shared" si="3"/>
        <v>1</v>
      </c>
      <c r="AB37" s="1126">
        <f t="shared" si="4"/>
        <v>1</v>
      </c>
      <c r="AC37" s="1126">
        <f t="shared" si="5"/>
        <v>1</v>
      </c>
    </row>
    <row r="38" spans="1:29" ht="15">
      <c r="A38" s="991"/>
      <c r="B38" s="940" t="s">
        <v>1610</v>
      </c>
      <c r="C38" s="992" t="s">
        <v>2840</v>
      </c>
      <c r="D38" s="755">
        <v>100</v>
      </c>
      <c r="E38" s="992" t="s">
        <v>2840</v>
      </c>
      <c r="F38" s="1097">
        <f>SUMIF(114:114,E38,115:115)-SUMIF(114:114,C38,115:115)+100</f>
        <v>100</v>
      </c>
      <c r="G38" s="992" t="s">
        <v>2840</v>
      </c>
      <c r="H38" s="755">
        <f>SUMIF(114:114,G38,115:115)-SUMIF(114:114,C38,115:115)+100</f>
        <v>100</v>
      </c>
      <c r="I38" s="992" t="s">
        <v>2840</v>
      </c>
      <c r="J38" s="755">
        <f>SUMIF(114:114,I38,115:115)-SUMIF(114:114,C38,115:115)+100</f>
        <v>100</v>
      </c>
      <c r="K38" s="1088">
        <v>2</v>
      </c>
      <c r="L38" s="1081"/>
      <c r="M38" s="1015"/>
      <c r="N38" s="1015"/>
      <c r="O38" s="1015"/>
      <c r="P38" s="3415" t="s">
        <v>1384</v>
      </c>
      <c r="Q38" s="621" t="str">
        <f t="shared" si="11"/>
        <v>业态</v>
      </c>
      <c r="R38" s="1118" t="s">
        <v>1358</v>
      </c>
      <c r="S38" s="1119">
        <f t="shared" si="12"/>
        <v>100</v>
      </c>
      <c r="T38" s="1118" t="s">
        <v>1358</v>
      </c>
      <c r="U38" s="1119">
        <f t="shared" si="13"/>
        <v>100</v>
      </c>
      <c r="V38" s="1118" t="s">
        <v>1358</v>
      </c>
      <c r="W38" s="1119">
        <f t="shared" si="14"/>
        <v>100</v>
      </c>
      <c r="X38" s="1113"/>
      <c r="Y38" s="3419"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15"/>
      <c r="Q39" s="621" t="str">
        <f t="shared" si="11"/>
        <v>层高</v>
      </c>
      <c r="R39" s="1118" t="s">
        <v>1358</v>
      </c>
      <c r="S39" s="1119">
        <f t="shared" si="12"/>
        <v>100</v>
      </c>
      <c r="T39" s="1118" t="s">
        <v>1358</v>
      </c>
      <c r="U39" s="1119">
        <f t="shared" si="13"/>
        <v>100</v>
      </c>
      <c r="V39" s="1118" t="s">
        <v>1358</v>
      </c>
      <c r="W39" s="1119">
        <f t="shared" si="14"/>
        <v>100</v>
      </c>
      <c r="X39" s="1113"/>
      <c r="Y39" s="3419"/>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15"/>
      <c r="Q40" s="621" t="str">
        <f t="shared" si="11"/>
        <v>单套建筑面积</v>
      </c>
      <c r="R40" s="1118" t="s">
        <v>1358</v>
      </c>
      <c r="S40" s="1119">
        <f t="shared" si="12"/>
        <v>100</v>
      </c>
      <c r="T40" s="1118" t="s">
        <v>1358</v>
      </c>
      <c r="U40" s="1119">
        <f t="shared" si="13"/>
        <v>100</v>
      </c>
      <c r="V40" s="1118" t="s">
        <v>1358</v>
      </c>
      <c r="W40" s="1119">
        <f t="shared" si="14"/>
        <v>100</v>
      </c>
      <c r="X40" s="1113"/>
      <c r="Y40" s="3419"/>
      <c r="Z40" s="1102" t="str">
        <f t="shared" si="15"/>
        <v>单套建筑面积</v>
      </c>
      <c r="AA40" s="1102">
        <f t="shared" si="3"/>
        <v>1</v>
      </c>
      <c r="AB40" s="1102">
        <f t="shared" si="4"/>
        <v>1</v>
      </c>
      <c r="AC40" s="1102">
        <f t="shared" si="5"/>
        <v>1</v>
      </c>
    </row>
    <row r="41" spans="1:29" s="901" customFormat="1" ht="15">
      <c r="A41" s="996"/>
      <c r="B41" s="1097" t="s">
        <v>1611</v>
      </c>
      <c r="C41" s="976" t="s">
        <v>2841</v>
      </c>
      <c r="D41" s="755">
        <v>100</v>
      </c>
      <c r="E41" s="976" t="s">
        <v>2841</v>
      </c>
      <c r="F41" s="1097">
        <f>SUMIF(120:120,E41,121:121)-SUMIF(120:120,C41,121:121)+100</f>
        <v>100</v>
      </c>
      <c r="G41" s="976" t="s">
        <v>2841</v>
      </c>
      <c r="H41" s="755">
        <f>SUMIF(120:120,G41,121:121)-SUMIF(120:120,C41,121:121)+100</f>
        <v>100</v>
      </c>
      <c r="I41" s="976" t="s">
        <v>2841</v>
      </c>
      <c r="J41" s="755">
        <f>SUMIF(120:120,I41,121:121)-SUMIF(120:120,C41,121:121)+100</f>
        <v>100</v>
      </c>
      <c r="K41" s="1088">
        <v>2</v>
      </c>
      <c r="L41" s="1079"/>
      <c r="M41" s="1089"/>
      <c r="N41" s="1089"/>
      <c r="O41" s="1089"/>
      <c r="P41" s="3415"/>
      <c r="Q41" s="1308" t="str">
        <f t="shared" si="11"/>
        <v>进深比</v>
      </c>
      <c r="R41" s="1120" t="s">
        <v>1358</v>
      </c>
      <c r="S41" s="1121">
        <f t="shared" si="12"/>
        <v>100</v>
      </c>
      <c r="T41" s="1120" t="s">
        <v>1358</v>
      </c>
      <c r="U41" s="1121">
        <f t="shared" si="13"/>
        <v>100</v>
      </c>
      <c r="V41" s="1120" t="s">
        <v>1358</v>
      </c>
      <c r="W41" s="1121">
        <f t="shared" si="14"/>
        <v>100</v>
      </c>
      <c r="X41" s="1122"/>
      <c r="Y41" s="3419"/>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15"/>
      <c r="Q42" s="621" t="str">
        <f t="shared" si="11"/>
        <v>内部装修</v>
      </c>
      <c r="R42" s="1118" t="s">
        <v>1358</v>
      </c>
      <c r="S42" s="1119">
        <f t="shared" si="12"/>
        <v>100</v>
      </c>
      <c r="T42" s="1118" t="s">
        <v>1358</v>
      </c>
      <c r="U42" s="1119">
        <f t="shared" si="13"/>
        <v>98</v>
      </c>
      <c r="V42" s="1118" t="s">
        <v>1358</v>
      </c>
      <c r="W42" s="1119">
        <f t="shared" si="14"/>
        <v>100</v>
      </c>
      <c r="X42" s="1113"/>
      <c r="Y42" s="3419"/>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15"/>
      <c r="Q43" s="621" t="str">
        <f t="shared" si="11"/>
        <v>内部装修维护情况</v>
      </c>
      <c r="R43" s="1118" t="s">
        <v>1358</v>
      </c>
      <c r="S43" s="1119">
        <f t="shared" si="12"/>
        <v>100</v>
      </c>
      <c r="T43" s="1118" t="s">
        <v>1358</v>
      </c>
      <c r="U43" s="1119">
        <f t="shared" si="13"/>
        <v>100</v>
      </c>
      <c r="V43" s="1118" t="s">
        <v>1358</v>
      </c>
      <c r="W43" s="1119">
        <f t="shared" si="14"/>
        <v>100</v>
      </c>
      <c r="X43" s="1113"/>
      <c r="Y43" s="3419"/>
      <c r="Z43" s="1102" t="str">
        <f t="shared" si="15"/>
        <v>内部装修维护情况</v>
      </c>
      <c r="AA43" s="1102">
        <f t="shared" si="3"/>
        <v>1</v>
      </c>
      <c r="AB43" s="1102">
        <f t="shared" si="4"/>
        <v>1</v>
      </c>
      <c r="AC43" s="1102">
        <f t="shared" si="5"/>
        <v>1</v>
      </c>
    </row>
    <row r="44" spans="1:29" s="899" customFormat="1" ht="15">
      <c r="A44" s="993"/>
      <c r="B44" s="3194" t="s">
        <v>2879</v>
      </c>
      <c r="C44" s="3542" t="s">
        <v>2881</v>
      </c>
      <c r="D44" s="942">
        <v>100</v>
      </c>
      <c r="E44" s="1278" t="s">
        <v>1374</v>
      </c>
      <c r="F44" s="940">
        <f>SUMIF(126:126,E44,127:127)-SUMIF(126:126,C44,127:127)+100</f>
        <v>104</v>
      </c>
      <c r="G44" s="1278" t="s">
        <v>1374</v>
      </c>
      <c r="H44" s="942">
        <f>SUMIF(126:126,G44,127:127)-SUMIF(126:126,C44,127:127)+100</f>
        <v>104</v>
      </c>
      <c r="I44" s="1278" t="s">
        <v>1374</v>
      </c>
      <c r="J44" s="942">
        <f>SUMIF(126:126,I44,127:127)-SUMIF(126:126,C44,127:127)+100</f>
        <v>104</v>
      </c>
      <c r="K44" s="1087"/>
      <c r="L44" s="1070"/>
      <c r="M44" s="1071"/>
      <c r="N44" s="1071"/>
      <c r="O44" s="1071"/>
      <c r="P44" s="3415"/>
      <c r="Q44" s="790" t="str">
        <f t="shared" si="11"/>
        <v>进深比</v>
      </c>
      <c r="R44" s="1114" t="s">
        <v>1358</v>
      </c>
      <c r="S44" s="1115">
        <f t="shared" si="12"/>
        <v>104</v>
      </c>
      <c r="T44" s="1114" t="s">
        <v>1358</v>
      </c>
      <c r="U44" s="1115">
        <f t="shared" si="13"/>
        <v>104</v>
      </c>
      <c r="V44" s="1114" t="s">
        <v>1358</v>
      </c>
      <c r="W44" s="1115">
        <f t="shared" si="14"/>
        <v>104</v>
      </c>
      <c r="X44" s="1116"/>
      <c r="Y44" s="3419"/>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15"/>
      <c r="Q45" s="621">
        <f t="shared" si="11"/>
        <v>0</v>
      </c>
      <c r="R45" s="1118" t="s">
        <v>1358</v>
      </c>
      <c r="S45" s="1119">
        <f t="shared" si="12"/>
        <v>100</v>
      </c>
      <c r="T45" s="1118" t="s">
        <v>1358</v>
      </c>
      <c r="U45" s="1119">
        <f t="shared" si="13"/>
        <v>100</v>
      </c>
      <c r="V45" s="1118" t="s">
        <v>1358</v>
      </c>
      <c r="W45" s="1119">
        <f t="shared" si="14"/>
        <v>100</v>
      </c>
      <c r="X45" s="1113"/>
      <c r="Y45" s="3419"/>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16"/>
      <c r="Q46" s="621">
        <f t="shared" si="11"/>
        <v>0</v>
      </c>
      <c r="R46" s="1118" t="s">
        <v>1358</v>
      </c>
      <c r="S46" s="1119">
        <f t="shared" si="12"/>
        <v>100</v>
      </c>
      <c r="T46" s="1118" t="s">
        <v>1358</v>
      </c>
      <c r="U46" s="1119">
        <f t="shared" si="13"/>
        <v>100</v>
      </c>
      <c r="V46" s="1118" t="s">
        <v>1358</v>
      </c>
      <c r="W46" s="1119">
        <f t="shared" si="14"/>
        <v>100</v>
      </c>
      <c r="X46" s="1113"/>
      <c r="Y46" s="3420"/>
      <c r="Z46" s="1102">
        <f t="shared" si="15"/>
        <v>0</v>
      </c>
      <c r="AA46" s="1102">
        <f t="shared" si="3"/>
        <v>1</v>
      </c>
      <c r="AB46" s="1102">
        <f t="shared" si="4"/>
        <v>1</v>
      </c>
      <c r="AC46" s="1102">
        <f t="shared" si="5"/>
        <v>1</v>
      </c>
    </row>
    <row r="47" spans="1:29" ht="14.4">
      <c r="A47" s="998" t="s">
        <v>1400</v>
      </c>
      <c r="B47" s="1291"/>
      <c r="C47" s="1292" t="s">
        <v>124</v>
      </c>
      <c r="D47" s="1001"/>
      <c r="E47" s="1002">
        <v>33579</v>
      </c>
      <c r="F47" s="1003"/>
      <c r="G47" s="1002">
        <v>35081</v>
      </c>
      <c r="H47" s="1005"/>
      <c r="I47" s="1002">
        <v>33274</v>
      </c>
      <c r="J47" s="1005"/>
      <c r="K47" s="1093"/>
      <c r="L47" s="1094"/>
      <c r="M47" s="1015"/>
      <c r="N47" s="1015"/>
      <c r="O47" s="1015"/>
      <c r="P47" s="3410" t="str">
        <f>A47</f>
        <v>成交单价（元/平方米）</v>
      </c>
      <c r="Q47" s="3410"/>
      <c r="R47" s="3411">
        <f>E47</f>
        <v>33579</v>
      </c>
      <c r="S47" s="3411"/>
      <c r="T47" s="3411">
        <f>G47</f>
        <v>35081</v>
      </c>
      <c r="U47" s="3411"/>
      <c r="V47" s="3411">
        <f>I47</f>
        <v>33274</v>
      </c>
      <c r="W47" s="3411"/>
      <c r="X47" s="1055"/>
      <c r="Y47" s="1128"/>
      <c r="Z47" s="1055"/>
      <c r="AA47" s="1055"/>
      <c r="AB47" s="1055"/>
      <c r="AC47" s="1055"/>
    </row>
    <row r="48" spans="1:29" ht="15" thickBot="1">
      <c r="A48" s="1006" t="s">
        <v>1401</v>
      </c>
      <c r="B48" s="1293"/>
      <c r="C48" s="1294">
        <f>R49</f>
        <v>35066</v>
      </c>
      <c r="D48" s="1009" t="s">
        <v>1402</v>
      </c>
      <c r="E48" s="1295">
        <f>R48</f>
        <v>34723</v>
      </c>
      <c r="F48" s="1010"/>
      <c r="G48" s="1294">
        <f>T48</f>
        <v>37787</v>
      </c>
      <c r="H48" s="1010"/>
      <c r="I48" s="1295">
        <f>V48</f>
        <v>32687</v>
      </c>
      <c r="J48" s="1010"/>
      <c r="K48" s="1095">
        <f>F48+H48+J48</f>
        <v>0</v>
      </c>
      <c r="L48" s="1094"/>
      <c r="M48" s="1015"/>
      <c r="N48" s="1015"/>
      <c r="O48" s="1015"/>
      <c r="P48" s="3410" t="str">
        <f>A48</f>
        <v>比较价值（元/平方米）</v>
      </c>
      <c r="Q48" s="3410"/>
      <c r="R48" s="3411">
        <f>IF(F1="售价",ROUND(PRODUCT(R47,AA7:AA46),0),ROUND(PRODUCT(R47,AA7:AA46),1))</f>
        <v>34723</v>
      </c>
      <c r="S48" s="3411"/>
      <c r="T48" s="3411">
        <f>IF(F1="售价",ROUND(PRODUCT(T47,AB7:AB46),0),ROUND(PRODUCT(T47,AB7:AB46),1))</f>
        <v>37787</v>
      </c>
      <c r="U48" s="3411"/>
      <c r="V48" s="3411">
        <f>IF(F1="售价",ROUND(PRODUCT(V47,AC7:AC46),0),ROUND(PRODUCT(V47,AC7:AC46),1))</f>
        <v>32687</v>
      </c>
      <c r="W48" s="3411"/>
      <c r="X48" s="1055"/>
      <c r="Y48" s="1055"/>
      <c r="Z48" s="1055"/>
      <c r="AA48" s="1055"/>
      <c r="AB48" s="1055"/>
      <c r="AC48" s="1055"/>
    </row>
    <row r="49" spans="1:29" ht="15" thickBot="1">
      <c r="A49" s="1012" t="s">
        <v>1403</v>
      </c>
      <c r="B49" s="1013"/>
      <c r="C49" s="925">
        <f>R49</f>
        <v>35066</v>
      </c>
      <c r="D49" s="925"/>
      <c r="E49" s="925"/>
      <c r="F49" s="925"/>
      <c r="G49" s="925"/>
      <c r="H49" s="925"/>
      <c r="I49" s="925"/>
      <c r="J49" s="925"/>
      <c r="K49" s="1096"/>
      <c r="L49" s="1094"/>
      <c r="M49" s="1015"/>
      <c r="N49" s="1015"/>
      <c r="O49" s="1015"/>
      <c r="P49" s="3446" t="str">
        <f>A49</f>
        <v>估价对象XX用房的比较价值（楼面单价，元/平方米）</v>
      </c>
      <c r="Q49" s="3447"/>
      <c r="R49" s="3448">
        <f>IF(F1="售价",ROUND(IF(D48="简单平均",AVERAGE(R48:V48),R48*F48+T48*H48+V48*J48),0),ROUND(IF(D48="简单平均",AVERAGE(R48:V48),R48*F48+T48*H48+V48*J48),1))</f>
        <v>35066</v>
      </c>
      <c r="S49" s="3448"/>
      <c r="T49" s="3448"/>
      <c r="U49" s="3448"/>
      <c r="V49" s="3448"/>
      <c r="W49" s="3448"/>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3.4068912117692696E-2</v>
      </c>
      <c r="F52" s="1019" t="str">
        <f>IF(OR(E52&gt;=0.3,E52&lt;=-0.3),"超过30%","")</f>
        <v/>
      </c>
      <c r="G52" s="1018">
        <f>IF(G47&lt;G48,G48/G47-1,G47/G48-1)</f>
        <v>7.7135771500242312E-2</v>
      </c>
      <c r="H52" s="1019" t="str">
        <f>IF(OR(G52&gt;=0.3,G52&lt;=-0.3),"超过30%","")</f>
        <v/>
      </c>
      <c r="I52" s="1018">
        <f>IF(I47&lt;I48,I48/I47-1,I47/I48-1)</f>
        <v>1.7958209685807747E-2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8.8241223396595903E-2</v>
      </c>
      <c r="F53" s="1019" t="str">
        <f>IF(OR(E53&gt;=0.2,E53&lt;=-0.2),"超过20%","")</f>
        <v/>
      </c>
      <c r="G53" s="1018">
        <f>IF(G48&lt;I48,I48/G48-1,G48/I48-1)</f>
        <v>0.15602533117141371</v>
      </c>
      <c r="H53" s="1019" t="str">
        <f>IF(OR(G53&gt;=0.2,G53&lt;=-0.2),"超过20%","")</f>
        <v/>
      </c>
      <c r="I53" s="1018">
        <f>IF(I48&lt;E48,E48/I48-1,I48/E48-1)</f>
        <v>6.2287759659803488E-2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2850</v>
      </c>
      <c r="D65" s="3191" t="s">
        <v>2849</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2876</v>
      </c>
      <c r="D86" s="2106" t="s">
        <v>2878</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2827</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2845</v>
      </c>
      <c r="D92" s="1156"/>
      <c r="E92" s="1156"/>
      <c r="F92" s="1156"/>
      <c r="G92" s="1156"/>
      <c r="H92" s="1156"/>
      <c r="I92" s="1156"/>
      <c r="J92" s="1156"/>
      <c r="K92" s="1156"/>
      <c r="L92" s="1313"/>
      <c r="M92" s="1314"/>
      <c r="N92" s="3108" t="s">
        <v>2828</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2829</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2830</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2831</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2832</v>
      </c>
      <c r="O96" s="3180">
        <v>0.5</v>
      </c>
      <c r="P96" s="3180"/>
      <c r="Q96" s="901"/>
      <c r="R96" s="3181" t="s">
        <v>2837</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2833</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2834</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2835</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2809</v>
      </c>
      <c r="D100" s="2107" t="s">
        <v>2810</v>
      </c>
      <c r="E100" s="1091"/>
      <c r="F100" s="1091"/>
      <c r="G100" s="1091"/>
      <c r="H100" s="1091"/>
      <c r="I100" s="1091"/>
      <c r="J100" s="1091"/>
      <c r="K100" s="1184"/>
      <c r="L100" s="1185"/>
      <c r="M100" s="1186"/>
      <c r="N100" s="3108" t="s">
        <v>2836</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2811</v>
      </c>
      <c r="D105" s="2106" t="s">
        <v>2812</v>
      </c>
      <c r="E105" s="2108" t="s">
        <v>2813</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2814</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2815</v>
      </c>
      <c r="D112" s="2106" t="s">
        <v>2816</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2817</v>
      </c>
      <c r="D114" s="2106" t="s">
        <v>2818</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2819</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2820</v>
      </c>
      <c r="D120" s="2108" t="s">
        <v>2821</v>
      </c>
      <c r="E120" s="2108" t="s">
        <v>2802</v>
      </c>
      <c r="F120" s="2108" t="s">
        <v>2822</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2823</v>
      </c>
      <c r="D122" s="2106" t="s">
        <v>2824</v>
      </c>
      <c r="E122" s="2106" t="s">
        <v>2825</v>
      </c>
      <c r="F122" s="2108" t="s">
        <v>2826</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2880</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9"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104</v>
      </c>
      <c r="D1" s="1827" t="s">
        <v>124</v>
      </c>
      <c r="E1" s="1828" t="s">
        <v>1147</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101.79049999999999</v>
      </c>
      <c r="C2" s="1833" t="s">
        <v>1149</v>
      </c>
      <c r="D2" s="1834">
        <f ca="1">C40+J29+L46</f>
        <v>1017905</v>
      </c>
      <c r="E2" s="1835" t="s">
        <v>1438</v>
      </c>
      <c r="F2" s="1836"/>
      <c r="G2" s="1837"/>
      <c r="H2" s="1838"/>
      <c r="I2" s="3202">
        <f ca="1">F6*F7*F8/12</f>
        <v>6536.5416666666652</v>
      </c>
      <c r="J2" s="1838"/>
      <c r="K2" s="1993"/>
      <c r="L2" s="1838"/>
      <c r="M2" s="1838"/>
    </row>
    <row r="3" spans="1:37" ht="18" customHeight="1" thickBot="1">
      <c r="A3" s="1839" t="s">
        <v>1150</v>
      </c>
      <c r="B3" s="1840">
        <f ca="1">IF(ISERROR(D2/F43),0,ROUND(D2/F43,0))</f>
        <v>23683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70683</v>
      </c>
      <c r="D5" s="1849" t="s">
        <v>1159</v>
      </c>
      <c r="E5" s="1850"/>
      <c r="F5" s="1851"/>
      <c r="G5" s="714"/>
      <c r="H5" s="1846">
        <v>1</v>
      </c>
      <c r="I5" s="1847" t="s">
        <v>1158</v>
      </c>
      <c r="J5" s="1848">
        <f ca="1">J6+J10+J12</f>
        <v>0</v>
      </c>
      <c r="K5" s="1849" t="s">
        <v>1159</v>
      </c>
      <c r="L5" s="1850"/>
      <c r="M5" s="1851"/>
    </row>
    <row r="6" spans="1:37" ht="18" customHeight="1">
      <c r="A6" s="1852" t="s">
        <v>905</v>
      </c>
      <c r="B6" s="3392" t="s">
        <v>1160</v>
      </c>
      <c r="C6" s="1853">
        <f ca="1">ROUND(F6*F8*F7*(1-F9),0)</f>
        <v>70595</v>
      </c>
      <c r="D6" s="1854" t="s">
        <v>1439</v>
      </c>
      <c r="E6" s="1855" t="s">
        <v>1162</v>
      </c>
      <c r="F6" s="1856">
        <f ca="1">INDIRECT("'数据-取费表'!u"&amp;$G$1)</f>
        <v>5</v>
      </c>
      <c r="G6" s="714"/>
      <c r="H6" s="1852" t="s">
        <v>905</v>
      </c>
      <c r="I6" s="3392" t="s">
        <v>1160</v>
      </c>
      <c r="J6" s="1926">
        <f ca="1">ROUND(M6*M8*M7*(1-M9),0)</f>
        <v>0</v>
      </c>
      <c r="K6" s="1996" t="s">
        <v>1440</v>
      </c>
      <c r="L6" s="1855" t="s">
        <v>1162</v>
      </c>
      <c r="M6" s="1856">
        <f ca="1">INDIRECT("'数据-取费表'!z"&amp;$G$1)</f>
        <v>0</v>
      </c>
    </row>
    <row r="7" spans="1:37" ht="18" customHeight="1">
      <c r="A7" s="1857"/>
      <c r="B7" s="3393"/>
      <c r="C7" s="1858"/>
      <c r="D7" s="1859"/>
      <c r="E7" s="1860" t="s">
        <v>1164</v>
      </c>
      <c r="F7" s="1856">
        <f ca="1">IF(INDIRECT("'数据-取费表'!ah"&amp;$G$1)="",INDIRECT("'数据-取费表'!k"&amp;$G$1),INDIRECT("'数据-取费表'!ah"&amp;$G$1))</f>
        <v>42.98</v>
      </c>
      <c r="G7" s="714"/>
      <c r="H7" s="1861"/>
      <c r="I7" s="3393"/>
      <c r="J7" s="1862"/>
      <c r="K7" s="1859"/>
      <c r="L7" s="1855" t="s">
        <v>1164</v>
      </c>
      <c r="M7" s="1856">
        <f ca="1">F7</f>
        <v>42.98</v>
      </c>
    </row>
    <row r="8" spans="1:37" ht="18" customHeight="1">
      <c r="A8" s="1861"/>
      <c r="B8" s="3393"/>
      <c r="C8" s="1862"/>
      <c r="D8" s="1859"/>
      <c r="E8" s="1855" t="s">
        <v>1165</v>
      </c>
      <c r="F8" s="1856">
        <f ca="1">INDIRECT("'数据-取费表'!ai"&amp;$G$1)</f>
        <v>365</v>
      </c>
      <c r="G8" s="714"/>
      <c r="H8" s="1861"/>
      <c r="I8" s="3393"/>
      <c r="J8" s="1862"/>
      <c r="K8" s="1859"/>
      <c r="L8" s="1855" t="s">
        <v>1165</v>
      </c>
      <c r="M8" s="1856">
        <f ca="1">INDIRECT("'数据-取费表'!ai"&amp;$G$1)</f>
        <v>365</v>
      </c>
    </row>
    <row r="9" spans="1:37" ht="18" customHeight="1">
      <c r="A9" s="1861"/>
      <c r="B9" s="3394"/>
      <c r="C9" s="1862"/>
      <c r="D9" s="1859"/>
      <c r="E9" s="1855" t="s">
        <v>1166</v>
      </c>
      <c r="F9" s="1863">
        <f ca="1">INDIRECT("'数据-取费表'!w"&amp;$G$1)</f>
        <v>0.1</v>
      </c>
      <c r="G9" s="714"/>
      <c r="H9" s="1861"/>
      <c r="I9" s="3394"/>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88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208177</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171920</v>
      </c>
      <c r="D14" s="1886" t="s">
        <v>1177</v>
      </c>
      <c r="E14" s="1887"/>
      <c r="F14" s="1888"/>
      <c r="G14" s="714"/>
      <c r="H14" s="1884" t="s">
        <v>905</v>
      </c>
      <c r="I14" s="1855" t="s">
        <v>1178</v>
      </c>
      <c r="J14" s="1469">
        <f ca="1">C29</f>
        <v>250816</v>
      </c>
      <c r="K14" s="2005"/>
      <c r="L14" s="2006"/>
      <c r="M14" s="2007"/>
    </row>
    <row r="15" spans="1:37" s="1823" customFormat="1" ht="18" customHeight="1" thickBot="1">
      <c r="A15" s="1884" t="s">
        <v>933</v>
      </c>
      <c r="B15" s="1855" t="s">
        <v>1107</v>
      </c>
      <c r="C15" s="1469">
        <f ca="1">ROUND(C14*F15,0)</f>
        <v>8596</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502</v>
      </c>
      <c r="K16" s="1904" t="s">
        <v>1183</v>
      </c>
      <c r="L16" s="1905"/>
      <c r="M16" s="1851"/>
    </row>
    <row r="17" spans="1:37" s="1823" customFormat="1" ht="18" customHeight="1">
      <c r="A17" s="1884" t="s">
        <v>1184</v>
      </c>
      <c r="B17" s="1855" t="s">
        <v>1185</v>
      </c>
      <c r="C17" s="1469">
        <f ca="1">ROUND(F17*(F43+INDIRECT("'数据-取费表'!S"&amp;$G$1)),0)</f>
        <v>8596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3438</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192550</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3851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502</v>
      </c>
      <c r="K22" s="1908" t="s">
        <v>1209</v>
      </c>
      <c r="L22" s="1855" t="s">
        <v>1180</v>
      </c>
      <c r="M22" s="1920">
        <f ca="1">INDIRECT("'数据-取费表'!Ak"&amp;$G$1)</f>
        <v>2E-3</v>
      </c>
    </row>
    <row r="23" spans="1:37" s="1823" customFormat="1" ht="18" customHeight="1">
      <c r="A23" s="1884" t="s">
        <v>928</v>
      </c>
      <c r="B23" s="1855" t="s">
        <v>1210</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-502</v>
      </c>
      <c r="K25" s="1923" t="s">
        <v>1221</v>
      </c>
      <c r="L25" s="1924"/>
      <c r="M25" s="1925"/>
    </row>
    <row r="26" spans="1:37" ht="18" customHeight="1">
      <c r="A26" s="1884" t="s">
        <v>928</v>
      </c>
      <c r="B26" s="1855" t="s">
        <v>1222</v>
      </c>
      <c r="C26" s="1469">
        <f ca="1">ROUND((C19+C20)*F26,0)</f>
        <v>29460</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250816</v>
      </c>
      <c r="D29" s="1901"/>
      <c r="E29" s="1877"/>
      <c r="F29" s="1902"/>
      <c r="G29" s="1891"/>
      <c r="H29" s="1903" t="s">
        <v>1237</v>
      </c>
      <c r="I29" s="1932" t="s">
        <v>1238</v>
      </c>
      <c r="J29" s="1933">
        <f ca="1">ROUND(J26/(1+F40)^F41,0)</f>
        <v>0</v>
      </c>
      <c r="K29" s="1934" t="s">
        <v>1239</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12829</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11766</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3698</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8068</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502</v>
      </c>
      <c r="D36" s="1908" t="s">
        <v>1241</v>
      </c>
      <c r="E36" s="1855" t="s">
        <v>1180</v>
      </c>
      <c r="F36" s="1920">
        <f ca="1">INDIRECT("'数据-取费表'!Ak"&amp;$G$1)</f>
        <v>2E-3</v>
      </c>
      <c r="G36" s="714"/>
      <c r="H36" s="1912"/>
      <c r="I36" s="2012"/>
      <c r="J36" s="2013"/>
      <c r="K36" s="2019"/>
      <c r="L36" s="1912"/>
      <c r="M36" s="1912"/>
    </row>
    <row r="37" spans="1:18" ht="18" customHeight="1">
      <c r="A37" s="1884" t="s">
        <v>956</v>
      </c>
      <c r="B37" s="1855" t="s">
        <v>1212</v>
      </c>
      <c r="C37" s="1469">
        <f ca="1">ROUND(C13*F37,0)</f>
        <v>208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353</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57854</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1004401</v>
      </c>
      <c r="D40" s="1914" t="s">
        <v>1227</v>
      </c>
      <c r="E40" s="1855" t="s">
        <v>1228</v>
      </c>
      <c r="F40" s="1863">
        <f ca="1">INDIRECT("'数据-取费表'!I"&amp;$G$1)</f>
        <v>5.5E-2</v>
      </c>
      <c r="G40" s="714"/>
      <c r="H40" s="1927">
        <f ca="1">C39/C5</f>
        <v>0.81849949775759379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23369</v>
      </c>
      <c r="D43" s="1934" t="s">
        <v>1244</v>
      </c>
      <c r="E43" s="1935" t="s">
        <v>1245</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-101.4385</v>
      </c>
      <c r="D45" s="1941" t="s">
        <v>1446</v>
      </c>
      <c r="E45" s="1937"/>
      <c r="F45" s="1937"/>
      <c r="O45" s="2021" t="s">
        <v>1246</v>
      </c>
      <c r="P45" s="1927"/>
      <c r="Q45" s="1927"/>
      <c r="R45" s="1927"/>
    </row>
    <row r="46" spans="1:18" s="714" customFormat="1" ht="13.8" thickBot="1">
      <c r="A46" s="1942" t="s">
        <v>1247</v>
      </c>
      <c r="C46" s="1943">
        <f ca="1">ROUND(C45,0)</f>
        <v>-101</v>
      </c>
      <c r="D46" s="1944" t="str">
        <f>C2</f>
        <v>万元</v>
      </c>
      <c r="I46" s="2022" t="s">
        <v>1248</v>
      </c>
      <c r="J46" s="2023"/>
      <c r="K46" s="2024"/>
      <c r="L46" s="2025">
        <f ca="1">IF(M47="住宅",0,IF(L48&gt;J51,L60,J60))</f>
        <v>13504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1004401</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13504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250816</v>
      </c>
      <c r="R49" s="2070" t="s">
        <v>1256</v>
      </c>
    </row>
    <row r="50" spans="1:18" s="714" customFormat="1" ht="13.8" thickBot="1">
      <c r="A50" s="1960"/>
      <c r="B50" s="1431"/>
      <c r="C50" s="1961"/>
      <c r="D50" s="1962"/>
      <c r="E50" s="1963" t="s">
        <v>1164</v>
      </c>
      <c r="F50" s="1964">
        <f ca="1">F7</f>
        <v>42.98</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790146</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0" t="s">
        <v>1284</v>
      </c>
      <c r="L53" s="3391"/>
      <c r="O53" s="2033" t="s">
        <v>1109</v>
      </c>
      <c r="P53" s="2034" t="s">
        <v>1285</v>
      </c>
      <c r="Q53" s="2070">
        <f ca="1">Q47+Q48</f>
        <v>1017905</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208177</v>
      </c>
      <c r="D56" s="1974"/>
      <c r="E56" s="1975"/>
      <c r="F56" s="1971"/>
      <c r="I56" s="2058" t="s">
        <v>1290</v>
      </c>
      <c r="J56" s="2059" t="s">
        <v>1450</v>
      </c>
      <c r="K56" s="2035" t="s">
        <v>1291</v>
      </c>
      <c r="L56" s="2038" t="str">
        <f ca="1">IF(L48&lt;J51,"——",L48-J51)</f>
        <v>——</v>
      </c>
      <c r="O56" s="2033" t="s">
        <v>1012</v>
      </c>
      <c r="P56" s="2034" t="s">
        <v>1255</v>
      </c>
      <c r="Q56" s="2070">
        <f ca="1">C40+J29</f>
        <v>1004401</v>
      </c>
      <c r="R56" s="2070" t="s">
        <v>1256</v>
      </c>
    </row>
    <row r="57" spans="1:18" s="714" customFormat="1" ht="24.6" thickBot="1">
      <c r="A57" s="1976"/>
      <c r="B57" s="1977" t="s">
        <v>1236</v>
      </c>
      <c r="C57" s="388">
        <f ca="1">C29</f>
        <v>250816</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710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13504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1004401</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502</v>
      </c>
      <c r="D64" s="1985" t="s">
        <v>1241</v>
      </c>
      <c r="E64" s="1977" t="s">
        <v>1180</v>
      </c>
      <c r="F64" s="1920">
        <f t="shared" ca="1" si="0"/>
        <v>2E-3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208</v>
      </c>
      <c r="D65" s="1985" t="s">
        <v>1213</v>
      </c>
      <c r="E65" s="1977" t="s">
        <v>1180</v>
      </c>
      <c r="F65" s="1921">
        <f t="shared" ca="1" si="0"/>
        <v>1E-3</v>
      </c>
      <c r="I65" s="2066" t="s">
        <v>1314</v>
      </c>
      <c r="J65" s="1032">
        <v>40</v>
      </c>
      <c r="K65" s="1032">
        <v>30</v>
      </c>
      <c r="L65" s="1032">
        <v>50</v>
      </c>
      <c r="M65" s="2068">
        <v>0.02</v>
      </c>
      <c r="O65" s="2033" t="s">
        <v>1012</v>
      </c>
      <c r="P65" s="2034" t="s">
        <v>1255</v>
      </c>
      <c r="Q65" s="2070">
        <f ca="1">C40+J29</f>
        <v>1004401</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-710</v>
      </c>
      <c r="D67" s="1984" t="s">
        <v>1221</v>
      </c>
      <c r="E67" s="2073"/>
      <c r="F67" s="2074"/>
      <c r="O67" s="2041" t="s">
        <v>1267</v>
      </c>
      <c r="P67" s="2034" t="s">
        <v>1298</v>
      </c>
      <c r="Q67" s="2094">
        <f ca="1">L51</f>
        <v>790146</v>
      </c>
      <c r="R67" s="2070" t="s">
        <v>1315</v>
      </c>
    </row>
    <row r="68" spans="1:18" s="714" customFormat="1" ht="16.2" thickBot="1">
      <c r="A68" s="2075" t="s">
        <v>1225</v>
      </c>
      <c r="B68" s="2076" t="s">
        <v>1242</v>
      </c>
      <c r="C68" s="1926">
        <f ca="1">ROUND(C67*(1-((1+F70)/(1+F68))^F69)/(F68-F70),0)</f>
        <v>-9984</v>
      </c>
      <c r="D68" s="1987" t="s">
        <v>1227</v>
      </c>
      <c r="E68" s="1977" t="s">
        <v>1228</v>
      </c>
      <c r="F68" s="1863">
        <f ca="1">F40</f>
        <v>5.5E-2</v>
      </c>
      <c r="O68" s="2041" t="s">
        <v>1271</v>
      </c>
      <c r="P68" s="2093" t="s">
        <v>1316</v>
      </c>
      <c r="Q68" s="2070">
        <f ca="1">ROUND(Q69-Q70*Q71,0)</f>
        <v>43282</v>
      </c>
      <c r="R68" s="2070" t="s">
        <v>1317</v>
      </c>
    </row>
    <row r="69" spans="1:18" s="714" customFormat="1" ht="13.8" thickBot="1">
      <c r="A69" s="2077"/>
      <c r="B69" s="2078"/>
      <c r="C69" s="1862"/>
      <c r="D69" s="2079" t="s">
        <v>1231</v>
      </c>
      <c r="E69" s="1977" t="s">
        <v>1232</v>
      </c>
      <c r="F69" s="1930">
        <f ca="1">F41</f>
        <v>27.73</v>
      </c>
      <c r="O69" s="2041" t="s">
        <v>1318</v>
      </c>
      <c r="P69" s="2093" t="s">
        <v>1319</v>
      </c>
      <c r="Q69" s="2070">
        <f ca="1">C39</f>
        <v>57854</v>
      </c>
      <c r="R69" s="2070" t="s">
        <v>1256</v>
      </c>
    </row>
    <row r="70" spans="1:18" s="714" customFormat="1" ht="13.8" thickBot="1">
      <c r="A70" s="2080"/>
      <c r="B70" s="2081"/>
      <c r="C70" s="1881"/>
      <c r="D70" s="1989"/>
      <c r="E70" s="1977" t="s">
        <v>1235</v>
      </c>
      <c r="F70" s="1967"/>
      <c r="O70" s="2041" t="s">
        <v>1320</v>
      </c>
      <c r="P70" s="2093" t="s">
        <v>1321</v>
      </c>
      <c r="Q70" s="2070">
        <f ca="1">C13</f>
        <v>208177</v>
      </c>
      <c r="R70" s="2070" t="s">
        <v>1256</v>
      </c>
    </row>
    <row r="71" spans="1:18" s="714" customFormat="1" ht="13.8" thickBot="1">
      <c r="A71" s="2082" t="s">
        <v>1237</v>
      </c>
      <c r="B71" s="2083" t="s">
        <v>1243</v>
      </c>
      <c r="C71" s="1933">
        <f ca="1">ROUND(C68/F71,0)</f>
        <v>-232</v>
      </c>
      <c r="D71" s="2084" t="s">
        <v>1244</v>
      </c>
      <c r="E71" s="2085" t="s">
        <v>1245</v>
      </c>
      <c r="F71" s="1936">
        <f ca="1">F43</f>
        <v>42.98</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14572</v>
      </c>
      <c r="D75" s="714"/>
      <c r="E75" s="714"/>
      <c r="F75" s="714"/>
      <c r="K75" s="2020"/>
      <c r="L75" s="714"/>
      <c r="O75" s="2033" t="s">
        <v>1109</v>
      </c>
      <c r="P75" s="2034" t="s">
        <v>1285</v>
      </c>
      <c r="Q75" s="2070">
        <f ca="1">Q65+Q66</f>
        <v>1004401</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0.748</v>
      </c>
    </row>
    <row r="80" spans="1:18">
      <c r="B80" s="2087" t="s">
        <v>1331</v>
      </c>
      <c r="C80" s="421">
        <f ca="1">ROUND(C75/C39,3)</f>
        <v>0.252</v>
      </c>
    </row>
    <row r="81" spans="2:3">
      <c r="B81" s="418" t="s">
        <v>1332</v>
      </c>
      <c r="C81" s="388"/>
    </row>
    <row r="82" spans="2:3">
      <c r="B82" s="420" t="s">
        <v>1091</v>
      </c>
      <c r="C82" s="422">
        <f ca="1">1-C83</f>
        <v>0.79300000000000004</v>
      </c>
    </row>
    <row r="83" spans="2:3">
      <c r="B83" s="420" t="s">
        <v>1092</v>
      </c>
      <c r="C83" s="421">
        <f ca="1">ROUND(C13/C40,3)</f>
        <v>0.20699999999999999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2631</v>
      </c>
      <c r="C1" s="228"/>
      <c r="D1" s="228"/>
      <c r="E1" s="228"/>
      <c r="F1" s="228"/>
      <c r="G1" s="228"/>
      <c r="H1" s="228"/>
      <c r="I1" s="228"/>
      <c r="J1" s="246"/>
      <c r="K1" s="228" t="s">
        <v>2632</v>
      </c>
      <c r="L1" s="228"/>
      <c r="M1" s="228"/>
      <c r="N1" s="228"/>
      <c r="O1" s="228"/>
      <c r="P1" s="228"/>
      <c r="Q1" s="246"/>
      <c r="R1" s="3527" t="s">
        <v>2633</v>
      </c>
      <c r="S1" s="3528"/>
      <c r="T1" s="3528"/>
      <c r="U1" s="3528"/>
      <c r="V1" s="3528"/>
      <c r="W1" s="3528"/>
      <c r="X1" s="246"/>
      <c r="Y1" s="3527" t="s">
        <v>2634</v>
      </c>
      <c r="Z1" s="3528"/>
      <c r="AA1" s="3528"/>
      <c r="AB1" s="3528"/>
      <c r="AC1" s="3528"/>
      <c r="AD1" s="3528"/>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27" t="s">
        <v>2633</v>
      </c>
      <c r="S29" s="3528"/>
      <c r="T29" s="3528"/>
      <c r="U29" s="3528"/>
      <c r="V29" s="3528"/>
      <c r="W29" s="3528"/>
      <c r="X29" s="246"/>
      <c r="Y29" s="3527" t="s">
        <v>2634</v>
      </c>
      <c r="Z29" s="3528"/>
      <c r="AA29" s="3528"/>
      <c r="AB29" s="3528"/>
      <c r="AC29" s="3528"/>
      <c r="AD29" s="3528"/>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4" t="str">
        <f>IF(项目基本情况!B9="房地产市场价值","估价结果一览表","结果表-2")</f>
        <v>结果表-2</v>
      </c>
      <c r="B1" s="3214"/>
      <c r="C1" s="3214"/>
      <c r="D1" s="3214"/>
      <c r="E1" s="3214"/>
      <c r="F1" s="3214"/>
      <c r="G1" s="3214"/>
      <c r="H1" s="3214"/>
      <c r="I1" s="3214"/>
    </row>
    <row r="2" spans="1:9" ht="30" customHeight="1">
      <c r="A2" s="3215" t="s">
        <v>107</v>
      </c>
      <c r="B2" s="3215" t="s">
        <v>108</v>
      </c>
      <c r="C2" s="3215" t="s">
        <v>109</v>
      </c>
      <c r="D2" s="3215" t="str">
        <f>结果表101!D116</f>
        <v>出让国有建设用地使用权价值</v>
      </c>
      <c r="E2" s="3215"/>
      <c r="F2" s="3215" t="str">
        <f>结果表101!F116</f>
        <v>在建建筑物价值</v>
      </c>
      <c r="G2" s="3215"/>
      <c r="H2" s="3215" t="str">
        <f>IF(项目基本情况!B9="房地产市场价值","房地产市场价值","房地产价值")</f>
        <v>房地产价值</v>
      </c>
      <c r="I2" s="3215"/>
    </row>
    <row r="3" spans="1:9" ht="15.6">
      <c r="A3" s="3216"/>
      <c r="B3" s="3216"/>
      <c r="C3" s="3216"/>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0</v>
      </c>
      <c r="E4" s="3122">
        <f ca="1">结果表101!E118</f>
        <v>28275</v>
      </c>
      <c r="F4" s="3122">
        <f ca="1">结果表101!F118</f>
        <v>0</v>
      </c>
      <c r="G4" s="3122">
        <f ca="1">结果表101!G118</f>
        <v>6165</v>
      </c>
      <c r="H4" s="3122">
        <f ca="1">结果表101!H118</f>
        <v>0</v>
      </c>
      <c r="I4" s="3122">
        <f ca="1">结果表101!I118</f>
        <v>34440</v>
      </c>
    </row>
    <row r="5" spans="1:9" ht="30" customHeight="1">
      <c r="A5" s="3216" t="s">
        <v>112</v>
      </c>
      <c r="B5" s="3216"/>
      <c r="C5" s="3216"/>
      <c r="D5" s="3216" t="str">
        <f ca="1">结果表101!D119</f>
        <v>零元整</v>
      </c>
      <c r="E5" s="3216"/>
      <c r="F5" s="3216" t="str">
        <f ca="1">结果表101!F119</f>
        <v>零元整</v>
      </c>
      <c r="G5" s="3216"/>
      <c r="H5" s="3216" t="str">
        <f ca="1">结果表101!H119</f>
        <v>零元整</v>
      </c>
      <c r="I5" s="3216"/>
    </row>
    <row r="6" spans="1:9" ht="15.6">
      <c r="A6" s="3217" t="str">
        <f>结果表101!A120</f>
        <v>估价师知悉的法定优先受偿款</v>
      </c>
      <c r="B6" s="3217"/>
      <c r="C6" s="3217"/>
      <c r="D6" s="3217">
        <f>结果表101!D120</f>
        <v>0</v>
      </c>
      <c r="E6" s="3217"/>
      <c r="F6" s="3217"/>
      <c r="G6" s="3217"/>
      <c r="H6" s="3217"/>
      <c r="I6" s="3217"/>
    </row>
    <row r="7" spans="1:9" ht="15">
      <c r="A7" s="3216" t="s">
        <v>112</v>
      </c>
      <c r="B7" s="3216"/>
      <c r="C7" s="3216"/>
      <c r="D7" s="3218" t="str">
        <f>结果表101!D121</f>
        <v>零元整</v>
      </c>
      <c r="E7" s="3219"/>
      <c r="F7" s="3219"/>
      <c r="G7" s="3219"/>
      <c r="H7" s="3219"/>
      <c r="I7" s="3220"/>
    </row>
    <row r="8" spans="1:9" ht="15.6">
      <c r="A8" s="3217" t="str">
        <f>结果表101!A122</f>
        <v>房地产抵押价值</v>
      </c>
      <c r="B8" s="3217"/>
      <c r="C8" s="3217"/>
      <c r="D8" s="3217">
        <f ca="1">结果表101!D122</f>
        <v>0</v>
      </c>
      <c r="E8" s="3217"/>
      <c r="F8" s="3217"/>
      <c r="G8" s="3217"/>
      <c r="H8" s="3217"/>
      <c r="I8" s="3217"/>
    </row>
    <row r="9" spans="1:9" ht="15">
      <c r="A9" s="3216" t="s">
        <v>112</v>
      </c>
      <c r="B9" s="3216"/>
      <c r="C9" s="3216"/>
      <c r="D9" s="3216" t="str">
        <f ca="1">结果表101!D123</f>
        <v>零元整</v>
      </c>
      <c r="E9" s="3216"/>
      <c r="F9" s="3216"/>
      <c r="G9" s="3216"/>
      <c r="H9" s="3216"/>
      <c r="I9" s="3216"/>
    </row>
    <row r="10" spans="1:9" ht="15.6">
      <c r="A10" s="3217" t="str">
        <f>结果表101!A124</f>
        <v/>
      </c>
      <c r="B10" s="3217"/>
      <c r="C10" s="3217"/>
      <c r="D10" s="3217" t="str">
        <f>结果表101!D124</f>
        <v>——</v>
      </c>
      <c r="E10" s="3217"/>
      <c r="F10" s="3217"/>
      <c r="G10" s="3217"/>
      <c r="H10" s="3217"/>
      <c r="I10" s="3217"/>
    </row>
    <row r="11" spans="1:9" ht="15">
      <c r="A11" s="3216" t="s">
        <v>112</v>
      </c>
      <c r="B11" s="3216"/>
      <c r="C11" s="3216"/>
      <c r="D11" s="3216" t="e">
        <f>结果表101!D125</f>
        <v>#VALUE!</v>
      </c>
      <c r="E11" s="3216"/>
      <c r="F11" s="3216"/>
      <c r="G11" s="3216"/>
      <c r="H11" s="3216"/>
      <c r="I11" s="3216"/>
    </row>
    <row r="12" spans="1:9" ht="15.6">
      <c r="A12" s="3217" t="str">
        <f>结果表101!A126</f>
        <v/>
      </c>
      <c r="B12" s="3217"/>
      <c r="C12" s="3217"/>
      <c r="D12" s="3217" t="str">
        <f>结果表101!D126</f>
        <v>——</v>
      </c>
      <c r="E12" s="3217"/>
      <c r="F12" s="3217"/>
      <c r="G12" s="3217"/>
      <c r="H12" s="3217"/>
      <c r="I12" s="3217"/>
    </row>
    <row r="13" spans="1:9" ht="15">
      <c r="A13" s="3221" t="s">
        <v>112</v>
      </c>
      <c r="B13" s="3221"/>
      <c r="C13" s="3221"/>
      <c r="D13" s="3221" t="e">
        <f>结果表101!D127</f>
        <v>#VALUE!</v>
      </c>
      <c r="E13" s="3221"/>
      <c r="F13" s="3221"/>
      <c r="G13" s="3221"/>
      <c r="H13" s="3221"/>
      <c r="I13" s="3221"/>
    </row>
    <row r="14" spans="1:9">
      <c r="A14" s="3222" t="s">
        <v>113</v>
      </c>
      <c r="B14" s="3222"/>
      <c r="C14" s="3222"/>
      <c r="D14" s="3222"/>
      <c r="E14" s="3222"/>
      <c r="F14" s="3222"/>
      <c r="G14" s="3222"/>
      <c r="H14" s="3222"/>
      <c r="I14" s="3222"/>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29" t="s">
        <v>2660</v>
      </c>
      <c r="C1" s="3529"/>
      <c r="D1" s="3529"/>
      <c r="E1" s="3529"/>
      <c r="F1" s="3529"/>
      <c r="G1" s="3528" t="s">
        <v>2661</v>
      </c>
      <c r="H1" s="3528"/>
      <c r="I1" s="3528"/>
      <c r="J1" s="3528"/>
      <c r="K1" s="3528"/>
      <c r="L1" s="3528"/>
      <c r="N1" s="3528" t="s">
        <v>2632</v>
      </c>
      <c r="O1" s="3528"/>
      <c r="P1" s="3528"/>
      <c r="Q1" s="3528"/>
      <c r="S1" s="3528" t="s">
        <v>2662</v>
      </c>
      <c r="T1" s="3528"/>
      <c r="U1" s="3528"/>
      <c r="V1" s="3528"/>
      <c r="X1" s="3527" t="s">
        <v>2633</v>
      </c>
      <c r="Y1" s="3528"/>
      <c r="Z1" s="3528"/>
      <c r="AA1" s="3528"/>
      <c r="AB1" s="3528"/>
      <c r="AD1" s="3527" t="s">
        <v>2634</v>
      </c>
      <c r="AE1" s="3528"/>
      <c r="AF1" s="3528"/>
      <c r="AG1" s="3528"/>
      <c r="AH1" s="3528"/>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1"/>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2">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3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1"/>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2">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3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33"/>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3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3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33"/>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3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3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33"/>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3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3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3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33"/>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3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3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33">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3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3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33">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3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3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33">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3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3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33">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3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3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33">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3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3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33">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3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3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33">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3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3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33">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34">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30">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30">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33">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34">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30">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30">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33">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8" t="s">
        <v>2751</v>
      </c>
      <c r="B1" s="3538"/>
      <c r="C1" s="3538"/>
      <c r="D1" s="3538"/>
      <c r="E1" s="3538"/>
      <c r="F1" s="3538"/>
      <c r="G1" s="3539"/>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40"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41"/>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3" t="s">
        <v>114</v>
      </c>
      <c r="B1" s="3223"/>
      <c r="C1" s="3223"/>
      <c r="D1" s="3223"/>
    </row>
    <row r="2" spans="1:4" ht="17.399999999999999">
      <c r="A2" s="3224" t="s">
        <v>115</v>
      </c>
      <c r="B2" s="3224"/>
      <c r="C2" s="3224"/>
      <c r="D2" s="3224"/>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24" t="s">
        <v>121</v>
      </c>
      <c r="B6" s="3224"/>
      <c r="C6" s="3224"/>
      <c r="D6" s="3224"/>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25" t="s">
        <v>126</v>
      </c>
      <c r="B11" s="3226"/>
      <c r="C11" s="3226"/>
      <c r="D11" s="3226"/>
    </row>
    <row r="12" spans="1:4" ht="15.6">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6" t="str">
        <f>IF(项目基本情况!B8="抵押","4.本次评估估价师所知悉的法定优先受偿款情况说明如下：","——")</f>
        <v>4.本次评估估价师所知悉的法定优先受偿款情况说明如下：</v>
      </c>
      <c r="B14" s="3227"/>
      <c r="C14" s="3227"/>
      <c r="D14" s="3227"/>
    </row>
    <row r="15" spans="1:4" ht="42" customHeight="1">
      <c r="A15" s="32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6"/>
      <c r="C15" s="3226"/>
      <c r="D15" s="3226"/>
    </row>
    <row r="16" spans="1:4" ht="30" customHeight="1">
      <c r="A16" s="3228" t="s">
        <v>127</v>
      </c>
      <c r="B16" s="3228"/>
      <c r="C16" s="3228"/>
      <c r="D16" s="3228"/>
    </row>
    <row r="17" spans="1:4" ht="144" customHeight="1">
      <c r="A17" s="3228" t="s">
        <v>128</v>
      </c>
      <c r="B17" s="3228"/>
      <c r="C17" s="3228"/>
      <c r="D17" s="3228"/>
    </row>
    <row r="18" spans="1:4" ht="15.75" customHeight="1">
      <c r="A18" s="3226" t="str">
        <f>IF(项目基本情况!B8="抵押",结果表101!K120,"——")</f>
        <v>故，本次评估不存在估价师知悉的法定优先受偿款</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6"/>
      <c r="C20" s="3226"/>
      <c r="D20" s="3226"/>
    </row>
    <row r="21" spans="1:4" ht="57.75" customHeight="1">
      <c r="A21" s="3230"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129</v>
      </c>
      <c r="B22" s="3231"/>
      <c r="C22" s="3231"/>
      <c r="D22" s="3231"/>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9">
        <v>42551</v>
      </c>
      <c r="D31" s="32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4" t="s">
        <v>146</v>
      </c>
      <c r="B15" s="3239" t="s">
        <v>147</v>
      </c>
      <c r="C15" s="3233"/>
    </row>
    <row r="16" spans="1:7" ht="14.4">
      <c r="A16" s="3235"/>
      <c r="B16" s="3239" t="s">
        <v>148</v>
      </c>
      <c r="C16" s="3233"/>
    </row>
    <row r="17" spans="1:3" ht="14.4">
      <c r="A17" s="3235"/>
      <c r="B17" s="3238" t="s">
        <v>149</v>
      </c>
      <c r="C17" s="3101" t="s">
        <v>146</v>
      </c>
    </row>
    <row r="18" spans="1:3" ht="14.4">
      <c r="A18" s="3235"/>
      <c r="B18" s="3238"/>
      <c r="C18" s="3101" t="s">
        <v>150</v>
      </c>
    </row>
    <row r="19" spans="1:3" ht="14.4">
      <c r="A19" s="3235"/>
      <c r="B19" s="3238"/>
      <c r="C19" s="3101" t="s">
        <v>151</v>
      </c>
    </row>
    <row r="20" spans="1:3" ht="14.4">
      <c r="A20" s="3236"/>
      <c r="B20" s="3232" t="s">
        <v>152</v>
      </c>
      <c r="C20" s="3233"/>
    </row>
    <row r="21" spans="1:3" ht="14.4">
      <c r="A21" s="3102" t="s">
        <v>153</v>
      </c>
      <c r="B21" s="3103"/>
      <c r="C21" s="3104"/>
    </row>
    <row r="22" spans="1:3" ht="14.4">
      <c r="A22" s="3237" t="s">
        <v>154</v>
      </c>
      <c r="B22" s="3232" t="s">
        <v>155</v>
      </c>
      <c r="C22" s="3233"/>
    </row>
    <row r="23" spans="1:3" ht="14.4">
      <c r="A23" s="3237"/>
      <c r="B23" s="3232" t="s">
        <v>156</v>
      </c>
      <c r="C23" s="3233"/>
    </row>
    <row r="24" spans="1:3" ht="14.4">
      <c r="A24" s="3237"/>
      <c r="B24" s="3232" t="s">
        <v>157</v>
      </c>
      <c r="C24" s="3233"/>
    </row>
    <row r="25" spans="1:3" ht="14.4">
      <c r="A25" s="3237"/>
      <c r="B25" s="3238" t="s">
        <v>158</v>
      </c>
      <c r="C25" s="3101" t="s">
        <v>159</v>
      </c>
    </row>
    <row r="26" spans="1:3" ht="14.4">
      <c r="A26" s="3237"/>
      <c r="B26" s="3238"/>
      <c r="C26" s="3101" t="s">
        <v>160</v>
      </c>
    </row>
    <row r="27" spans="1:3" ht="14.4">
      <c r="A27" s="3237"/>
      <c r="B27" s="3238"/>
      <c r="C27" s="3101" t="s">
        <v>161</v>
      </c>
    </row>
    <row r="28" spans="1:3" ht="14.4">
      <c r="A28" s="3237"/>
      <c r="B28" s="3238"/>
      <c r="C28" s="3101" t="s">
        <v>162</v>
      </c>
    </row>
    <row r="29" spans="1:3" ht="14.4">
      <c r="A29" s="3237"/>
      <c r="B29" s="3238"/>
      <c r="C29" s="3101" t="s">
        <v>163</v>
      </c>
    </row>
    <row r="30" spans="1:3" ht="14.4">
      <c r="A30" s="3237"/>
      <c r="B30" s="3238"/>
      <c r="C30" s="3101" t="s">
        <v>164</v>
      </c>
    </row>
    <row r="31" spans="1:3" ht="14.4">
      <c r="A31" s="3237"/>
      <c r="B31" s="3238"/>
      <c r="C31" s="3101" t="s">
        <v>165</v>
      </c>
    </row>
    <row r="32" spans="1:3" ht="14.4">
      <c r="A32" s="3237"/>
      <c r="B32" s="3238"/>
      <c r="C32" s="3101" t="s">
        <v>166</v>
      </c>
    </row>
    <row r="33" spans="1:3" ht="14.4">
      <c r="A33" s="3237"/>
      <c r="B33" s="3238"/>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45863</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0" t="s">
        <v>197</v>
      </c>
      <c r="B17" s="3240"/>
      <c r="C17" s="3240"/>
      <c r="D17" s="3240"/>
      <c r="E17" s="3240"/>
      <c r="F17" s="3240"/>
      <c r="G17" s="3240"/>
      <c r="H17" s="3240"/>
    </row>
    <row r="18" spans="1:8" ht="24" customHeight="1">
      <c r="A18" s="3241" t="s">
        <v>198</v>
      </c>
      <c r="B18" s="3241"/>
      <c r="C18" s="3241"/>
      <c r="D18" s="3070"/>
      <c r="E18" s="3242" t="s">
        <v>199</v>
      </c>
      <c r="F18" s="3241"/>
      <c r="G18" s="3241"/>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2025-07-25T03:54:16Z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