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state="hidden" r:id="rId17"/>
    <sheet name="系统读取表" sheetId="74" r:id="rId18"/>
    <sheet name="结果表（办公）" sheetId="9" r:id="rId19"/>
    <sheet name="成本法" sheetId="68" state="hidden" r:id="rId20"/>
    <sheet name="成本法 (元)" sheetId="69" state="hidden" r:id="rId21"/>
    <sheet name="假设开发法" sheetId="12" state="hidden" r:id="rId22"/>
    <sheet name="收益法 (元)" sheetId="67" state="hidden" r:id="rId23"/>
    <sheet name="酒店收入计算" sheetId="66" state="hidden" r:id="rId24"/>
    <sheet name="比较法-住宅" sheetId="21" state="hidden" r:id="rId25"/>
    <sheet name="结果表（商业）" sheetId="85" state="hidden" r:id="rId26"/>
    <sheet name="结果表（车位）" sheetId="84" state="hidden" r:id="rId27"/>
    <sheet name="比较法-办公" sheetId="34" r:id="rId28"/>
    <sheet name="比较法-商业" sheetId="83" state="hidden" r:id="rId29"/>
    <sheet name="比较法-商业1" sheetId="33" r:id="rId30"/>
    <sheet name="商业案例" sheetId="78" r:id="rId31"/>
    <sheet name="比较法-车位" sheetId="35" r:id="rId32"/>
    <sheet name="收益法（汇总）" sheetId="70" r:id="rId33"/>
    <sheet name="收益法（商业）" sheetId="81" r:id="rId34"/>
    <sheet name="收益法（办公）" sheetId="15" r:id="rId35"/>
    <sheet name="收益法（车位）" sheetId="82" r:id="rId36"/>
    <sheet name="现金流预测审核报告" sheetId="79" r:id="rId37"/>
    <sheet name="租赁明细" sheetId="80" r:id="rId38"/>
    <sheet name="比较法-工业" sheetId="37"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s>
  <definedNames>
    <definedName name="——" localSheetId="26" hidden="1">#REF!</definedName>
    <definedName name="——" localSheetId="25" hidden="1">#REF!</definedName>
    <definedName name="——" localSheetId="35" hidden="1">#REF!</definedName>
    <definedName name="——" localSheetId="33" hidden="1">#REF!</definedName>
    <definedName name="——" localSheetId="36" hidden="1">#REF!</definedName>
    <definedName name="——" hidden="1">#REF!</definedName>
    <definedName name="\0" localSheetId="26">#REF!</definedName>
    <definedName name="\0" localSheetId="25">#REF!</definedName>
    <definedName name="\0" localSheetId="35">#REF!</definedName>
    <definedName name="\0" localSheetId="33">#REF!</definedName>
    <definedName name="\0">#REF!</definedName>
    <definedName name="\3">#N/A</definedName>
    <definedName name="\4">#N/A</definedName>
    <definedName name="\c" localSheetId="26">#REF!</definedName>
    <definedName name="\c" localSheetId="25">#REF!</definedName>
    <definedName name="\c" localSheetId="35">#REF!</definedName>
    <definedName name="\c" localSheetId="33">#REF!</definedName>
    <definedName name="\c">#REF!</definedName>
    <definedName name="\d" localSheetId="26">#REF!</definedName>
    <definedName name="\d" localSheetId="25">#REF!</definedName>
    <definedName name="\d" localSheetId="35">#REF!</definedName>
    <definedName name="\d" localSheetId="33">#REF!</definedName>
    <definedName name="\d">#REF!</definedName>
    <definedName name="\e" localSheetId="26">#REF!</definedName>
    <definedName name="\e" localSheetId="25">#REF!</definedName>
    <definedName name="\e" localSheetId="35">#REF!</definedName>
    <definedName name="\e" localSheetId="33">#REF!</definedName>
    <definedName name="\e">#REF!</definedName>
    <definedName name="\f" localSheetId="26">#REF!</definedName>
    <definedName name="\f" localSheetId="25">#REF!</definedName>
    <definedName name="\f" localSheetId="35">#REF!</definedName>
    <definedName name="\f" localSheetId="33">#REF!</definedName>
    <definedName name="\f">#REF!</definedName>
    <definedName name="\g" localSheetId="26">#REF!</definedName>
    <definedName name="\g" localSheetId="25">#REF!</definedName>
    <definedName name="\g" localSheetId="35">#REF!</definedName>
    <definedName name="\g" localSheetId="33">#REF!</definedName>
    <definedName name="\g">#REF!</definedName>
    <definedName name="\h" localSheetId="26">#REF!</definedName>
    <definedName name="\h" localSheetId="25">#REF!</definedName>
    <definedName name="\h" localSheetId="35">#REF!</definedName>
    <definedName name="\h" localSheetId="33">#REF!</definedName>
    <definedName name="\h">#REF!</definedName>
    <definedName name="\i" localSheetId="26">#REF!</definedName>
    <definedName name="\i" localSheetId="25">#REF!</definedName>
    <definedName name="\i" localSheetId="35">#REF!</definedName>
    <definedName name="\i" localSheetId="33">#REF!</definedName>
    <definedName name="\i">#REF!</definedName>
    <definedName name="\j" localSheetId="26">#REF!</definedName>
    <definedName name="\j" localSheetId="25">#REF!</definedName>
    <definedName name="\j" localSheetId="35">#REF!</definedName>
    <definedName name="\j" localSheetId="33">#REF!</definedName>
    <definedName name="\j">#REF!</definedName>
    <definedName name="\k" localSheetId="26">#REF!</definedName>
    <definedName name="\k" localSheetId="25">#REF!</definedName>
    <definedName name="\k" localSheetId="35">#REF!</definedName>
    <definedName name="\k" localSheetId="33">#REF!</definedName>
    <definedName name="\k">#REF!</definedName>
    <definedName name="\l" localSheetId="26">#REF!</definedName>
    <definedName name="\l" localSheetId="25">#REF!</definedName>
    <definedName name="\l" localSheetId="35">#REF!</definedName>
    <definedName name="\l" localSheetId="33">#REF!</definedName>
    <definedName name="\l" localSheetId="36">#REF!</definedName>
    <definedName name="\l">#REF!</definedName>
    <definedName name="\m" localSheetId="26">#REF!</definedName>
    <definedName name="\m" localSheetId="25">#REF!</definedName>
    <definedName name="\m" localSheetId="35">#REF!</definedName>
    <definedName name="\m" localSheetId="33">#REF!</definedName>
    <definedName name="\m">#REF!</definedName>
    <definedName name="\n" localSheetId="26">#REF!</definedName>
    <definedName name="\n" localSheetId="25">#REF!</definedName>
    <definedName name="\n" localSheetId="35">#REF!</definedName>
    <definedName name="\n" localSheetId="33">#REF!</definedName>
    <definedName name="\n">#REF!</definedName>
    <definedName name="\o" localSheetId="26">#REF!</definedName>
    <definedName name="\o" localSheetId="25">#REF!</definedName>
    <definedName name="\o" localSheetId="35">#REF!</definedName>
    <definedName name="\o" localSheetId="33">#REF!</definedName>
    <definedName name="\o">#REF!</definedName>
    <definedName name="\P" localSheetId="26">#REF!</definedName>
    <definedName name="\P" localSheetId="25">#REF!</definedName>
    <definedName name="\P" localSheetId="35">#REF!</definedName>
    <definedName name="\P" localSheetId="33">#REF!</definedName>
    <definedName name="\P" localSheetId="36">#REF!</definedName>
    <definedName name="\P">#REF!</definedName>
    <definedName name="\q">#N/A</definedName>
    <definedName name="\r" localSheetId="26">#REF!</definedName>
    <definedName name="\r" localSheetId="25">#REF!</definedName>
    <definedName name="\r" localSheetId="35">#REF!</definedName>
    <definedName name="\r" localSheetId="33">#REF!</definedName>
    <definedName name="\r">#REF!</definedName>
    <definedName name="\s" localSheetId="26">#REF!</definedName>
    <definedName name="\s" localSheetId="25">#REF!</definedName>
    <definedName name="\s" localSheetId="35">#REF!</definedName>
    <definedName name="\s" localSheetId="33">#REF!</definedName>
    <definedName name="\s">#REF!</definedName>
    <definedName name="\t" localSheetId="26">#REF!</definedName>
    <definedName name="\t" localSheetId="25">#REF!</definedName>
    <definedName name="\t" localSheetId="35">#REF!</definedName>
    <definedName name="\t" localSheetId="33">#REF!</definedName>
    <definedName name="\t" localSheetId="36">#REF!</definedName>
    <definedName name="\t">#REF!</definedName>
    <definedName name="\TB_1" localSheetId="26">#REF!</definedName>
    <definedName name="\TB_1" localSheetId="25">#REF!</definedName>
    <definedName name="\TB_1" localSheetId="35">#REF!</definedName>
    <definedName name="\TB_1" localSheetId="33">#REF!</definedName>
    <definedName name="\TB_1">#REF!</definedName>
    <definedName name="\TB_3" localSheetId="26">#REF!</definedName>
    <definedName name="\TB_3" localSheetId="25">#REF!</definedName>
    <definedName name="\TB_3" localSheetId="35">#REF!</definedName>
    <definedName name="\TB_3" localSheetId="33">#REF!</definedName>
    <definedName name="\TB_3">#REF!</definedName>
    <definedName name="\TB_4" localSheetId="26">#REF!</definedName>
    <definedName name="\TB_4" localSheetId="25">#REF!</definedName>
    <definedName name="\TB_4" localSheetId="35">#REF!</definedName>
    <definedName name="\TB_4" localSheetId="33">#REF!</definedName>
    <definedName name="\TB_4">#REF!</definedName>
    <definedName name="\TB_6" localSheetId="26">#REF!</definedName>
    <definedName name="\TB_6" localSheetId="25">#REF!</definedName>
    <definedName name="\TB_6" localSheetId="35">#REF!</definedName>
    <definedName name="\TB_6" localSheetId="33">#REF!</definedName>
    <definedName name="\TB_6">#REF!</definedName>
    <definedName name="\TB_7" localSheetId="26">#REF!</definedName>
    <definedName name="\TB_7" localSheetId="25">#REF!</definedName>
    <definedName name="\TB_7" localSheetId="35">#REF!</definedName>
    <definedName name="\TB_7" localSheetId="33">#REF!</definedName>
    <definedName name="\TB_7">#REF!</definedName>
    <definedName name="\TB_8" localSheetId="26">#REF!</definedName>
    <definedName name="\TB_8" localSheetId="25">#REF!</definedName>
    <definedName name="\TB_8" localSheetId="35">#REF!</definedName>
    <definedName name="\TB_8" localSheetId="33">#REF!</definedName>
    <definedName name="\TB_8">#REF!</definedName>
    <definedName name="\v" localSheetId="26">#REF!</definedName>
    <definedName name="\v" localSheetId="25">#REF!</definedName>
    <definedName name="\v" localSheetId="35">#REF!</definedName>
    <definedName name="\v" localSheetId="33">#REF!</definedName>
    <definedName name="\v">#REF!</definedName>
    <definedName name="\x" localSheetId="26">#REF!</definedName>
    <definedName name="\x" localSheetId="25">#REF!</definedName>
    <definedName name="\x" localSheetId="35">#REF!</definedName>
    <definedName name="\x" localSheetId="33">#REF!</definedName>
    <definedName name="\x">#REF!</definedName>
    <definedName name="\y" localSheetId="26">#REF!</definedName>
    <definedName name="\y" localSheetId="25">#REF!</definedName>
    <definedName name="\y" localSheetId="35">#REF!</definedName>
    <definedName name="\y" localSheetId="33">#REF!</definedName>
    <definedName name="\y">#REF!</definedName>
    <definedName name="\z" localSheetId="26">#REF!</definedName>
    <definedName name="\z" localSheetId="25">#REF!</definedName>
    <definedName name="\z" localSheetId="35">#REF!</definedName>
    <definedName name="\z" localSheetId="33">#REF!</definedName>
    <definedName name="\z">#REF!</definedName>
    <definedName name="\ㅈㅂ" localSheetId="26">#REF!</definedName>
    <definedName name="\ㅈㅂ" localSheetId="25">#REF!</definedName>
    <definedName name="\ㅈㅂ" localSheetId="35">#REF!</definedName>
    <definedName name="\ㅈㅂ" localSheetId="33">#REF!</definedName>
    <definedName name="\ㅈㅂ">#REF!</definedName>
    <definedName name="_" localSheetId="26">#REF!</definedName>
    <definedName name="_" localSheetId="25">#REF!</definedName>
    <definedName name="_" localSheetId="35">#REF!</definedName>
    <definedName name="_" localSheetId="33">#REF!</definedName>
    <definedName name="_" localSheetId="36">#REF!</definedName>
    <definedName name="_">#REF!</definedName>
    <definedName name="________TBC95" localSheetId="28" hidden="1">{#N/A,#N/A,FALSE,"Co_BalSht";#N/A,#N/A,FALSE,"Co_IncStmt";#N/A,#N/A,FALSE,"Cons_BalSht";#N/A,#N/A,FALSE,"Cons_IncStmt";#N/A,#N/A,FALSE,"Cashflow"}</definedName>
    <definedName name="________TBC95" hidden="1">{#N/A,#N/A,FALSE,"Co_BalSht";#N/A,#N/A,FALSE,"Co_IncStmt";#N/A,#N/A,FALSE,"Cons_BalSht";#N/A,#N/A,FALSE,"Cons_IncStmt";#N/A,#N/A,FALSE,"Cashflow"}</definedName>
    <definedName name="________wrn1" localSheetId="28"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localSheetId="28"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localSheetId="28"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localSheetId="28"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localSheetId="28"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localSheetId="28"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localSheetId="28"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localSheetId="28"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localSheetId="28"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6">#REF!</definedName>
    <definedName name="___ACC1" localSheetId="25">#REF!</definedName>
    <definedName name="___ACC1" localSheetId="35">#REF!</definedName>
    <definedName name="___ACC1" localSheetId="33">#REF!</definedName>
    <definedName name="___ACC1">#REF!</definedName>
    <definedName name="___ADD1" localSheetId="26">#REF!</definedName>
    <definedName name="___ADD1" localSheetId="25">#REF!</definedName>
    <definedName name="___ADD1" localSheetId="35">#REF!</definedName>
    <definedName name="___ADD1" localSheetId="33">#REF!</definedName>
    <definedName name="___ADD1">#REF!</definedName>
    <definedName name="___ADD2" localSheetId="26">#REF!</definedName>
    <definedName name="___ADD2" localSheetId="25">#REF!</definedName>
    <definedName name="___ADD2" localSheetId="35">#REF!</definedName>
    <definedName name="___ADD2" localSheetId="33">#REF!</definedName>
    <definedName name="___ADD2">#REF!</definedName>
    <definedName name="___ADD3" localSheetId="26">#REF!</definedName>
    <definedName name="___ADD3" localSheetId="25">#REF!</definedName>
    <definedName name="___ADD3" localSheetId="35">#REF!</definedName>
    <definedName name="___ADD3" localSheetId="33">#REF!</definedName>
    <definedName name="___ADD3">#REF!</definedName>
    <definedName name="___DAT1" localSheetId="26">#REF!</definedName>
    <definedName name="___DAT1" localSheetId="25">#REF!</definedName>
    <definedName name="___DAT1" localSheetId="35">#REF!</definedName>
    <definedName name="___DAT1" localSheetId="33">#REF!</definedName>
    <definedName name="___DAT1">#REF!</definedName>
    <definedName name="___DAT12" localSheetId="26">#REF!</definedName>
    <definedName name="___DAT12" localSheetId="25">#REF!</definedName>
    <definedName name="___DAT12" localSheetId="35">#REF!</definedName>
    <definedName name="___DAT12" localSheetId="33">#REF!</definedName>
    <definedName name="___DAT12">#REF!</definedName>
    <definedName name="___DAT13" localSheetId="26">#REF!</definedName>
    <definedName name="___DAT13" localSheetId="25">#REF!</definedName>
    <definedName name="___DAT13" localSheetId="35">#REF!</definedName>
    <definedName name="___DAT13" localSheetId="33">#REF!</definedName>
    <definedName name="___DAT13">#REF!</definedName>
    <definedName name="___DAT14" localSheetId="26">#REF!</definedName>
    <definedName name="___DAT14" localSheetId="25">#REF!</definedName>
    <definedName name="___DAT14" localSheetId="35">#REF!</definedName>
    <definedName name="___DAT14" localSheetId="33">#REF!</definedName>
    <definedName name="___DAT14">#REF!</definedName>
    <definedName name="___DAT2" localSheetId="26">#REF!</definedName>
    <definedName name="___DAT2" localSheetId="25">#REF!</definedName>
    <definedName name="___DAT2" localSheetId="35">#REF!</definedName>
    <definedName name="___DAT2" localSheetId="33">#REF!</definedName>
    <definedName name="___DAT2">#REF!</definedName>
    <definedName name="___DAT3" localSheetId="26">#REF!</definedName>
    <definedName name="___DAT3" localSheetId="25">#REF!</definedName>
    <definedName name="___DAT3" localSheetId="35">#REF!</definedName>
    <definedName name="___DAT3" localSheetId="33">#REF!</definedName>
    <definedName name="___DAT3">#REF!</definedName>
    <definedName name="___DAT6" localSheetId="26">#REF!</definedName>
    <definedName name="___DAT6" localSheetId="25">#REF!</definedName>
    <definedName name="___DAT6" localSheetId="35">#REF!</definedName>
    <definedName name="___DAT6" localSheetId="33">#REF!</definedName>
    <definedName name="___DAT6">#REF!</definedName>
    <definedName name="___DAT7" localSheetId="26">#REF!</definedName>
    <definedName name="___DAT7" localSheetId="25">#REF!</definedName>
    <definedName name="___DAT7" localSheetId="35">#REF!</definedName>
    <definedName name="___DAT7" localSheetId="33">#REF!</definedName>
    <definedName name="___DAT7">#REF!</definedName>
    <definedName name="___DAT9" localSheetId="26">#REF!</definedName>
    <definedName name="___DAT9" localSheetId="25">#REF!</definedName>
    <definedName name="___DAT9" localSheetId="35">#REF!</definedName>
    <definedName name="___DAT9" localSheetId="33">#REF!</definedName>
    <definedName name="___DAT9">#REF!</definedName>
    <definedName name="___FS1" localSheetId="26">#REF!</definedName>
    <definedName name="___FS1" localSheetId="25">#REF!</definedName>
    <definedName name="___FS1" localSheetId="35">#REF!</definedName>
    <definedName name="___FS1" localSheetId="33">#REF!</definedName>
    <definedName name="___FS1">#REF!</definedName>
    <definedName name="___IRR1" localSheetId="26">#REF!</definedName>
    <definedName name="___IRR1" localSheetId="25">#REF!</definedName>
    <definedName name="___IRR1" localSheetId="35">#REF!</definedName>
    <definedName name="___IRR1" localSheetId="33">#REF!</definedName>
    <definedName name="___IRR1">#REF!</definedName>
    <definedName name="___IRR2" localSheetId="26">#REF!</definedName>
    <definedName name="___IRR2" localSheetId="25">#REF!</definedName>
    <definedName name="___IRR2" localSheetId="35">#REF!</definedName>
    <definedName name="___IRR2" localSheetId="33">#REF!</definedName>
    <definedName name="___IRR2">#REF!</definedName>
    <definedName name="___IRR3" localSheetId="26">#REF!</definedName>
    <definedName name="___IRR3" localSheetId="25">#REF!</definedName>
    <definedName name="___IRR3" localSheetId="35">#REF!</definedName>
    <definedName name="___IRR3" localSheetId="33">#REF!</definedName>
    <definedName name="___IRR3">#REF!</definedName>
    <definedName name="___IRR4" localSheetId="26">#REF!</definedName>
    <definedName name="___IRR4" localSheetId="25">#REF!</definedName>
    <definedName name="___IRR4" localSheetId="35">#REF!</definedName>
    <definedName name="___IRR4" localSheetId="33">#REF!</definedName>
    <definedName name="___IRR4">#REF!</definedName>
    <definedName name="___IRR5" localSheetId="26">#REF!</definedName>
    <definedName name="___IRR5" localSheetId="25">#REF!</definedName>
    <definedName name="___IRR5" localSheetId="35">#REF!</definedName>
    <definedName name="___IRR5" localSheetId="33">#REF!</definedName>
    <definedName name="___IRR5">#REF!</definedName>
    <definedName name="___IRR6" localSheetId="26">#REF!</definedName>
    <definedName name="___IRR6" localSheetId="25">#REF!</definedName>
    <definedName name="___IRR6" localSheetId="35">#REF!</definedName>
    <definedName name="___IRR6" localSheetId="33">#REF!</definedName>
    <definedName name="___IRR6">#REF!</definedName>
    <definedName name="___Mei97" localSheetId="26">#REF!</definedName>
    <definedName name="___Mei97" localSheetId="25">#REF!</definedName>
    <definedName name="___Mei97" localSheetId="35">#REF!</definedName>
    <definedName name="___Mei97" localSheetId="33">#REF!</definedName>
    <definedName name="___Mei97">#REF!</definedName>
    <definedName name="___NO1" localSheetId="26">#REF!</definedName>
    <definedName name="___NO1" localSheetId="25">#REF!</definedName>
    <definedName name="___NO1" localSheetId="35">#REF!</definedName>
    <definedName name="___NO1" localSheetId="33">#REF!</definedName>
    <definedName name="___NO1">#REF!</definedName>
    <definedName name="___NO2" localSheetId="26">#REF!</definedName>
    <definedName name="___NO2" localSheetId="25">#REF!</definedName>
    <definedName name="___NO2" localSheetId="35">#REF!</definedName>
    <definedName name="___NO2" localSheetId="33">#REF!</definedName>
    <definedName name="___NO2">#REF!</definedName>
    <definedName name="___NO3" localSheetId="26">#REF!</definedName>
    <definedName name="___NO3" localSheetId="25">#REF!</definedName>
    <definedName name="___NO3" localSheetId="35">#REF!</definedName>
    <definedName name="___NO3" localSheetId="33">#REF!</definedName>
    <definedName name="___NO3">#REF!</definedName>
    <definedName name="___NO4" localSheetId="26">#REF!</definedName>
    <definedName name="___NO4" localSheetId="25">#REF!</definedName>
    <definedName name="___NO4" localSheetId="35">#REF!</definedName>
    <definedName name="___NO4" localSheetId="33">#REF!</definedName>
    <definedName name="___NO4">#REF!</definedName>
    <definedName name="___NO5" localSheetId="26">#REF!</definedName>
    <definedName name="___NO5" localSheetId="25">#REF!</definedName>
    <definedName name="___NO5" localSheetId="35">#REF!</definedName>
    <definedName name="___NO5" localSheetId="33">#REF!</definedName>
    <definedName name="___NO5">#REF!</definedName>
    <definedName name="___NO6" localSheetId="26">#REF!</definedName>
    <definedName name="___NO6" localSheetId="25">#REF!</definedName>
    <definedName name="___NO6" localSheetId="35">#REF!</definedName>
    <definedName name="___NO6" localSheetId="33">#REF!</definedName>
    <definedName name="___NO6">#REF!</definedName>
    <definedName name="___NO7" localSheetId="26">#REF!</definedName>
    <definedName name="___NO7" localSheetId="25">#REF!</definedName>
    <definedName name="___NO7" localSheetId="35">#REF!</definedName>
    <definedName name="___NO7" localSheetId="33">#REF!</definedName>
    <definedName name="___NO7">#REF!</definedName>
    <definedName name="___tb2" localSheetId="26">#REF!</definedName>
    <definedName name="___tb2" localSheetId="25">#REF!</definedName>
    <definedName name="___tb2" localSheetId="35">#REF!</definedName>
    <definedName name="___tb2" localSheetId="33">#REF!</definedName>
    <definedName name="___tb2">#REF!</definedName>
    <definedName name="___TBC95" localSheetId="28" hidden="1">{#N/A,#N/A,FALSE,"Co_BalSht";#N/A,#N/A,FALSE,"Co_IncStmt";#N/A,#N/A,FALSE,"Cons_BalSht";#N/A,#N/A,FALSE,"Cons_IncStmt";#N/A,#N/A,FALSE,"Cashflow"}</definedName>
    <definedName name="___TBC95" hidden="1">{#N/A,#N/A,FALSE,"Co_BalSht";#N/A,#N/A,FALSE,"Co_IncStmt";#N/A,#N/A,FALSE,"Cons_BalSht";#N/A,#N/A,FALSE,"Cons_IncStmt";#N/A,#N/A,FALSE,"Cashflow"}</definedName>
    <definedName name="___wrn1" localSheetId="28"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6" hidden="1">#REF!</definedName>
    <definedName name="__123Graph_B" localSheetId="25" hidden="1">#REF!</definedName>
    <definedName name="__123Graph_B" localSheetId="35" hidden="1">#REF!</definedName>
    <definedName name="__123Graph_B" localSheetId="33" hidden="1">#REF!</definedName>
    <definedName name="__123Graph_B" localSheetId="36" hidden="1">#REF!</definedName>
    <definedName name="__123Graph_B" hidden="1">#REF!</definedName>
    <definedName name="__123Graph_C" localSheetId="26" hidden="1">#REF!</definedName>
    <definedName name="__123Graph_C" localSheetId="25" hidden="1">#REF!</definedName>
    <definedName name="__123Graph_C" localSheetId="35" hidden="1">#REF!</definedName>
    <definedName name="__123Graph_C" localSheetId="33" hidden="1">#REF!</definedName>
    <definedName name="__123Graph_C" localSheetId="36" hidden="1">#REF!</definedName>
    <definedName name="__123Graph_C" hidden="1">#REF!</definedName>
    <definedName name="__123Graph_D" localSheetId="26" hidden="1">#REF!</definedName>
    <definedName name="__123Graph_D" localSheetId="25" hidden="1">#REF!</definedName>
    <definedName name="__123Graph_D" localSheetId="35" hidden="1">#REF!</definedName>
    <definedName name="__123Graph_D" localSheetId="33" hidden="1">#REF!</definedName>
    <definedName name="__123Graph_D" localSheetId="36" hidden="1">#REF!</definedName>
    <definedName name="__123Graph_D" hidden="1">#REF!</definedName>
    <definedName name="__123Graph_LBL_A" localSheetId="26" hidden="1">#REF!</definedName>
    <definedName name="__123Graph_LBL_A" localSheetId="25" hidden="1">#REF!</definedName>
    <definedName name="__123Graph_LBL_A" localSheetId="35" hidden="1">#REF!</definedName>
    <definedName name="__123Graph_LBL_A" localSheetId="33" hidden="1">#REF!</definedName>
    <definedName name="__123Graph_LBL_A" localSheetId="36" hidden="1">#REF!</definedName>
    <definedName name="__123Graph_LBL_A" hidden="1">#REF!</definedName>
    <definedName name="__123Graph_LBL_C" localSheetId="26" hidden="1">#REF!</definedName>
    <definedName name="__123Graph_LBL_C" localSheetId="25" hidden="1">#REF!</definedName>
    <definedName name="__123Graph_LBL_C" localSheetId="35" hidden="1">#REF!</definedName>
    <definedName name="__123Graph_LBL_C" localSheetId="33" hidden="1">#REF!</definedName>
    <definedName name="__123Graph_LBL_C" localSheetId="36" hidden="1">#REF!</definedName>
    <definedName name="__123Graph_LBL_C" hidden="1">#REF!</definedName>
    <definedName name="__1FS1_" localSheetId="26">#REF!</definedName>
    <definedName name="__1FS1_" localSheetId="25">#REF!</definedName>
    <definedName name="__1FS1_" localSheetId="35">#REF!</definedName>
    <definedName name="__1FS1_" localSheetId="33">#REF!</definedName>
    <definedName name="__1FS1_">#REF!</definedName>
    <definedName name="__A70000" localSheetId="26">#REF!</definedName>
    <definedName name="__A70000" localSheetId="25">#REF!</definedName>
    <definedName name="__A70000" localSheetId="35">#REF!</definedName>
    <definedName name="__A70000" localSheetId="33">#REF!</definedName>
    <definedName name="__A70000">#REF!</definedName>
    <definedName name="__ACC1" localSheetId="26">#REF!</definedName>
    <definedName name="__ACC1" localSheetId="25">#REF!</definedName>
    <definedName name="__ACC1" localSheetId="35">#REF!</definedName>
    <definedName name="__ACC1" localSheetId="33">#REF!</definedName>
    <definedName name="__ACC1">#REF!</definedName>
    <definedName name="__ADD1" localSheetId="26">#REF!</definedName>
    <definedName name="__ADD1" localSheetId="25">#REF!</definedName>
    <definedName name="__ADD1" localSheetId="35">#REF!</definedName>
    <definedName name="__ADD1" localSheetId="33">#REF!</definedName>
    <definedName name="__ADD1">#REF!</definedName>
    <definedName name="__ADD2" localSheetId="26">#REF!</definedName>
    <definedName name="__ADD2" localSheetId="25">#REF!</definedName>
    <definedName name="__ADD2" localSheetId="35">#REF!</definedName>
    <definedName name="__ADD2" localSheetId="33">#REF!</definedName>
    <definedName name="__ADD2">#REF!</definedName>
    <definedName name="__ADD3" localSheetId="26">#REF!</definedName>
    <definedName name="__ADD3" localSheetId="25">#REF!</definedName>
    <definedName name="__ADD3" localSheetId="35">#REF!</definedName>
    <definedName name="__ADD3" localSheetId="33">#REF!</definedName>
    <definedName name="__ADD3">#REF!</definedName>
    <definedName name="__Aug08" localSheetId="26">#REF!</definedName>
    <definedName name="__Aug08" localSheetId="25">#REF!</definedName>
    <definedName name="__Aug08" localSheetId="35">#REF!</definedName>
    <definedName name="__Aug08" localSheetId="33">#REF!</definedName>
    <definedName name="__Aug08">#REF!</definedName>
    <definedName name="__DAT1" localSheetId="26">#REF!</definedName>
    <definedName name="__DAT1" localSheetId="25">#REF!</definedName>
    <definedName name="__DAT1" localSheetId="35">#REF!</definedName>
    <definedName name="__DAT1" localSheetId="33">#REF!</definedName>
    <definedName name="__DAT1">#REF!</definedName>
    <definedName name="__DAT10" localSheetId="26">#REF!</definedName>
    <definedName name="__DAT10" localSheetId="25">#REF!</definedName>
    <definedName name="__DAT10" localSheetId="35">#REF!</definedName>
    <definedName name="__DAT10" localSheetId="33">#REF!</definedName>
    <definedName name="__DAT10">#REF!</definedName>
    <definedName name="__DAT11" localSheetId="26">#REF!</definedName>
    <definedName name="__DAT11" localSheetId="25">#REF!</definedName>
    <definedName name="__DAT11" localSheetId="35">#REF!</definedName>
    <definedName name="__DAT11" localSheetId="33">#REF!</definedName>
    <definedName name="__DAT11">#REF!</definedName>
    <definedName name="__DAT12" localSheetId="26">#REF!</definedName>
    <definedName name="__DAT12" localSheetId="25">#REF!</definedName>
    <definedName name="__DAT12" localSheetId="35">#REF!</definedName>
    <definedName name="__DAT12" localSheetId="33">#REF!</definedName>
    <definedName name="__DAT12">#REF!</definedName>
    <definedName name="__DAT13" localSheetId="26">#REF!</definedName>
    <definedName name="__DAT13" localSheetId="25">#REF!</definedName>
    <definedName name="__DAT13" localSheetId="35">#REF!</definedName>
    <definedName name="__DAT13" localSheetId="33">#REF!</definedName>
    <definedName name="__DAT13">#REF!</definedName>
    <definedName name="__DAT14" localSheetId="26">#REF!</definedName>
    <definedName name="__DAT14" localSheetId="25">#REF!</definedName>
    <definedName name="__DAT14" localSheetId="35">#REF!</definedName>
    <definedName name="__DAT14" localSheetId="33">#REF!</definedName>
    <definedName name="__DAT14">#REF!</definedName>
    <definedName name="__DAT16" localSheetId="26">#REF!</definedName>
    <definedName name="__DAT16" localSheetId="25">#REF!</definedName>
    <definedName name="__DAT16" localSheetId="35">#REF!</definedName>
    <definedName name="__DAT16" localSheetId="33">#REF!</definedName>
    <definedName name="__DAT16">#REF!</definedName>
    <definedName name="__DAT2" localSheetId="26">#REF!</definedName>
    <definedName name="__DAT2" localSheetId="25">#REF!</definedName>
    <definedName name="__DAT2" localSheetId="35">#REF!</definedName>
    <definedName name="__DAT2" localSheetId="33">#REF!</definedName>
    <definedName name="__DAT2">#REF!</definedName>
    <definedName name="__DAT3" localSheetId="26">#REF!</definedName>
    <definedName name="__DAT3" localSheetId="25">#REF!</definedName>
    <definedName name="__DAT3" localSheetId="35">#REF!</definedName>
    <definedName name="__DAT3" localSheetId="33">#REF!</definedName>
    <definedName name="__DAT3">#REF!</definedName>
    <definedName name="__DAT5" localSheetId="26">#REF!</definedName>
    <definedName name="__DAT5" localSheetId="25">#REF!</definedName>
    <definedName name="__DAT5" localSheetId="35">#REF!</definedName>
    <definedName name="__DAT5" localSheetId="33">#REF!</definedName>
    <definedName name="__DAT5">#REF!</definedName>
    <definedName name="__DAT6" localSheetId="26">#REF!</definedName>
    <definedName name="__DAT6" localSheetId="25">#REF!</definedName>
    <definedName name="__DAT6" localSheetId="35">#REF!</definedName>
    <definedName name="__DAT6" localSheetId="33">#REF!</definedName>
    <definedName name="__DAT6">#REF!</definedName>
    <definedName name="__DAT7" localSheetId="26">#REF!</definedName>
    <definedName name="__DAT7" localSheetId="25">#REF!</definedName>
    <definedName name="__DAT7" localSheetId="35">#REF!</definedName>
    <definedName name="__DAT7" localSheetId="33">#REF!</definedName>
    <definedName name="__DAT7">#REF!</definedName>
    <definedName name="__DAT9" localSheetId="26">#REF!</definedName>
    <definedName name="__DAT9" localSheetId="25">#REF!</definedName>
    <definedName name="__DAT9" localSheetId="35">#REF!</definedName>
    <definedName name="__DAT9" localSheetId="33">#REF!</definedName>
    <definedName name="__DAT9">#REF!</definedName>
    <definedName name="__E100000" localSheetId="26">#REF!</definedName>
    <definedName name="__E100000" localSheetId="25">#REF!</definedName>
    <definedName name="__E100000" localSheetId="35">#REF!</definedName>
    <definedName name="__E100000" localSheetId="33">#REF!</definedName>
    <definedName name="__E100000">#REF!</definedName>
    <definedName name="__FDS_HYPERLINK_TOGGLE_STATE__" hidden="1">"ON"</definedName>
    <definedName name="__FDS_UNIQUE_RANGE_ID_GENERATOR_COUNTER" hidden="1">1</definedName>
    <definedName name="__FDS_USED_FOR_REUSING_RANGE_IDS_RECYCLE" localSheetId="28" hidden="1">{78,65,88,63}</definedName>
    <definedName name="__FDS_USED_FOR_REUSING_RANGE_IDS_RECYCLE" hidden="1">{78,65,88,63}</definedName>
    <definedName name="__FS1" localSheetId="26">#REF!</definedName>
    <definedName name="__FS1" localSheetId="25">#REF!</definedName>
    <definedName name="__FS1" localSheetId="35">#REF!</definedName>
    <definedName name="__FS1" localSheetId="33">#REF!</definedName>
    <definedName name="__FS1">#REF!</definedName>
    <definedName name="__IntlFixup" hidden="1">TRUE</definedName>
    <definedName name="__KE8" localSheetId="26" hidden="1">#REF!</definedName>
    <definedName name="__KE8" localSheetId="25" hidden="1">#REF!</definedName>
    <definedName name="__KE8" localSheetId="35" hidden="1">#REF!</definedName>
    <definedName name="__KE8" localSheetId="33" hidden="1">#REF!</definedName>
    <definedName name="__KE8" localSheetId="36" hidden="1">#REF!</definedName>
    <definedName name="__KE8" hidden="1">#REF!</definedName>
    <definedName name="__key11" localSheetId="26" hidden="1">#REF!</definedName>
    <definedName name="__key11" localSheetId="25" hidden="1">#REF!</definedName>
    <definedName name="__key11" localSheetId="35" hidden="1">#REF!</definedName>
    <definedName name="__key11" localSheetId="33" hidden="1">#REF!</definedName>
    <definedName name="__key11" localSheetId="36" hidden="1">#REF!</definedName>
    <definedName name="__key11" hidden="1">#REF!</definedName>
    <definedName name="__key12" localSheetId="26" hidden="1">#REF!</definedName>
    <definedName name="__key12" localSheetId="25" hidden="1">#REF!</definedName>
    <definedName name="__key12" localSheetId="35" hidden="1">#REF!</definedName>
    <definedName name="__key12" localSheetId="33" hidden="1">#REF!</definedName>
    <definedName name="__key12" localSheetId="36" hidden="1">#REF!</definedName>
    <definedName name="__key12" hidden="1">#REF!</definedName>
    <definedName name="__KEY123" localSheetId="26" hidden="1">#REF!</definedName>
    <definedName name="__KEY123" localSheetId="25" hidden="1">#REF!</definedName>
    <definedName name="__KEY123" localSheetId="35" hidden="1">#REF!</definedName>
    <definedName name="__KEY123" localSheetId="33" hidden="1">#REF!</definedName>
    <definedName name="__KEY123" localSheetId="36" hidden="1">#REF!</definedName>
    <definedName name="__KEY123" hidden="1">#REF!</definedName>
    <definedName name="__key2" localSheetId="26" hidden="1">#REF!</definedName>
    <definedName name="__key2" localSheetId="25" hidden="1">#REF!</definedName>
    <definedName name="__key2" localSheetId="35" hidden="1">#REF!</definedName>
    <definedName name="__key2" localSheetId="33" hidden="1">#REF!</definedName>
    <definedName name="__key2" localSheetId="36" hidden="1">#REF!</definedName>
    <definedName name="__key2" hidden="1">#REF!</definedName>
    <definedName name="__KEY3" localSheetId="26" hidden="1">#REF!</definedName>
    <definedName name="__KEY3" localSheetId="25" hidden="1">#REF!</definedName>
    <definedName name="__KEY3" localSheetId="35" hidden="1">#REF!</definedName>
    <definedName name="__KEY3" localSheetId="33" hidden="1">#REF!</definedName>
    <definedName name="__KEY3" localSheetId="36" hidden="1">#REF!</definedName>
    <definedName name="__KEY3" hidden="1">#REF!</definedName>
    <definedName name="__KEY4" localSheetId="26" hidden="1">#REF!</definedName>
    <definedName name="__KEY4" localSheetId="25" hidden="1">#REF!</definedName>
    <definedName name="__KEY4" localSheetId="35" hidden="1">#REF!</definedName>
    <definedName name="__KEY4" localSheetId="33" hidden="1">#REF!</definedName>
    <definedName name="__KEY4" localSheetId="36" hidden="1">#REF!</definedName>
    <definedName name="__KEY4" hidden="1">#REF!</definedName>
    <definedName name="__KEY5" localSheetId="26" hidden="1">#REF!</definedName>
    <definedName name="__KEY5" localSheetId="25" hidden="1">#REF!</definedName>
    <definedName name="__KEY5" localSheetId="35" hidden="1">#REF!</definedName>
    <definedName name="__KEY5" localSheetId="33" hidden="1">#REF!</definedName>
    <definedName name="__KEY5" localSheetId="36" hidden="1">#REF!</definedName>
    <definedName name="__KEY5" hidden="1">#REF!</definedName>
    <definedName name="__KEY6" localSheetId="26" hidden="1">#REF!</definedName>
    <definedName name="__KEY6" localSheetId="25" hidden="1">#REF!</definedName>
    <definedName name="__KEY6" localSheetId="35" hidden="1">#REF!</definedName>
    <definedName name="__KEY6" localSheetId="33" hidden="1">#REF!</definedName>
    <definedName name="__KEY6" localSheetId="36" hidden="1">#REF!</definedName>
    <definedName name="__KEY6" hidden="1">#REF!</definedName>
    <definedName name="__KEY7" localSheetId="26" hidden="1">#REF!</definedName>
    <definedName name="__KEY7" localSheetId="25" hidden="1">#REF!</definedName>
    <definedName name="__KEY7" localSheetId="35" hidden="1">#REF!</definedName>
    <definedName name="__KEY7" localSheetId="33" hidden="1">#REF!</definedName>
    <definedName name="__KEY7" localSheetId="36" hidden="1">#REF!</definedName>
    <definedName name="__KEY7" hidden="1">#REF!</definedName>
    <definedName name="__key8" localSheetId="26" hidden="1">#REF!</definedName>
    <definedName name="__key8" localSheetId="25" hidden="1">#REF!</definedName>
    <definedName name="__key8" localSheetId="35" hidden="1">#REF!</definedName>
    <definedName name="__key8" localSheetId="33" hidden="1">#REF!</definedName>
    <definedName name="__key8" localSheetId="36" hidden="1">#REF!</definedName>
    <definedName name="__key8" hidden="1">#REF!</definedName>
    <definedName name="__KEY90" localSheetId="26" hidden="1">#REF!</definedName>
    <definedName name="__KEY90" localSheetId="25" hidden="1">#REF!</definedName>
    <definedName name="__KEY90" localSheetId="35" hidden="1">#REF!</definedName>
    <definedName name="__KEY90" localSheetId="33" hidden="1">#REF!</definedName>
    <definedName name="__KEY90" localSheetId="36" hidden="1">#REF!</definedName>
    <definedName name="__KEY90" hidden="1">#REF!</definedName>
    <definedName name="__Mei97" localSheetId="26">#REF!</definedName>
    <definedName name="__Mei97" localSheetId="25">#REF!</definedName>
    <definedName name="__Mei97" localSheetId="35">#REF!</definedName>
    <definedName name="__Mei97" localSheetId="33">#REF!</definedName>
    <definedName name="__Mei97">#REF!</definedName>
    <definedName name="__NO1" localSheetId="26">#REF!</definedName>
    <definedName name="__NO1" localSheetId="25">#REF!</definedName>
    <definedName name="__NO1" localSheetId="35">#REF!</definedName>
    <definedName name="__NO1" localSheetId="33">#REF!</definedName>
    <definedName name="__NO1">#REF!</definedName>
    <definedName name="__NO2" localSheetId="26">#REF!</definedName>
    <definedName name="__NO2" localSheetId="25">#REF!</definedName>
    <definedName name="__NO2" localSheetId="35">#REF!</definedName>
    <definedName name="__NO2" localSheetId="33">#REF!</definedName>
    <definedName name="__NO2">#REF!</definedName>
    <definedName name="__NO3" localSheetId="26">#REF!</definedName>
    <definedName name="__NO3" localSheetId="25">#REF!</definedName>
    <definedName name="__NO3" localSheetId="35">#REF!</definedName>
    <definedName name="__NO3" localSheetId="33">#REF!</definedName>
    <definedName name="__NO3">#REF!</definedName>
    <definedName name="__NO4" localSheetId="26">#REF!</definedName>
    <definedName name="__NO4" localSheetId="25">#REF!</definedName>
    <definedName name="__NO4" localSheetId="35">#REF!</definedName>
    <definedName name="__NO4" localSheetId="33">#REF!</definedName>
    <definedName name="__NO4">#REF!</definedName>
    <definedName name="__NO5" localSheetId="26">#REF!</definedName>
    <definedName name="__NO5" localSheetId="25">#REF!</definedName>
    <definedName name="__NO5" localSheetId="35">#REF!</definedName>
    <definedName name="__NO5" localSheetId="33">#REF!</definedName>
    <definedName name="__NO5">#REF!</definedName>
    <definedName name="__NO6" localSheetId="26">#REF!</definedName>
    <definedName name="__NO6" localSheetId="25">#REF!</definedName>
    <definedName name="__NO6" localSheetId="35">#REF!</definedName>
    <definedName name="__NO6" localSheetId="33">#REF!</definedName>
    <definedName name="__NO6">#REF!</definedName>
    <definedName name="__NO7" localSheetId="26">#REF!</definedName>
    <definedName name="__NO7" localSheetId="25">#REF!</definedName>
    <definedName name="__NO7" localSheetId="35">#REF!</definedName>
    <definedName name="__NO7" localSheetId="33">#REF!</definedName>
    <definedName name="__NO7">#REF!</definedName>
    <definedName name="__PRN10">#N/A</definedName>
    <definedName name="__PRN3">#N/A</definedName>
    <definedName name="__PRN4">#N/A</definedName>
    <definedName name="__RAN1">#N/A</definedName>
    <definedName name="__tb2" localSheetId="26">#REF!</definedName>
    <definedName name="__tb2" localSheetId="25">#REF!</definedName>
    <definedName name="__tb2" localSheetId="35">#REF!</definedName>
    <definedName name="__tb2" localSheetId="33">#REF!</definedName>
    <definedName name="__tb2">#REF!</definedName>
    <definedName name="_05年" localSheetId="26">#REF!</definedName>
    <definedName name="_05年" localSheetId="25">#REF!</definedName>
    <definedName name="_05年" localSheetId="35">#REF!</definedName>
    <definedName name="_05年" localSheetId="33">#REF!</definedName>
    <definedName name="_05年" localSheetId="36">#REF!</definedName>
    <definedName name="_05年">#REF!</definedName>
    <definedName name="_06年" localSheetId="26">#REF!</definedName>
    <definedName name="_06年" localSheetId="25">#REF!</definedName>
    <definedName name="_06年" localSheetId="35">#REF!</definedName>
    <definedName name="_06年" localSheetId="33">#REF!</definedName>
    <definedName name="_06年" localSheetId="36">#REF!</definedName>
    <definedName name="_06年">#REF!</definedName>
    <definedName name="_07年" localSheetId="26">#REF!</definedName>
    <definedName name="_07年" localSheetId="25">#REF!</definedName>
    <definedName name="_07年" localSheetId="35">#REF!</definedName>
    <definedName name="_07年" localSheetId="33">#REF!</definedName>
    <definedName name="_07年" localSheetId="36">#REF!</definedName>
    <definedName name="_07年">#REF!</definedName>
    <definedName name="_1" localSheetId="26" hidden="1">#REF!</definedName>
    <definedName name="_1" localSheetId="25" hidden="1">#REF!</definedName>
    <definedName name="_1" localSheetId="35" hidden="1">#REF!</definedName>
    <definedName name="_1" localSheetId="33" hidden="1">#REF!</definedName>
    <definedName name="_1" hidden="1">#REF!</definedName>
    <definedName name="_10_F">#N/A</definedName>
    <definedName name="_11" localSheetId="26">#REF!</definedName>
    <definedName name="_11" localSheetId="25">#REF!</definedName>
    <definedName name="_11" localSheetId="35">#REF!</definedName>
    <definedName name="_11" localSheetId="33">#REF!</definedName>
    <definedName name="_11">#REF!</definedName>
    <definedName name="_11_15_F">#N/A</definedName>
    <definedName name="_125G2001_" localSheetId="28" hidden="1">{#N/A,#N/A,FALSE,"COVER";#N/A,#N/A,FALSE,"0";#N/A,#N/A,FALSE,"1";#N/A,#N/A,FALSE,"2";#N/A,#N/A,FALSE,"3";#N/A,#N/A,FALSE,"4";#N/A,#N/A,FALSE,"5";#N/A,#N/A,FALSE,"6";#N/A,#N/A,FALSE,"7";#N/A,#N/A,FALSE,"8";#N/A,#N/A,FALSE,"9";#N/A,#N/A,FALSE,"10";#N/A,#N/A,FALSE,"11"}</definedName>
    <definedName name="_125G2001_" hidden="1">{#N/A,#N/A,FALSE,"COVER";#N/A,#N/A,FALSE,"0";#N/A,#N/A,FALSE,"1";#N/A,#N/A,FALSE,"2";#N/A,#N/A,FALSE,"3";#N/A,#N/A,FALSE,"4";#N/A,#N/A,FALSE,"5";#N/A,#N/A,FALSE,"6";#N/A,#N/A,FALSE,"7";#N/A,#N/A,FALSE,"8";#N/A,#N/A,FALSE,"9";#N/A,#N/A,FALSE,"10";#N/A,#N/A,FALSE,"11"}</definedName>
    <definedName name="_132__123Graph_ACHART_2" localSheetId="26" hidden="1">#REF!</definedName>
    <definedName name="_132__123Graph_ACHART_2" localSheetId="25" hidden="1">#REF!</definedName>
    <definedName name="_132__123Graph_ACHART_2" localSheetId="35" hidden="1">#REF!</definedName>
    <definedName name="_132__123Graph_ACHART_2" localSheetId="33" hidden="1">#REF!</definedName>
    <definedName name="_132__123Graph_ACHART_2" hidden="1">#REF!</definedName>
    <definedName name="_16_F">#N/A</definedName>
    <definedName name="_165__123Graph_LBL_ACHART_1" localSheetId="26" hidden="1">#REF!</definedName>
    <definedName name="_165__123Graph_LBL_ACHART_1" localSheetId="25" hidden="1">#REF!</definedName>
    <definedName name="_165__123Graph_LBL_ACHART_1" localSheetId="35" hidden="1">#REF!</definedName>
    <definedName name="_165__123Graph_LBL_ACHART_1" localSheetId="33" hidden="1">#REF!</definedName>
    <definedName name="_165__123Graph_LBL_ACHART_1" hidden="1">#REF!</definedName>
    <definedName name="_17_F">#N/A</definedName>
    <definedName name="_18_F">#N/A</definedName>
    <definedName name="_181" localSheetId="26">#REF!</definedName>
    <definedName name="_181" localSheetId="25">#REF!</definedName>
    <definedName name="_181" localSheetId="35">#REF!</definedName>
    <definedName name="_181" localSheetId="33">#REF!</definedName>
    <definedName name="_181" localSheetId="36">#REF!</definedName>
    <definedName name="_181">#REF!</definedName>
    <definedName name="_19_F">#N/A</definedName>
    <definedName name="_198__123Graph_LBL_ACHART_2" localSheetId="26" hidden="1">#REF!</definedName>
    <definedName name="_198__123Graph_LBL_ACHART_2" localSheetId="25" hidden="1">#REF!</definedName>
    <definedName name="_198__123Graph_LBL_ACHART_2" localSheetId="35" hidden="1">#REF!</definedName>
    <definedName name="_198__123Graph_LBL_ACHART_2" localSheetId="33" hidden="1">#REF!</definedName>
    <definedName name="_198__123Graph_LBL_ACHART_2" hidden="1">#REF!</definedName>
    <definedName name="_1FS1_" localSheetId="26">#REF!</definedName>
    <definedName name="_1FS1_" localSheetId="25">#REF!</definedName>
    <definedName name="_1FS1_" localSheetId="35">#REF!</definedName>
    <definedName name="_1FS1_" localSheetId="33">#REF!</definedName>
    <definedName name="_1FS1_">#REF!</definedName>
    <definedName name="_2" localSheetId="26">#REF!</definedName>
    <definedName name="_2" localSheetId="25">#REF!</definedName>
    <definedName name="_2" localSheetId="35">#REF!</definedName>
    <definedName name="_2" localSheetId="33">#REF!</definedName>
    <definedName name="_2">#REF!</definedName>
    <definedName name="_20_F">#N/A</definedName>
    <definedName name="_21_F">#N/A</definedName>
    <definedName name="_22_F">#N/A</definedName>
    <definedName name="_23_F">#N/A</definedName>
    <definedName name="_231__123Graph_XCHART_1" localSheetId="26" hidden="1">#REF!</definedName>
    <definedName name="_231__123Graph_XCHART_1" localSheetId="25" hidden="1">#REF!</definedName>
    <definedName name="_231__123Graph_XCHART_1" localSheetId="35" hidden="1">#REF!</definedName>
    <definedName name="_231__123Graph_XCHART_1" localSheetId="33" hidden="1">#REF!</definedName>
    <definedName name="_231__123Graph_XCHART_1" hidden="1">#REF!</definedName>
    <definedName name="_24_25_F">#N/A</definedName>
    <definedName name="_264__123Graph_XCHART_2" localSheetId="26" hidden="1">#REF!</definedName>
    <definedName name="_264__123Graph_XCHART_2" localSheetId="25" hidden="1">#REF!</definedName>
    <definedName name="_264__123Graph_XCHART_2" localSheetId="35" hidden="1">#REF!</definedName>
    <definedName name="_264__123Graph_XCHART_2" localSheetId="33" hidden="1">#REF!</definedName>
    <definedName name="_264__123Graph_XCHART_2" hidden="1">#REF!</definedName>
    <definedName name="_2Z1_" localSheetId="28" hidden="1">{#N/A,#N/A,FALSE,"431"}</definedName>
    <definedName name="_2Z1_" hidden="1">{#N/A,#N/A,FALSE,"431"}</definedName>
    <definedName name="_3item" localSheetId="26">#REF!</definedName>
    <definedName name="_3item" localSheetId="25">#REF!</definedName>
    <definedName name="_3item" localSheetId="35">#REF!</definedName>
    <definedName name="_3item" localSheetId="33">#REF!</definedName>
    <definedName name="_3item">#REF!</definedName>
    <definedName name="_5item" localSheetId="26">#REF!</definedName>
    <definedName name="_5item" localSheetId="25">#REF!</definedName>
    <definedName name="_5item" localSheetId="35">#REF!</definedName>
    <definedName name="_5item" localSheetId="33">#REF!</definedName>
    <definedName name="_5item">#REF!</definedName>
    <definedName name="_9_F">#N/A</definedName>
    <definedName name="_94FAS01" localSheetId="26">#REF!</definedName>
    <definedName name="_94FAS01" localSheetId="25">#REF!</definedName>
    <definedName name="_94FAS01" localSheetId="35">#REF!</definedName>
    <definedName name="_94FAS01" localSheetId="33">#REF!</definedName>
    <definedName name="_94FAS01">#REF!</definedName>
    <definedName name="_94FAS02" localSheetId="26">#REF!</definedName>
    <definedName name="_94FAS02" localSheetId="25">#REF!</definedName>
    <definedName name="_94FAS02" localSheetId="35">#REF!</definedName>
    <definedName name="_94FAS02" localSheetId="33">#REF!</definedName>
    <definedName name="_94FAS02">#REF!</definedName>
    <definedName name="_94FAS03" localSheetId="26">#REF!</definedName>
    <definedName name="_94FAS03" localSheetId="25">#REF!</definedName>
    <definedName name="_94FAS03" localSheetId="35">#REF!</definedName>
    <definedName name="_94FAS03" localSheetId="33">#REF!</definedName>
    <definedName name="_94FAS03">#REF!</definedName>
    <definedName name="_94FAS04" localSheetId="26">#REF!</definedName>
    <definedName name="_94FAS04" localSheetId="25">#REF!</definedName>
    <definedName name="_94FAS04" localSheetId="35">#REF!</definedName>
    <definedName name="_94FAS04" localSheetId="33">#REF!</definedName>
    <definedName name="_94FAS04">#REF!</definedName>
    <definedName name="_94FAS05" localSheetId="26">#REF!</definedName>
    <definedName name="_94FAS05" localSheetId="25">#REF!</definedName>
    <definedName name="_94FAS05" localSheetId="35">#REF!</definedName>
    <definedName name="_94FAS05" localSheetId="33">#REF!</definedName>
    <definedName name="_94FAS05">#REF!</definedName>
    <definedName name="_94PRT01" localSheetId="26">#REF!</definedName>
    <definedName name="_94PRT01" localSheetId="25">#REF!</definedName>
    <definedName name="_94PRT01" localSheetId="35">#REF!</definedName>
    <definedName name="_94PRT01" localSheetId="33">#REF!</definedName>
    <definedName name="_94PRT01">#REF!</definedName>
    <definedName name="_94PRT02" localSheetId="26">#REF!</definedName>
    <definedName name="_94PRT02" localSheetId="25">#REF!</definedName>
    <definedName name="_94PRT02" localSheetId="35">#REF!</definedName>
    <definedName name="_94PRT02" localSheetId="33">#REF!</definedName>
    <definedName name="_94PRT02">#REF!</definedName>
    <definedName name="_94PRT03" localSheetId="26">#REF!</definedName>
    <definedName name="_94PRT03" localSheetId="25">#REF!</definedName>
    <definedName name="_94PRT03" localSheetId="35">#REF!</definedName>
    <definedName name="_94PRT03" localSheetId="33">#REF!</definedName>
    <definedName name="_94PRT03">#REF!</definedName>
    <definedName name="_94PRT04" localSheetId="26">#REF!</definedName>
    <definedName name="_94PRT04" localSheetId="25">#REF!</definedName>
    <definedName name="_94PRT04" localSheetId="35">#REF!</definedName>
    <definedName name="_94PRT04" localSheetId="33">#REF!</definedName>
    <definedName name="_94PRT04">#REF!</definedName>
    <definedName name="_94PRT05" localSheetId="26">#REF!</definedName>
    <definedName name="_94PRT05" localSheetId="25">#REF!</definedName>
    <definedName name="_94PRT05" localSheetId="35">#REF!</definedName>
    <definedName name="_94PRT05" localSheetId="33">#REF!</definedName>
    <definedName name="_94PRT05">#REF!</definedName>
    <definedName name="_94STAT" localSheetId="26">#REF!</definedName>
    <definedName name="_94STAT" localSheetId="25">#REF!</definedName>
    <definedName name="_94STAT" localSheetId="35">#REF!</definedName>
    <definedName name="_94STAT" localSheetId="33">#REF!</definedName>
    <definedName name="_94STAT">#REF!</definedName>
    <definedName name="_95FAS01" localSheetId="26">#REF!</definedName>
    <definedName name="_95FAS01" localSheetId="25">#REF!</definedName>
    <definedName name="_95FAS01" localSheetId="35">#REF!</definedName>
    <definedName name="_95FAS01" localSheetId="33">#REF!</definedName>
    <definedName name="_95FAS01">#REF!</definedName>
    <definedName name="_95FAS02" localSheetId="26">#REF!</definedName>
    <definedName name="_95FAS02" localSheetId="25">#REF!</definedName>
    <definedName name="_95FAS02" localSheetId="35">#REF!</definedName>
    <definedName name="_95FAS02" localSheetId="33">#REF!</definedName>
    <definedName name="_95FAS02">#REF!</definedName>
    <definedName name="_95FAS03" localSheetId="26">#REF!</definedName>
    <definedName name="_95FAS03" localSheetId="25">#REF!</definedName>
    <definedName name="_95FAS03" localSheetId="35">#REF!</definedName>
    <definedName name="_95FAS03" localSheetId="33">#REF!</definedName>
    <definedName name="_95FAS03">#REF!</definedName>
    <definedName name="_95FAS04" localSheetId="26">#REF!</definedName>
    <definedName name="_95FAS04" localSheetId="25">#REF!</definedName>
    <definedName name="_95FAS04" localSheetId="35">#REF!</definedName>
    <definedName name="_95FAS04" localSheetId="33">#REF!</definedName>
    <definedName name="_95FAS04">#REF!</definedName>
    <definedName name="_95FAS05" localSheetId="26">#REF!</definedName>
    <definedName name="_95FAS05" localSheetId="25">#REF!</definedName>
    <definedName name="_95FAS05" localSheetId="35">#REF!</definedName>
    <definedName name="_95FAS05" localSheetId="33">#REF!</definedName>
    <definedName name="_95FAS05">#REF!</definedName>
    <definedName name="_95PRT01" localSheetId="26">#REF!</definedName>
    <definedName name="_95PRT01" localSheetId="25">#REF!</definedName>
    <definedName name="_95PRT01" localSheetId="35">#REF!</definedName>
    <definedName name="_95PRT01" localSheetId="33">#REF!</definedName>
    <definedName name="_95PRT01">#REF!</definedName>
    <definedName name="_95PRT02" localSheetId="26">#REF!</definedName>
    <definedName name="_95PRT02" localSheetId="25">#REF!</definedName>
    <definedName name="_95PRT02" localSheetId="35">#REF!</definedName>
    <definedName name="_95PRT02" localSheetId="33">#REF!</definedName>
    <definedName name="_95PRT02">#REF!</definedName>
    <definedName name="_95PRT03" localSheetId="26">#REF!</definedName>
    <definedName name="_95PRT03" localSheetId="25">#REF!</definedName>
    <definedName name="_95PRT03" localSheetId="35">#REF!</definedName>
    <definedName name="_95PRT03" localSheetId="33">#REF!</definedName>
    <definedName name="_95PRT03">#REF!</definedName>
    <definedName name="_95PRT04" localSheetId="26">#REF!</definedName>
    <definedName name="_95PRT04" localSheetId="25">#REF!</definedName>
    <definedName name="_95PRT04" localSheetId="35">#REF!</definedName>
    <definedName name="_95PRT04" localSheetId="33">#REF!</definedName>
    <definedName name="_95PRT04">#REF!</definedName>
    <definedName name="_95PRT05" localSheetId="26">#REF!</definedName>
    <definedName name="_95PRT05" localSheetId="25">#REF!</definedName>
    <definedName name="_95PRT05" localSheetId="35">#REF!</definedName>
    <definedName name="_95PRT05" localSheetId="33">#REF!</definedName>
    <definedName name="_95PRT05">#REF!</definedName>
    <definedName name="_95STAT" localSheetId="26">#REF!</definedName>
    <definedName name="_95STAT" localSheetId="25">#REF!</definedName>
    <definedName name="_95STAT" localSheetId="35">#REF!</definedName>
    <definedName name="_95STAT" localSheetId="33">#REF!</definedName>
    <definedName name="_95STAT">#REF!</definedName>
    <definedName name="_96FAS01" localSheetId="26">#REF!</definedName>
    <definedName name="_96FAS01" localSheetId="25">#REF!</definedName>
    <definedName name="_96FAS01" localSheetId="35">#REF!</definedName>
    <definedName name="_96FAS01" localSheetId="33">#REF!</definedName>
    <definedName name="_96FAS01">#REF!</definedName>
    <definedName name="_96FAS02" localSheetId="26">#REF!</definedName>
    <definedName name="_96FAS02" localSheetId="25">#REF!</definedName>
    <definedName name="_96FAS02" localSheetId="35">#REF!</definedName>
    <definedName name="_96FAS02" localSheetId="33">#REF!</definedName>
    <definedName name="_96FAS02">#REF!</definedName>
    <definedName name="_96FAS03" localSheetId="26">#REF!</definedName>
    <definedName name="_96FAS03" localSheetId="25">#REF!</definedName>
    <definedName name="_96FAS03" localSheetId="35">#REF!</definedName>
    <definedName name="_96FAS03" localSheetId="33">#REF!</definedName>
    <definedName name="_96FAS03">#REF!</definedName>
    <definedName name="_96FAS04" localSheetId="26">#REF!</definedName>
    <definedName name="_96FAS04" localSheetId="25">#REF!</definedName>
    <definedName name="_96FAS04" localSheetId="35">#REF!</definedName>
    <definedName name="_96FAS04" localSheetId="33">#REF!</definedName>
    <definedName name="_96FAS04">#REF!</definedName>
    <definedName name="_96FAS05" localSheetId="26">#REF!</definedName>
    <definedName name="_96FAS05" localSheetId="25">#REF!</definedName>
    <definedName name="_96FAS05" localSheetId="35">#REF!</definedName>
    <definedName name="_96FAS05" localSheetId="33">#REF!</definedName>
    <definedName name="_96FAS05">#REF!</definedName>
    <definedName name="_96PRT01" localSheetId="26">#REF!</definedName>
    <definedName name="_96PRT01" localSheetId="25">#REF!</definedName>
    <definedName name="_96PRT01" localSheetId="35">#REF!</definedName>
    <definedName name="_96PRT01" localSheetId="33">#REF!</definedName>
    <definedName name="_96PRT01">#REF!</definedName>
    <definedName name="_96PRT02" localSheetId="26">#REF!</definedName>
    <definedName name="_96PRT02" localSheetId="25">#REF!</definedName>
    <definedName name="_96PRT02" localSheetId="35">#REF!</definedName>
    <definedName name="_96PRT02" localSheetId="33">#REF!</definedName>
    <definedName name="_96PRT02">#REF!</definedName>
    <definedName name="_96PRT03" localSheetId="26">#REF!</definedName>
    <definedName name="_96PRT03" localSheetId="25">#REF!</definedName>
    <definedName name="_96PRT03" localSheetId="35">#REF!</definedName>
    <definedName name="_96PRT03" localSheetId="33">#REF!</definedName>
    <definedName name="_96PRT03">#REF!</definedName>
    <definedName name="_96PRT04" localSheetId="26">#REF!</definedName>
    <definedName name="_96PRT04" localSheetId="25">#REF!</definedName>
    <definedName name="_96PRT04" localSheetId="35">#REF!</definedName>
    <definedName name="_96PRT04" localSheetId="33">#REF!</definedName>
    <definedName name="_96PRT04">#REF!</definedName>
    <definedName name="_96PRT05" localSheetId="26">#REF!</definedName>
    <definedName name="_96PRT05" localSheetId="25">#REF!</definedName>
    <definedName name="_96PRT05" localSheetId="35">#REF!</definedName>
    <definedName name="_96PRT05" localSheetId="33">#REF!</definedName>
    <definedName name="_96PRT05">#REF!</definedName>
    <definedName name="_96STAT" localSheetId="26">#REF!</definedName>
    <definedName name="_96STAT" localSheetId="25">#REF!</definedName>
    <definedName name="_96STAT" localSheetId="35">#REF!</definedName>
    <definedName name="_96STAT" localSheetId="33">#REF!</definedName>
    <definedName name="_96STAT">#REF!</definedName>
    <definedName name="_99__123Graph_ACHART_1" localSheetId="26" hidden="1">#REF!</definedName>
    <definedName name="_99__123Graph_ACHART_1" localSheetId="25" hidden="1">#REF!</definedName>
    <definedName name="_99__123Graph_ACHART_1" localSheetId="35" hidden="1">#REF!</definedName>
    <definedName name="_99__123Graph_ACHART_1" localSheetId="33" hidden="1">#REF!</definedName>
    <definedName name="_99__123Graph_ACHART_1" hidden="1">#REF!</definedName>
    <definedName name="_a1" localSheetId="28" hidden="1">{#N/A,#N/A,FALSE,"Virgin Flightdeck"}</definedName>
    <definedName name="_a1" hidden="1">{#N/A,#N/A,FALSE,"Virgin Flightdeck"}</definedName>
    <definedName name="_A100000" localSheetId="26">#REF!</definedName>
    <definedName name="_A100000" localSheetId="25">#REF!</definedName>
    <definedName name="_A100000" localSheetId="35">#REF!</definedName>
    <definedName name="_A100000" localSheetId="33">#REF!</definedName>
    <definedName name="_A100000">#REF!</definedName>
    <definedName name="_a2" localSheetId="28" hidden="1">{#N/A,#N/A,FALSE,"Virgin Flightdeck"}</definedName>
    <definedName name="_a2" hidden="1">{#N/A,#N/A,FALSE,"Virgin Flightdeck"}</definedName>
    <definedName name="_a2_1" localSheetId="28" hidden="1">{#N/A,#N/A,FALSE,"Virgin Flightdeck"}</definedName>
    <definedName name="_a2_1" hidden="1">{#N/A,#N/A,FALSE,"Virgin Flightdeck"}</definedName>
    <definedName name="_a2_1_1" localSheetId="28" hidden="1">{#N/A,#N/A,FALSE,"Virgin Flightdeck"}</definedName>
    <definedName name="_a2_1_1" hidden="1">{#N/A,#N/A,FALSE,"Virgin Flightdeck"}</definedName>
    <definedName name="_a3" localSheetId="28" hidden="1">{#N/A,#N/A,FALSE,"Virgin Flightdeck"}</definedName>
    <definedName name="_a3" hidden="1">{#N/A,#N/A,FALSE,"Virgin Flightdeck"}</definedName>
    <definedName name="_a3_1" localSheetId="28" hidden="1">{#N/A,#N/A,FALSE,"Virgin Flightdeck"}</definedName>
    <definedName name="_a3_1" hidden="1">{#N/A,#N/A,FALSE,"Virgin Flightdeck"}</definedName>
    <definedName name="_a3_1_1" localSheetId="28" hidden="1">{#N/A,#N/A,FALSE,"Virgin Flightdeck"}</definedName>
    <definedName name="_a3_1_1" hidden="1">{#N/A,#N/A,FALSE,"Virgin Flightdeck"}</definedName>
    <definedName name="_A70000" localSheetId="26">#REF!</definedName>
    <definedName name="_A70000" localSheetId="25">#REF!</definedName>
    <definedName name="_A70000" localSheetId="35">#REF!</definedName>
    <definedName name="_A70000" localSheetId="33">#REF!</definedName>
    <definedName name="_A70000">#REF!</definedName>
    <definedName name="_ACC1" localSheetId="26">#REF!</definedName>
    <definedName name="_ACC1" localSheetId="25">#REF!</definedName>
    <definedName name="_ACC1" localSheetId="35">#REF!</definedName>
    <definedName name="_ACC1" localSheetId="33">#REF!</definedName>
    <definedName name="_ACC1">#REF!</definedName>
    <definedName name="_ADD1" localSheetId="26">#REF!</definedName>
    <definedName name="_ADD1" localSheetId="25">#REF!</definedName>
    <definedName name="_ADD1" localSheetId="35">#REF!</definedName>
    <definedName name="_ADD1" localSheetId="33">#REF!</definedName>
    <definedName name="_ADD1">#REF!</definedName>
    <definedName name="_ADD2" localSheetId="26">#REF!</definedName>
    <definedName name="_ADD2" localSheetId="25">#REF!</definedName>
    <definedName name="_ADD2" localSheetId="35">#REF!</definedName>
    <definedName name="_ADD2" localSheetId="33">#REF!</definedName>
    <definedName name="_ADD2">#REF!</definedName>
    <definedName name="_ADD3" localSheetId="26">#REF!</definedName>
    <definedName name="_ADD3" localSheetId="25">#REF!</definedName>
    <definedName name="_ADD3" localSheetId="35">#REF!</definedName>
    <definedName name="_ADD3" localSheetId="33">#REF!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 localSheetId="28">{"Client Name or Project Name"}</definedName>
    <definedName name="_App2">{"Client Name or Project Name"}</definedName>
    <definedName name="_Aug08" localSheetId="26">#REF!</definedName>
    <definedName name="_Aug08" localSheetId="25">#REF!</definedName>
    <definedName name="_Aug08" localSheetId="35">#REF!</definedName>
    <definedName name="_Aug08" localSheetId="33">#REF!</definedName>
    <definedName name="_Aug08">#REF!</definedName>
    <definedName name="_b2" localSheetId="28" hidden="1">{#N/A,#N/A,FALSE,"Virgin Flightdeck"}</definedName>
    <definedName name="_b2" hidden="1">{#N/A,#N/A,FALSE,"Virgin Flightdeck"}</definedName>
    <definedName name="_b2_1" localSheetId="28" hidden="1">{#N/A,#N/A,FALSE,"Virgin Flightdeck"}</definedName>
    <definedName name="_b2_1" hidden="1">{#N/A,#N/A,FALSE,"Virgin Flightdeck"}</definedName>
    <definedName name="_b2_1_1" localSheetId="28" hidden="1">{#N/A,#N/A,FALSE,"Virgin Flightdeck"}</definedName>
    <definedName name="_b2_1_1" hidden="1">{#N/A,#N/A,FALSE,"Virgin Flightdeck"}</definedName>
    <definedName name="_b3" localSheetId="28" hidden="1">{#N/A,#N/A,FALSE,"Virgin Flightdeck"}</definedName>
    <definedName name="_b3" hidden="1">{#N/A,#N/A,FALSE,"Virgin Flightdeck"}</definedName>
    <definedName name="_b3_1" localSheetId="28" hidden="1">{#N/A,#N/A,FALSE,"Virgin Flightdeck"}</definedName>
    <definedName name="_b3_1" hidden="1">{#N/A,#N/A,FALSE,"Virgin Flightdeck"}</definedName>
    <definedName name="_b3_1_1" localSheetId="28" hidden="1">{#N/A,#N/A,FALSE,"Virgin Flightdeck"}</definedName>
    <definedName name="_b3_1_1" hidden="1">{#N/A,#N/A,FALSE,"Virgin Flightdeck"}</definedName>
    <definedName name="_bdm.00F15E57F23F4487A4B12F6DFD9B3626.edm" localSheetId="26" hidden="1">#REF!</definedName>
    <definedName name="_bdm.00F15E57F23F4487A4B12F6DFD9B3626.edm" localSheetId="25" hidden="1">#REF!</definedName>
    <definedName name="_bdm.00F15E57F23F4487A4B12F6DFD9B3626.edm" localSheetId="35" hidden="1">#REF!</definedName>
    <definedName name="_bdm.00F15E57F23F4487A4B12F6DFD9B3626.edm" localSheetId="33" hidden="1">#REF!</definedName>
    <definedName name="_bdm.00F15E57F23F4487A4B12F6DFD9B3626.edm" localSheetId="36" hidden="1">#REF!</definedName>
    <definedName name="_bdm.00F15E57F23F4487A4B12F6DFD9B3626.edm" hidden="1">#REF!</definedName>
    <definedName name="_bdm.08BDE7BD22C44CE28F5D0D5B51189703.edm" localSheetId="26" hidden="1">#REF!</definedName>
    <definedName name="_bdm.08BDE7BD22C44CE28F5D0D5B51189703.edm" localSheetId="25" hidden="1">#REF!</definedName>
    <definedName name="_bdm.08BDE7BD22C44CE28F5D0D5B51189703.edm" localSheetId="35" hidden="1">#REF!</definedName>
    <definedName name="_bdm.08BDE7BD22C44CE28F5D0D5B51189703.edm" localSheetId="33" hidden="1">#REF!</definedName>
    <definedName name="_bdm.08BDE7BD22C44CE28F5D0D5B51189703.edm" localSheetId="36" hidden="1">#REF!</definedName>
    <definedName name="_bdm.08BDE7BD22C44CE28F5D0D5B51189703.edm" hidden="1">#REF!</definedName>
    <definedName name="_bdm.1391F296018E4F11AC41EB0D3E8579DE.edm" localSheetId="26" hidden="1">#REF!</definedName>
    <definedName name="_bdm.1391F296018E4F11AC41EB0D3E8579DE.edm" localSheetId="25" hidden="1">#REF!</definedName>
    <definedName name="_bdm.1391F296018E4F11AC41EB0D3E8579DE.edm" localSheetId="35" hidden="1">#REF!</definedName>
    <definedName name="_bdm.1391F296018E4F11AC41EB0D3E8579DE.edm" localSheetId="33" hidden="1">#REF!</definedName>
    <definedName name="_bdm.1391F296018E4F11AC41EB0D3E8579DE.edm" localSheetId="36" hidden="1">#REF!</definedName>
    <definedName name="_bdm.1391F296018E4F11AC41EB0D3E8579DE.edm" hidden="1">#REF!</definedName>
    <definedName name="_bdm.20391623561240B2B1EABBD67CD1E618.edm" localSheetId="26" hidden="1">#REF!</definedName>
    <definedName name="_bdm.20391623561240B2B1EABBD67CD1E618.edm" localSheetId="25" hidden="1">#REF!</definedName>
    <definedName name="_bdm.20391623561240B2B1EABBD67CD1E618.edm" localSheetId="35" hidden="1">#REF!</definedName>
    <definedName name="_bdm.20391623561240B2B1EABBD67CD1E618.edm" localSheetId="33" hidden="1">#REF!</definedName>
    <definedName name="_bdm.20391623561240B2B1EABBD67CD1E618.edm" localSheetId="36" hidden="1">#REF!</definedName>
    <definedName name="_bdm.20391623561240B2B1EABBD67CD1E618.edm" hidden="1">#REF!</definedName>
    <definedName name="_bdm.2089412A858F440D933FDC4C6076D227.edm" localSheetId="26" hidden="1">#REF!</definedName>
    <definedName name="_bdm.2089412A858F440D933FDC4C6076D227.edm" localSheetId="25" hidden="1">#REF!</definedName>
    <definedName name="_bdm.2089412A858F440D933FDC4C6076D227.edm" localSheetId="35" hidden="1">#REF!</definedName>
    <definedName name="_bdm.2089412A858F440D933FDC4C6076D227.edm" localSheetId="33" hidden="1">#REF!</definedName>
    <definedName name="_bdm.2089412A858F440D933FDC4C6076D227.edm" localSheetId="36" hidden="1">#REF!</definedName>
    <definedName name="_bdm.2089412A858F440D933FDC4C6076D227.edm" hidden="1">#REF!</definedName>
    <definedName name="_bdm.24F6897F643A4D3095D22180081521B2.edm" localSheetId="26" hidden="1">#REF!</definedName>
    <definedName name="_bdm.24F6897F643A4D3095D22180081521B2.edm" localSheetId="25" hidden="1">#REF!</definedName>
    <definedName name="_bdm.24F6897F643A4D3095D22180081521B2.edm" localSheetId="35" hidden="1">#REF!</definedName>
    <definedName name="_bdm.24F6897F643A4D3095D22180081521B2.edm" localSheetId="33" hidden="1">#REF!</definedName>
    <definedName name="_bdm.24F6897F643A4D3095D22180081521B2.edm" localSheetId="36" hidden="1">#REF!</definedName>
    <definedName name="_bdm.24F6897F643A4D3095D22180081521B2.edm" hidden="1">#REF!</definedName>
    <definedName name="_bdm.269A87A5BA1947A08BF2392CCAAF3C34.edm" localSheetId="26" hidden="1">#REF!</definedName>
    <definedName name="_bdm.269A87A5BA1947A08BF2392CCAAF3C34.edm" localSheetId="25" hidden="1">#REF!</definedName>
    <definedName name="_bdm.269A87A5BA1947A08BF2392CCAAF3C34.edm" localSheetId="35" hidden="1">#REF!</definedName>
    <definedName name="_bdm.269A87A5BA1947A08BF2392CCAAF3C34.edm" localSheetId="33" hidden="1">#REF!</definedName>
    <definedName name="_bdm.269A87A5BA1947A08BF2392CCAAF3C34.edm" localSheetId="36" hidden="1">#REF!</definedName>
    <definedName name="_bdm.269A87A5BA1947A08BF2392CCAAF3C34.edm" hidden="1">#REF!</definedName>
    <definedName name="_bdm.269E9A8900B843BA8B8696E6D8E671B0.edm" localSheetId="26" hidden="1">#REF!</definedName>
    <definedName name="_bdm.269E9A8900B843BA8B8696E6D8E671B0.edm" localSheetId="25" hidden="1">#REF!</definedName>
    <definedName name="_bdm.269E9A8900B843BA8B8696E6D8E671B0.edm" localSheetId="35" hidden="1">#REF!</definedName>
    <definedName name="_bdm.269E9A8900B843BA8B8696E6D8E671B0.edm" localSheetId="33" hidden="1">#REF!</definedName>
    <definedName name="_bdm.269E9A8900B843BA8B8696E6D8E671B0.edm" localSheetId="36" hidden="1">#REF!</definedName>
    <definedName name="_bdm.269E9A8900B843BA8B8696E6D8E671B0.edm" hidden="1">#REF!</definedName>
    <definedName name="_bdm.2798E9889B2443419E70413B48B8285F.edm" localSheetId="26" hidden="1">#REF!</definedName>
    <definedName name="_bdm.2798E9889B2443419E70413B48B8285F.edm" localSheetId="25" hidden="1">#REF!</definedName>
    <definedName name="_bdm.2798E9889B2443419E70413B48B8285F.edm" localSheetId="35" hidden="1">#REF!</definedName>
    <definedName name="_bdm.2798E9889B2443419E70413B48B8285F.edm" localSheetId="33" hidden="1">#REF!</definedName>
    <definedName name="_bdm.2798E9889B2443419E70413B48B8285F.edm" localSheetId="36" hidden="1">#REF!</definedName>
    <definedName name="_bdm.2798E9889B2443419E70413B48B8285F.edm" hidden="1">#REF!</definedName>
    <definedName name="_bdm.2CC98A3865B1492B8F5444FACFF15B23.edm" localSheetId="26" hidden="1">#REF!</definedName>
    <definedName name="_bdm.2CC98A3865B1492B8F5444FACFF15B23.edm" localSheetId="25" hidden="1">#REF!</definedName>
    <definedName name="_bdm.2CC98A3865B1492B8F5444FACFF15B23.edm" localSheetId="35" hidden="1">#REF!</definedName>
    <definedName name="_bdm.2CC98A3865B1492B8F5444FACFF15B23.edm" localSheetId="33" hidden="1">#REF!</definedName>
    <definedName name="_bdm.2CC98A3865B1492B8F5444FACFF15B23.edm" localSheetId="36" hidden="1">#REF!</definedName>
    <definedName name="_bdm.2CC98A3865B1492B8F5444FACFF15B23.edm" hidden="1">#REF!</definedName>
    <definedName name="_bdm.3E999AE41FD049FF934A4835F435E693.edm" localSheetId="26" hidden="1">#REF!</definedName>
    <definedName name="_bdm.3E999AE41FD049FF934A4835F435E693.edm" localSheetId="25" hidden="1">#REF!</definedName>
    <definedName name="_bdm.3E999AE41FD049FF934A4835F435E693.edm" localSheetId="35" hidden="1">#REF!</definedName>
    <definedName name="_bdm.3E999AE41FD049FF934A4835F435E693.edm" localSheetId="33" hidden="1">#REF!</definedName>
    <definedName name="_bdm.3E999AE41FD049FF934A4835F435E693.edm" localSheetId="36" hidden="1">#REF!</definedName>
    <definedName name="_bdm.3E999AE41FD049FF934A4835F435E693.edm" hidden="1">#REF!</definedName>
    <definedName name="_bdm.4F143A8903A34DF0BE90F9BE600C63FF.edm" localSheetId="26" hidden="1">#REF!</definedName>
    <definedName name="_bdm.4F143A8903A34DF0BE90F9BE600C63FF.edm" localSheetId="25" hidden="1">#REF!</definedName>
    <definedName name="_bdm.4F143A8903A34DF0BE90F9BE600C63FF.edm" localSheetId="35" hidden="1">#REF!</definedName>
    <definedName name="_bdm.4F143A8903A34DF0BE90F9BE600C63FF.edm" localSheetId="33" hidden="1">#REF!</definedName>
    <definedName name="_bdm.4F143A8903A34DF0BE90F9BE600C63FF.edm" localSheetId="36" hidden="1">#REF!</definedName>
    <definedName name="_bdm.4F143A8903A34DF0BE90F9BE600C63FF.edm" hidden="1">#REF!</definedName>
    <definedName name="_bdm.5010A66FDA1D4A5C89B061EBD267E018.edm" localSheetId="26" hidden="1">#REF!</definedName>
    <definedName name="_bdm.5010A66FDA1D4A5C89B061EBD267E018.edm" localSheetId="25" hidden="1">#REF!</definedName>
    <definedName name="_bdm.5010A66FDA1D4A5C89B061EBD267E018.edm" localSheetId="35" hidden="1">#REF!</definedName>
    <definedName name="_bdm.5010A66FDA1D4A5C89B061EBD267E018.edm" localSheetId="33" hidden="1">#REF!</definedName>
    <definedName name="_bdm.5010A66FDA1D4A5C89B061EBD267E018.edm" localSheetId="36" hidden="1">#REF!</definedName>
    <definedName name="_bdm.5010A66FDA1D4A5C89B061EBD267E018.edm" hidden="1">#REF!</definedName>
    <definedName name="_bdm.52B1429C5B824DC5A8D67DDDD7440A42.edm" localSheetId="26" hidden="1">#REF!</definedName>
    <definedName name="_bdm.52B1429C5B824DC5A8D67DDDD7440A42.edm" localSheetId="25" hidden="1">#REF!</definedName>
    <definedName name="_bdm.52B1429C5B824DC5A8D67DDDD7440A42.edm" localSheetId="35" hidden="1">#REF!</definedName>
    <definedName name="_bdm.52B1429C5B824DC5A8D67DDDD7440A42.edm" localSheetId="33" hidden="1">#REF!</definedName>
    <definedName name="_bdm.52B1429C5B824DC5A8D67DDDD7440A42.edm" localSheetId="36" hidden="1">#REF!</definedName>
    <definedName name="_bdm.52B1429C5B824DC5A8D67DDDD7440A42.edm" hidden="1">#REF!</definedName>
    <definedName name="_bdm.5C14DE57E1DE4731B240752EF6F87992.edm" localSheetId="26" hidden="1">#REF!</definedName>
    <definedName name="_bdm.5C14DE57E1DE4731B240752EF6F87992.edm" localSheetId="25" hidden="1">#REF!</definedName>
    <definedName name="_bdm.5C14DE57E1DE4731B240752EF6F87992.edm" localSheetId="35" hidden="1">#REF!</definedName>
    <definedName name="_bdm.5C14DE57E1DE4731B240752EF6F87992.edm" localSheetId="33" hidden="1">#REF!</definedName>
    <definedName name="_bdm.5C14DE57E1DE4731B240752EF6F87992.edm" localSheetId="36" hidden="1">#REF!</definedName>
    <definedName name="_bdm.5C14DE57E1DE4731B240752EF6F87992.edm" hidden="1">#REF!</definedName>
    <definedName name="_bdm.61C626F9AC904D82AFA3751F239AFC9D.edm" localSheetId="26" hidden="1">#REF!</definedName>
    <definedName name="_bdm.61C626F9AC904D82AFA3751F239AFC9D.edm" localSheetId="25" hidden="1">#REF!</definedName>
    <definedName name="_bdm.61C626F9AC904D82AFA3751F239AFC9D.edm" localSheetId="35" hidden="1">#REF!</definedName>
    <definedName name="_bdm.61C626F9AC904D82AFA3751F239AFC9D.edm" localSheetId="33" hidden="1">#REF!</definedName>
    <definedName name="_bdm.61C626F9AC904D82AFA3751F239AFC9D.edm" localSheetId="36" hidden="1">#REF!</definedName>
    <definedName name="_bdm.61C626F9AC904D82AFA3751F239AFC9D.edm" hidden="1">#REF!</definedName>
    <definedName name="_bdm.6E398E79F289447CB18971BBBFB150E9.edm" localSheetId="26" hidden="1">#REF!</definedName>
    <definedName name="_bdm.6E398E79F289447CB18971BBBFB150E9.edm" localSheetId="25" hidden="1">#REF!</definedName>
    <definedName name="_bdm.6E398E79F289447CB18971BBBFB150E9.edm" localSheetId="35" hidden="1">#REF!</definedName>
    <definedName name="_bdm.6E398E79F289447CB18971BBBFB150E9.edm" localSheetId="33" hidden="1">#REF!</definedName>
    <definedName name="_bdm.6E398E79F289447CB18971BBBFB150E9.edm" localSheetId="36" hidden="1">#REF!</definedName>
    <definedName name="_bdm.6E398E79F289447CB18971BBBFB150E9.edm" hidden="1">#REF!</definedName>
    <definedName name="_bdm.6EDC14A313E04D06AB5549D45D4E7113.edm" localSheetId="26" hidden="1">#REF!</definedName>
    <definedName name="_bdm.6EDC14A313E04D06AB5549D45D4E7113.edm" localSheetId="25" hidden="1">#REF!</definedName>
    <definedName name="_bdm.6EDC14A313E04D06AB5549D45D4E7113.edm" localSheetId="35" hidden="1">#REF!</definedName>
    <definedName name="_bdm.6EDC14A313E04D06AB5549D45D4E7113.edm" localSheetId="33" hidden="1">#REF!</definedName>
    <definedName name="_bdm.6EDC14A313E04D06AB5549D45D4E7113.edm" localSheetId="36" hidden="1">#REF!</definedName>
    <definedName name="_bdm.6EDC14A313E04D06AB5549D45D4E7113.edm" hidden="1">#REF!</definedName>
    <definedName name="_bdm.7C9B8B76F3D44EAA99D648133627DA83.edm" localSheetId="26" hidden="1">#REF!</definedName>
    <definedName name="_bdm.7C9B8B76F3D44EAA99D648133627DA83.edm" localSheetId="25" hidden="1">#REF!</definedName>
    <definedName name="_bdm.7C9B8B76F3D44EAA99D648133627DA83.edm" localSheetId="35" hidden="1">#REF!</definedName>
    <definedName name="_bdm.7C9B8B76F3D44EAA99D648133627DA83.edm" localSheetId="33" hidden="1">#REF!</definedName>
    <definedName name="_bdm.7C9B8B76F3D44EAA99D648133627DA83.edm" localSheetId="36" hidden="1">#REF!</definedName>
    <definedName name="_bdm.7C9B8B76F3D44EAA99D648133627DA83.edm" hidden="1">#REF!</definedName>
    <definedName name="_bdm.7CAA823E6254450BA438245FC3BC22F5.edm" localSheetId="26" hidden="1">#REF!</definedName>
    <definedName name="_bdm.7CAA823E6254450BA438245FC3BC22F5.edm" localSheetId="25" hidden="1">#REF!</definedName>
    <definedName name="_bdm.7CAA823E6254450BA438245FC3BC22F5.edm" localSheetId="35" hidden="1">#REF!</definedName>
    <definedName name="_bdm.7CAA823E6254450BA438245FC3BC22F5.edm" localSheetId="33" hidden="1">#REF!</definedName>
    <definedName name="_bdm.7CAA823E6254450BA438245FC3BC22F5.edm" localSheetId="36" hidden="1">#REF!</definedName>
    <definedName name="_bdm.7CAA823E6254450BA438245FC3BC22F5.edm" hidden="1">#REF!</definedName>
    <definedName name="_bdm.810D9907712147CCB68C743A02D482F7.edm" localSheetId="26" hidden="1">#REF!</definedName>
    <definedName name="_bdm.810D9907712147CCB68C743A02D482F7.edm" localSheetId="25" hidden="1">#REF!</definedName>
    <definedName name="_bdm.810D9907712147CCB68C743A02D482F7.edm" localSheetId="35" hidden="1">#REF!</definedName>
    <definedName name="_bdm.810D9907712147CCB68C743A02D482F7.edm" localSheetId="33" hidden="1">#REF!</definedName>
    <definedName name="_bdm.810D9907712147CCB68C743A02D482F7.edm" localSheetId="36" hidden="1">#REF!</definedName>
    <definedName name="_bdm.810D9907712147CCB68C743A02D482F7.edm" hidden="1">#REF!</definedName>
    <definedName name="_bdm.850AE4BD2D5F4500BB3E0D8176B1F489.edm" localSheetId="26" hidden="1">#REF!</definedName>
    <definedName name="_bdm.850AE4BD2D5F4500BB3E0D8176B1F489.edm" localSheetId="25" hidden="1">#REF!</definedName>
    <definedName name="_bdm.850AE4BD2D5F4500BB3E0D8176B1F489.edm" localSheetId="35" hidden="1">#REF!</definedName>
    <definedName name="_bdm.850AE4BD2D5F4500BB3E0D8176B1F489.edm" localSheetId="33" hidden="1">#REF!</definedName>
    <definedName name="_bdm.850AE4BD2D5F4500BB3E0D8176B1F489.edm" localSheetId="36" hidden="1">#REF!</definedName>
    <definedName name="_bdm.850AE4BD2D5F4500BB3E0D8176B1F489.edm" hidden="1">#REF!</definedName>
    <definedName name="_bdm.87F863D88610437AA57CDCC66CC8CF42.edm" localSheetId="26" hidden="1">#REF!</definedName>
    <definedName name="_bdm.87F863D88610437AA57CDCC66CC8CF42.edm" localSheetId="25" hidden="1">#REF!</definedName>
    <definedName name="_bdm.87F863D88610437AA57CDCC66CC8CF42.edm" localSheetId="35" hidden="1">#REF!</definedName>
    <definedName name="_bdm.87F863D88610437AA57CDCC66CC8CF42.edm" localSheetId="33" hidden="1">#REF!</definedName>
    <definedName name="_bdm.87F863D88610437AA57CDCC66CC8CF42.edm" localSheetId="36" hidden="1">#REF!</definedName>
    <definedName name="_bdm.87F863D88610437AA57CDCC66CC8CF42.edm" hidden="1">#REF!</definedName>
    <definedName name="_bdm.96F5526D5AE245D1A7838FB955649623.edm" localSheetId="26" hidden="1">#REF!</definedName>
    <definedName name="_bdm.96F5526D5AE245D1A7838FB955649623.edm" localSheetId="25" hidden="1">#REF!</definedName>
    <definedName name="_bdm.96F5526D5AE245D1A7838FB955649623.edm" localSheetId="35" hidden="1">#REF!</definedName>
    <definedName name="_bdm.96F5526D5AE245D1A7838FB955649623.edm" localSheetId="33" hidden="1">#REF!</definedName>
    <definedName name="_bdm.96F5526D5AE245D1A7838FB955649623.edm" localSheetId="36" hidden="1">#REF!</definedName>
    <definedName name="_bdm.96F5526D5AE245D1A7838FB955649623.edm" hidden="1">#REF!</definedName>
    <definedName name="_bdm.A8544A84F9A14D60A8B9990AD19421C2.edm" localSheetId="26" hidden="1">#REF!</definedName>
    <definedName name="_bdm.A8544A84F9A14D60A8B9990AD19421C2.edm" localSheetId="25" hidden="1">#REF!</definedName>
    <definedName name="_bdm.A8544A84F9A14D60A8B9990AD19421C2.edm" localSheetId="35" hidden="1">#REF!</definedName>
    <definedName name="_bdm.A8544A84F9A14D60A8B9990AD19421C2.edm" localSheetId="33" hidden="1">#REF!</definedName>
    <definedName name="_bdm.A8544A84F9A14D60A8B9990AD19421C2.edm" localSheetId="36" hidden="1">#REF!</definedName>
    <definedName name="_bdm.A8544A84F9A14D60A8B9990AD19421C2.edm" hidden="1">#REF!</definedName>
    <definedName name="_bdm.A870654FE9C74404A16CADA08E1BE2F3.edm" localSheetId="26" hidden="1">#REF!</definedName>
    <definedName name="_bdm.A870654FE9C74404A16CADA08E1BE2F3.edm" localSheetId="25" hidden="1">#REF!</definedName>
    <definedName name="_bdm.A870654FE9C74404A16CADA08E1BE2F3.edm" localSheetId="35" hidden="1">#REF!</definedName>
    <definedName name="_bdm.A870654FE9C74404A16CADA08E1BE2F3.edm" localSheetId="33" hidden="1">#REF!</definedName>
    <definedName name="_bdm.A870654FE9C74404A16CADA08E1BE2F3.edm" localSheetId="36" hidden="1">#REF!</definedName>
    <definedName name="_bdm.A870654FE9C74404A16CADA08E1BE2F3.edm" hidden="1">#REF!</definedName>
    <definedName name="_bdm.B0BB30B513BE4AEB9426F6A0B3BB5524.edm" localSheetId="26" hidden="1">#REF!</definedName>
    <definedName name="_bdm.B0BB30B513BE4AEB9426F6A0B3BB5524.edm" localSheetId="25" hidden="1">#REF!</definedName>
    <definedName name="_bdm.B0BB30B513BE4AEB9426F6A0B3BB5524.edm" localSheetId="35" hidden="1">#REF!</definedName>
    <definedName name="_bdm.B0BB30B513BE4AEB9426F6A0B3BB5524.edm" localSheetId="33" hidden="1">#REF!</definedName>
    <definedName name="_bdm.B0BB30B513BE4AEB9426F6A0B3BB5524.edm" localSheetId="36" hidden="1">#REF!</definedName>
    <definedName name="_bdm.B0BB30B513BE4AEB9426F6A0B3BB5524.edm" hidden="1">#REF!</definedName>
    <definedName name="_bdm.B3A26AE0A20349E19F08C4F7A66AA4C1.edm" localSheetId="26" hidden="1">#REF!</definedName>
    <definedName name="_bdm.B3A26AE0A20349E19F08C4F7A66AA4C1.edm" localSheetId="25" hidden="1">#REF!</definedName>
    <definedName name="_bdm.B3A26AE0A20349E19F08C4F7A66AA4C1.edm" localSheetId="35" hidden="1">#REF!</definedName>
    <definedName name="_bdm.B3A26AE0A20349E19F08C4F7A66AA4C1.edm" localSheetId="33" hidden="1">#REF!</definedName>
    <definedName name="_bdm.B3A26AE0A20349E19F08C4F7A66AA4C1.edm" localSheetId="36" hidden="1">#REF!</definedName>
    <definedName name="_bdm.B3A26AE0A20349E19F08C4F7A66AA4C1.edm" hidden="1">#REF!</definedName>
    <definedName name="_bdm.BC73C1315733463ABA8F35CF36E670D2.edm" localSheetId="26" hidden="1">#REF!</definedName>
    <definedName name="_bdm.BC73C1315733463ABA8F35CF36E670D2.edm" localSheetId="25" hidden="1">#REF!</definedName>
    <definedName name="_bdm.BC73C1315733463ABA8F35CF36E670D2.edm" localSheetId="35" hidden="1">#REF!</definedName>
    <definedName name="_bdm.BC73C1315733463ABA8F35CF36E670D2.edm" localSheetId="33" hidden="1">#REF!</definedName>
    <definedName name="_bdm.BC73C1315733463ABA8F35CF36E670D2.edm" localSheetId="36" hidden="1">#REF!</definedName>
    <definedName name="_bdm.BC73C1315733463ABA8F35CF36E670D2.edm" hidden="1">#REF!</definedName>
    <definedName name="_bdm.BE93CD1B20EF49488901783F7254DDD2.edm" localSheetId="26" hidden="1">#REF!</definedName>
    <definedName name="_bdm.BE93CD1B20EF49488901783F7254DDD2.edm" localSheetId="25" hidden="1">#REF!</definedName>
    <definedName name="_bdm.BE93CD1B20EF49488901783F7254DDD2.edm" localSheetId="35" hidden="1">#REF!</definedName>
    <definedName name="_bdm.BE93CD1B20EF49488901783F7254DDD2.edm" localSheetId="33" hidden="1">#REF!</definedName>
    <definedName name="_bdm.BE93CD1B20EF49488901783F7254DDD2.edm" localSheetId="36" hidden="1">#REF!</definedName>
    <definedName name="_bdm.BE93CD1B20EF49488901783F7254DDD2.edm" hidden="1">#REF!</definedName>
    <definedName name="_bdm.C17B2E9B3DFB41019E65CB1F8647D1CA.edm" localSheetId="26" hidden="1">#REF!</definedName>
    <definedName name="_bdm.C17B2E9B3DFB41019E65CB1F8647D1CA.edm" localSheetId="25" hidden="1">#REF!</definedName>
    <definedName name="_bdm.C17B2E9B3DFB41019E65CB1F8647D1CA.edm" localSheetId="35" hidden="1">#REF!</definedName>
    <definedName name="_bdm.C17B2E9B3DFB41019E65CB1F8647D1CA.edm" localSheetId="33" hidden="1">#REF!</definedName>
    <definedName name="_bdm.C17B2E9B3DFB41019E65CB1F8647D1CA.edm" localSheetId="36" hidden="1">#REF!</definedName>
    <definedName name="_bdm.C17B2E9B3DFB41019E65CB1F8647D1CA.edm" hidden="1">#REF!</definedName>
    <definedName name="_bdm.C5CDD6CD08B64EB3B2FAD7133534E29E.edm" localSheetId="26" hidden="1">#REF!</definedName>
    <definedName name="_bdm.C5CDD6CD08B64EB3B2FAD7133534E29E.edm" localSheetId="25" hidden="1">#REF!</definedName>
    <definedName name="_bdm.C5CDD6CD08B64EB3B2FAD7133534E29E.edm" localSheetId="35" hidden="1">#REF!</definedName>
    <definedName name="_bdm.C5CDD6CD08B64EB3B2FAD7133534E29E.edm" localSheetId="33" hidden="1">#REF!</definedName>
    <definedName name="_bdm.C5CDD6CD08B64EB3B2FAD7133534E29E.edm" localSheetId="36" hidden="1">#REF!</definedName>
    <definedName name="_bdm.C5CDD6CD08B64EB3B2FAD7133534E29E.edm" hidden="1">#REF!</definedName>
    <definedName name="_bdm.C5FD2C8CCA304694AB7FE1AB75EE358C.edm" localSheetId="26" hidden="1">#REF!</definedName>
    <definedName name="_bdm.C5FD2C8CCA304694AB7FE1AB75EE358C.edm" localSheetId="25" hidden="1">#REF!</definedName>
    <definedName name="_bdm.C5FD2C8CCA304694AB7FE1AB75EE358C.edm" localSheetId="35" hidden="1">#REF!</definedName>
    <definedName name="_bdm.C5FD2C8CCA304694AB7FE1AB75EE358C.edm" localSheetId="33" hidden="1">#REF!</definedName>
    <definedName name="_bdm.C5FD2C8CCA304694AB7FE1AB75EE358C.edm" localSheetId="36" hidden="1">#REF!</definedName>
    <definedName name="_bdm.C5FD2C8CCA304694AB7FE1AB75EE358C.edm" hidden="1">#REF!</definedName>
    <definedName name="_bdm.CC4A53A98F4E41F296FEBA798896C973.edm" localSheetId="26" hidden="1">#REF!</definedName>
    <definedName name="_bdm.CC4A53A98F4E41F296FEBA798896C973.edm" localSheetId="25" hidden="1">#REF!</definedName>
    <definedName name="_bdm.CC4A53A98F4E41F296FEBA798896C973.edm" localSheetId="35" hidden="1">#REF!</definedName>
    <definedName name="_bdm.CC4A53A98F4E41F296FEBA798896C973.edm" localSheetId="33" hidden="1">#REF!</definedName>
    <definedName name="_bdm.CC4A53A98F4E41F296FEBA798896C973.edm" localSheetId="36" hidden="1">#REF!</definedName>
    <definedName name="_bdm.CC4A53A98F4E41F296FEBA798896C973.edm" hidden="1">#REF!</definedName>
    <definedName name="_bdm.DF13B76A3159427B8FE398AD45B24A7B.edm" localSheetId="26" hidden="1">#REF!</definedName>
    <definedName name="_bdm.DF13B76A3159427B8FE398AD45B24A7B.edm" localSheetId="25" hidden="1">#REF!</definedName>
    <definedName name="_bdm.DF13B76A3159427B8FE398AD45B24A7B.edm" localSheetId="35" hidden="1">#REF!</definedName>
    <definedName name="_bdm.DF13B76A3159427B8FE398AD45B24A7B.edm" localSheetId="33" hidden="1">#REF!</definedName>
    <definedName name="_bdm.DF13B76A3159427B8FE398AD45B24A7B.edm" localSheetId="36" hidden="1">#REF!</definedName>
    <definedName name="_bdm.DF13B76A3159427B8FE398AD45B24A7B.edm" hidden="1">#REF!</definedName>
    <definedName name="_bdm.E6B8CCCF08194C44AA39E3B9CC05F2A2.edm" localSheetId="26" hidden="1">#REF!</definedName>
    <definedName name="_bdm.E6B8CCCF08194C44AA39E3B9CC05F2A2.edm" localSheetId="25" hidden="1">#REF!</definedName>
    <definedName name="_bdm.E6B8CCCF08194C44AA39E3B9CC05F2A2.edm" localSheetId="35" hidden="1">#REF!</definedName>
    <definedName name="_bdm.E6B8CCCF08194C44AA39E3B9CC05F2A2.edm" localSheetId="33" hidden="1">#REF!</definedName>
    <definedName name="_bdm.E6B8CCCF08194C44AA39E3B9CC05F2A2.edm" localSheetId="36" hidden="1">#REF!</definedName>
    <definedName name="_bdm.E6B8CCCF08194C44AA39E3B9CC05F2A2.edm" hidden="1">#REF!</definedName>
    <definedName name="_bdm.EBA558FF80A64A19BD4F367A8AE758CB.edm" localSheetId="26" hidden="1">#REF!</definedName>
    <definedName name="_bdm.EBA558FF80A64A19BD4F367A8AE758CB.edm" localSheetId="25" hidden="1">#REF!</definedName>
    <definedName name="_bdm.EBA558FF80A64A19BD4F367A8AE758CB.edm" localSheetId="35" hidden="1">#REF!</definedName>
    <definedName name="_bdm.EBA558FF80A64A19BD4F367A8AE758CB.edm" localSheetId="33" hidden="1">#REF!</definedName>
    <definedName name="_bdm.EBA558FF80A64A19BD4F367A8AE758CB.edm" localSheetId="36" hidden="1">#REF!</definedName>
    <definedName name="_bdm.EBA558FF80A64A19BD4F367A8AE758CB.edm" hidden="1">#REF!</definedName>
    <definedName name="_bdm.F4DFCF610F804F0EBC635163893E69C5.edm" localSheetId="26" hidden="1">#REF!</definedName>
    <definedName name="_bdm.F4DFCF610F804F0EBC635163893E69C5.edm" localSheetId="25" hidden="1">#REF!</definedName>
    <definedName name="_bdm.F4DFCF610F804F0EBC635163893E69C5.edm" localSheetId="35" hidden="1">#REF!</definedName>
    <definedName name="_bdm.F4DFCF610F804F0EBC635163893E69C5.edm" localSheetId="33" hidden="1">#REF!</definedName>
    <definedName name="_bdm.F4DFCF610F804F0EBC635163893E69C5.edm" localSheetId="36" hidden="1">#REF!</definedName>
    <definedName name="_bdm.F4DFCF610F804F0EBC635163893E69C5.edm" hidden="1">#REF!</definedName>
    <definedName name="_bdm.F63B51BE9B66439E9072AB263D537CF8.edm" localSheetId="26" hidden="1">#REF!</definedName>
    <definedName name="_bdm.F63B51BE9B66439E9072AB263D537CF8.edm" localSheetId="25" hidden="1">#REF!</definedName>
    <definedName name="_bdm.F63B51BE9B66439E9072AB263D537CF8.edm" localSheetId="35" hidden="1">#REF!</definedName>
    <definedName name="_bdm.F63B51BE9B66439E9072AB263D537CF8.edm" localSheetId="33" hidden="1">#REF!</definedName>
    <definedName name="_bdm.F63B51BE9B66439E9072AB263D537CF8.edm" localSheetId="36" hidden="1">#REF!</definedName>
    <definedName name="_bdm.F63B51BE9B66439E9072AB263D537CF8.edm" hidden="1">#REF!</definedName>
    <definedName name="_CAO2" localSheetId="26">#REF!</definedName>
    <definedName name="_CAO2" localSheetId="25">#REF!</definedName>
    <definedName name="_CAO2" localSheetId="35">#REF!</definedName>
    <definedName name="_CAO2" localSheetId="33">#REF!</definedName>
    <definedName name="_CAO2" localSheetId="36">#REF!</definedName>
    <definedName name="_CAO2">#REF!</definedName>
    <definedName name="_CAO3" localSheetId="26">#REF!</definedName>
    <definedName name="_CAO3" localSheetId="25">#REF!</definedName>
    <definedName name="_CAO3" localSheetId="35">#REF!</definedName>
    <definedName name="_CAO3" localSheetId="33">#REF!</definedName>
    <definedName name="_CAO3" localSheetId="36">#REF!</definedName>
    <definedName name="_CAO3">#REF!</definedName>
    <definedName name="_cc" localSheetId="26" hidden="1">#REF!</definedName>
    <definedName name="_cc" localSheetId="25" hidden="1">#REF!</definedName>
    <definedName name="_cc" localSheetId="35" hidden="1">#REF!</definedName>
    <definedName name="_cc" localSheetId="33" hidden="1">#REF!</definedName>
    <definedName name="_cc" hidden="1">#REF!</definedName>
    <definedName name="_DAT1" localSheetId="26">#REF!</definedName>
    <definedName name="_DAT1" localSheetId="25">#REF!</definedName>
    <definedName name="_DAT1" localSheetId="35">#REF!</definedName>
    <definedName name="_DAT1" localSheetId="33">#REF!</definedName>
    <definedName name="_DAT1" localSheetId="36">#REF!</definedName>
    <definedName name="_DAT1">#REF!</definedName>
    <definedName name="_DAT10" localSheetId="26">#REF!</definedName>
    <definedName name="_DAT10" localSheetId="25">#REF!</definedName>
    <definedName name="_DAT10" localSheetId="35">#REF!</definedName>
    <definedName name="_DAT10" localSheetId="33">#REF!</definedName>
    <definedName name="_DAT10" localSheetId="36">#REF!</definedName>
    <definedName name="_DAT10">#REF!</definedName>
    <definedName name="_DAT11" localSheetId="26">#REF!</definedName>
    <definedName name="_DAT11" localSheetId="25">#REF!</definedName>
    <definedName name="_DAT11" localSheetId="35">#REF!</definedName>
    <definedName name="_DAT11" localSheetId="33">#REF!</definedName>
    <definedName name="_DAT11" localSheetId="36">#REF!</definedName>
    <definedName name="_DAT11">#REF!</definedName>
    <definedName name="_DAT12" localSheetId="26">#REF!</definedName>
    <definedName name="_DAT12" localSheetId="25">#REF!</definedName>
    <definedName name="_DAT12" localSheetId="35">#REF!</definedName>
    <definedName name="_DAT12" localSheetId="33">#REF!</definedName>
    <definedName name="_DAT12" localSheetId="36">#REF!</definedName>
    <definedName name="_DAT12">#REF!</definedName>
    <definedName name="_DAT13" localSheetId="26">#REF!</definedName>
    <definedName name="_DAT13" localSheetId="25">#REF!</definedName>
    <definedName name="_DAT13" localSheetId="35">#REF!</definedName>
    <definedName name="_DAT13" localSheetId="33">#REF!</definedName>
    <definedName name="_DAT13" localSheetId="36">#REF!</definedName>
    <definedName name="_DAT13">#REF!</definedName>
    <definedName name="_DAT14" localSheetId="26">#REF!</definedName>
    <definedName name="_DAT14" localSheetId="25">#REF!</definedName>
    <definedName name="_DAT14" localSheetId="35">#REF!</definedName>
    <definedName name="_DAT14" localSheetId="33">#REF!</definedName>
    <definedName name="_DAT14" localSheetId="36">#REF!</definedName>
    <definedName name="_DAT14">#REF!</definedName>
    <definedName name="_DAT15" localSheetId="26">#REF!</definedName>
    <definedName name="_DAT15" localSheetId="25">#REF!</definedName>
    <definedName name="_DAT15" localSheetId="35">#REF!</definedName>
    <definedName name="_DAT15" localSheetId="33">#REF!</definedName>
    <definedName name="_DAT15" localSheetId="36">#REF!</definedName>
    <definedName name="_DAT15">#REF!</definedName>
    <definedName name="_DAT16" localSheetId="26">#REF!</definedName>
    <definedName name="_DAT16" localSheetId="25">#REF!</definedName>
    <definedName name="_DAT16" localSheetId="35">#REF!</definedName>
    <definedName name="_DAT16" localSheetId="33">#REF!</definedName>
    <definedName name="_DAT16" localSheetId="36">#REF!</definedName>
    <definedName name="_DAT16">#REF!</definedName>
    <definedName name="_DAT17" localSheetId="26">#REF!</definedName>
    <definedName name="_DAT17" localSheetId="25">#REF!</definedName>
    <definedName name="_DAT17" localSheetId="35">#REF!</definedName>
    <definedName name="_DAT17" localSheetId="33">#REF!</definedName>
    <definedName name="_DAT17" localSheetId="36">#REF!</definedName>
    <definedName name="_DAT17">#REF!</definedName>
    <definedName name="_DAT18" localSheetId="26">#REF!</definedName>
    <definedName name="_DAT18" localSheetId="25">#REF!</definedName>
    <definedName name="_DAT18" localSheetId="35">#REF!</definedName>
    <definedName name="_DAT18" localSheetId="33">#REF!</definedName>
    <definedName name="_DAT18" localSheetId="36">#REF!</definedName>
    <definedName name="_DAT18">#REF!</definedName>
    <definedName name="_DAT3" localSheetId="26">#REF!</definedName>
    <definedName name="_DAT3" localSheetId="25">#REF!</definedName>
    <definedName name="_DAT3" localSheetId="35">#REF!</definedName>
    <definedName name="_DAT3" localSheetId="33">#REF!</definedName>
    <definedName name="_DAT3" localSheetId="36">#REF!</definedName>
    <definedName name="_DAT3">#REF!</definedName>
    <definedName name="_DAT4" localSheetId="26">#REF!</definedName>
    <definedName name="_DAT4" localSheetId="25">#REF!</definedName>
    <definedName name="_DAT4" localSheetId="35">#REF!</definedName>
    <definedName name="_DAT4" localSheetId="33">#REF!</definedName>
    <definedName name="_DAT4" localSheetId="36">#REF!</definedName>
    <definedName name="_DAT4">#REF!</definedName>
    <definedName name="_DAT5" localSheetId="26">#REF!</definedName>
    <definedName name="_DAT5" localSheetId="25">#REF!</definedName>
    <definedName name="_DAT5" localSheetId="35">#REF!</definedName>
    <definedName name="_DAT5" localSheetId="33">#REF!</definedName>
    <definedName name="_DAT5" localSheetId="36">#REF!</definedName>
    <definedName name="_DAT5">#REF!</definedName>
    <definedName name="_DAT6" localSheetId="26">#REF!</definedName>
    <definedName name="_DAT6" localSheetId="25">#REF!</definedName>
    <definedName name="_DAT6" localSheetId="35">#REF!</definedName>
    <definedName name="_DAT6" localSheetId="33">#REF!</definedName>
    <definedName name="_DAT6" localSheetId="36">#REF!</definedName>
    <definedName name="_DAT6">#REF!</definedName>
    <definedName name="_DAT7" localSheetId="26">#REF!</definedName>
    <definedName name="_DAT7" localSheetId="25">#REF!</definedName>
    <definedName name="_DAT7" localSheetId="35">#REF!</definedName>
    <definedName name="_DAT7" localSheetId="33">#REF!</definedName>
    <definedName name="_DAT7" localSheetId="36">#REF!</definedName>
    <definedName name="_DAT7">#REF!</definedName>
    <definedName name="_DAT8" localSheetId="26">#REF!</definedName>
    <definedName name="_DAT8" localSheetId="25">#REF!</definedName>
    <definedName name="_DAT8" localSheetId="35">#REF!</definedName>
    <definedName name="_DAT8" localSheetId="33">#REF!</definedName>
    <definedName name="_DAT8" localSheetId="36">#REF!</definedName>
    <definedName name="_DAT8">#REF!</definedName>
    <definedName name="_DAT9" localSheetId="26">#REF!</definedName>
    <definedName name="_DAT9" localSheetId="25">#REF!</definedName>
    <definedName name="_DAT9" localSheetId="35">#REF!</definedName>
    <definedName name="_DAT9" localSheetId="33">#REF!</definedName>
    <definedName name="_DAT9" localSheetId="36">#REF!</definedName>
    <definedName name="_DAT9">#REF!</definedName>
    <definedName name="_DCF1" localSheetId="28"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ist_Bin" localSheetId="26" hidden="1">#REF!</definedName>
    <definedName name="_Dist_Bin" localSheetId="25" hidden="1">#REF!</definedName>
    <definedName name="_Dist_Bin" localSheetId="35" hidden="1">#REF!</definedName>
    <definedName name="_Dist_Bin" localSheetId="33" hidden="1">#REF!</definedName>
    <definedName name="_Dist_Bin" localSheetId="36" hidden="1">#REF!</definedName>
    <definedName name="_Dist_Bin" hidden="1">#REF!</definedName>
    <definedName name="_Dist_Values" localSheetId="26" hidden="1">#REF!</definedName>
    <definedName name="_Dist_Values" localSheetId="25" hidden="1">#REF!</definedName>
    <definedName name="_Dist_Values" localSheetId="35" hidden="1">#REF!</definedName>
    <definedName name="_Dist_Values" localSheetId="33" hidden="1">#REF!</definedName>
    <definedName name="_Dist_Values" localSheetId="36" hidden="1">#REF!</definedName>
    <definedName name="_Dist_Values" hidden="1">#REF!</definedName>
    <definedName name="_DPU2003" localSheetId="26">#REF!</definedName>
    <definedName name="_DPU2003" localSheetId="25">#REF!</definedName>
    <definedName name="_DPU2003" localSheetId="35">#REF!</definedName>
    <definedName name="_DPU2003" localSheetId="33">#REF!</definedName>
    <definedName name="_DPU2003">#REF!</definedName>
    <definedName name="_DPU2004" localSheetId="26">#REF!</definedName>
    <definedName name="_DPU2004" localSheetId="25">#REF!</definedName>
    <definedName name="_DPU2004" localSheetId="35">#REF!</definedName>
    <definedName name="_DPU2004" localSheetId="33">#REF!</definedName>
    <definedName name="_DPU2004">#REF!</definedName>
    <definedName name="_DPU2005" localSheetId="26">#REF!</definedName>
    <definedName name="_DPU2005" localSheetId="25">#REF!</definedName>
    <definedName name="_DPU2005" localSheetId="35">#REF!</definedName>
    <definedName name="_DPU2005" localSheetId="33">#REF!</definedName>
    <definedName name="_DPU2005">#REF!</definedName>
    <definedName name="_DPU2006" localSheetId="26">#REF!</definedName>
    <definedName name="_DPU2006" localSheetId="25">#REF!</definedName>
    <definedName name="_DPU2006" localSheetId="35">#REF!</definedName>
    <definedName name="_DPU2006" localSheetId="33">#REF!</definedName>
    <definedName name="_DPU2006">#REF!</definedName>
    <definedName name="_DPU2007" localSheetId="26">#REF!</definedName>
    <definedName name="_DPU2007" localSheetId="25">#REF!</definedName>
    <definedName name="_DPU2007" localSheetId="35">#REF!</definedName>
    <definedName name="_DPU2007" localSheetId="33">#REF!</definedName>
    <definedName name="_DPU2007">#REF!</definedName>
    <definedName name="_E100000" localSheetId="26">#REF!</definedName>
    <definedName name="_E100000" localSheetId="25">#REF!</definedName>
    <definedName name="_E100000" localSheetId="35">#REF!</definedName>
    <definedName name="_E100000" localSheetId="33">#REF!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7" hidden="1">'比较法-办公'!$A$1:$L$50</definedName>
    <definedName name="_xlnm._FilterDatabase" localSheetId="39" hidden="1">'比较法-仓储'!$A$1:$L$37</definedName>
    <definedName name="_xlnm._FilterDatabase" localSheetId="31" hidden="1">'比较法-车位'!$A$1:$L$39</definedName>
    <definedName name="_xlnm._FilterDatabase" localSheetId="38" hidden="1">'比较法-工业'!$A$1:$L$43</definedName>
    <definedName name="_xlnm._FilterDatabase" localSheetId="28" hidden="1">'比较法-商业'!$A$1:$L$49</definedName>
    <definedName name="_xlnm._FilterDatabase" localSheetId="29" hidden="1">'比较法-商业1'!$A$1:$L$49</definedName>
    <definedName name="_xlnm._FilterDatabase" localSheetId="24" hidden="1">'比较法-住宅'!$A$1:$L$49</definedName>
    <definedName name="_xlnm._FilterDatabase" localSheetId="26" hidden="1">#REF!</definedName>
    <definedName name="_xlnm._FilterDatabase" localSheetId="25" hidden="1">#REF!</definedName>
    <definedName name="_xlnm._FilterDatabase" localSheetId="35" hidden="1">#REF!</definedName>
    <definedName name="_xlnm._FilterDatabase" localSheetId="33" hidden="1">#REF!</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36" hidden="1">#REF!</definedName>
    <definedName name="_xlnm._FilterDatabase" localSheetId="10" hidden="1">项目基本情况!$A$42:$N$42</definedName>
    <definedName name="_xlnm._FilterDatabase" hidden="1">#REF!</definedName>
    <definedName name="_FS1" localSheetId="26">#REF!</definedName>
    <definedName name="_FS1" localSheetId="25">#REF!</definedName>
    <definedName name="_FS1" localSheetId="35">#REF!</definedName>
    <definedName name="_FS1" localSheetId="33">#REF!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localSheetId="28" hidden="1">{#N/A,#N/A,FALSE,"Virgin Flightdeck"}</definedName>
    <definedName name="_h2" hidden="1">{#N/A,#N/A,FALSE,"Virgin Flightdeck"}</definedName>
    <definedName name="_h2_1" localSheetId="28" hidden="1">{#N/A,#N/A,FALSE,"Virgin Flightdeck"}</definedName>
    <definedName name="_h2_1" hidden="1">{#N/A,#N/A,FALSE,"Virgin Flightdeck"}</definedName>
    <definedName name="_h2_1_1" localSheetId="28" hidden="1">{#N/A,#N/A,FALSE,"Virgin Flightdeck"}</definedName>
    <definedName name="_h2_1_1" hidden="1">{#N/A,#N/A,FALSE,"Virgin Flightdeck"}</definedName>
    <definedName name="_h3" localSheetId="28" hidden="1">{#N/A,#N/A,FALSE,"Virgin Flightdeck"}</definedName>
    <definedName name="_h3" hidden="1">{#N/A,#N/A,FALSE,"Virgin Flightdeck"}</definedName>
    <definedName name="_h3_1" localSheetId="28" hidden="1">{#N/A,#N/A,FALSE,"Virgin Flightdeck"}</definedName>
    <definedName name="_h3_1" hidden="1">{#N/A,#N/A,FALSE,"Virgin Flightdeck"}</definedName>
    <definedName name="_h3_1_1" localSheetId="28" hidden="1">{#N/A,#N/A,FALSE,"Virgin Flightdeck"}</definedName>
    <definedName name="_h3_1_1" hidden="1">{#N/A,#N/A,FALSE,"Virgin Flightdeck"}</definedName>
    <definedName name="_in2" localSheetId="26" hidden="1">#REF!</definedName>
    <definedName name="_in2" localSheetId="25" hidden="1">#REF!</definedName>
    <definedName name="_in2" localSheetId="35" hidden="1">#REF!</definedName>
    <definedName name="_in2" localSheetId="33" hidden="1">#REF!</definedName>
    <definedName name="_in2" localSheetId="36" hidden="1">#REF!</definedName>
    <definedName name="_in2" hidden="1">#REF!</definedName>
    <definedName name="_IRR1" localSheetId="26">#REF!</definedName>
    <definedName name="_IRR1" localSheetId="25">#REF!</definedName>
    <definedName name="_IRR1" localSheetId="35">#REF!</definedName>
    <definedName name="_IRR1" localSheetId="33">#REF!</definedName>
    <definedName name="_IRR1">#REF!</definedName>
    <definedName name="_IRR2" localSheetId="26">#REF!</definedName>
    <definedName name="_IRR2" localSheetId="25">#REF!</definedName>
    <definedName name="_IRR2" localSheetId="35">#REF!</definedName>
    <definedName name="_IRR2" localSheetId="33">#REF!</definedName>
    <definedName name="_IRR2">#REF!</definedName>
    <definedName name="_IRR3" localSheetId="26">#REF!</definedName>
    <definedName name="_IRR3" localSheetId="25">#REF!</definedName>
    <definedName name="_IRR3" localSheetId="35">#REF!</definedName>
    <definedName name="_IRR3" localSheetId="33">#REF!</definedName>
    <definedName name="_IRR3">#REF!</definedName>
    <definedName name="_IRR4" localSheetId="26">#REF!</definedName>
    <definedName name="_IRR4" localSheetId="25">#REF!</definedName>
    <definedName name="_IRR4" localSheetId="35">#REF!</definedName>
    <definedName name="_IRR4" localSheetId="33">#REF!</definedName>
    <definedName name="_IRR4">#REF!</definedName>
    <definedName name="_IRR5" localSheetId="26">#REF!</definedName>
    <definedName name="_IRR5" localSheetId="25">#REF!</definedName>
    <definedName name="_IRR5" localSheetId="35">#REF!</definedName>
    <definedName name="_IRR5" localSheetId="33">#REF!</definedName>
    <definedName name="_IRR5">#REF!</definedName>
    <definedName name="_IRR6" localSheetId="26">#REF!</definedName>
    <definedName name="_IRR6" localSheetId="25">#REF!</definedName>
    <definedName name="_IRR6" localSheetId="35">#REF!</definedName>
    <definedName name="_IRR6" localSheetId="33">#REF!</definedName>
    <definedName name="_IRR6">#REF!</definedName>
    <definedName name="_KE8" localSheetId="26" hidden="1">#REF!</definedName>
    <definedName name="_KE8" localSheetId="25" hidden="1">#REF!</definedName>
    <definedName name="_KE8" localSheetId="35" hidden="1">#REF!</definedName>
    <definedName name="_KE8" localSheetId="33" hidden="1">#REF!</definedName>
    <definedName name="_KE8" localSheetId="36" hidden="1">#REF!</definedName>
    <definedName name="_KE8" hidden="1">#REF!</definedName>
    <definedName name="_KeP1" localSheetId="26">#REF!</definedName>
    <definedName name="_KeP1" localSheetId="25">#REF!</definedName>
    <definedName name="_KeP1" localSheetId="35">#REF!</definedName>
    <definedName name="_KeP1" localSheetId="33">#REF!</definedName>
    <definedName name="_KeP1">#REF!</definedName>
    <definedName name="_KeP10" localSheetId="26">#REF!</definedName>
    <definedName name="_KeP10" localSheetId="25">#REF!</definedName>
    <definedName name="_KeP10" localSheetId="35">#REF!</definedName>
    <definedName name="_KeP10" localSheetId="33">#REF!</definedName>
    <definedName name="_KeP10">#REF!</definedName>
    <definedName name="_KeP11" localSheetId="26">#REF!</definedName>
    <definedName name="_KeP11" localSheetId="25">#REF!</definedName>
    <definedName name="_KeP11" localSheetId="35">#REF!</definedName>
    <definedName name="_KeP11" localSheetId="33">#REF!</definedName>
    <definedName name="_KeP11">#REF!</definedName>
    <definedName name="_KeP12" localSheetId="26">#REF!</definedName>
    <definedName name="_KeP12" localSheetId="25">#REF!</definedName>
    <definedName name="_KeP12" localSheetId="35">#REF!</definedName>
    <definedName name="_KeP12" localSheetId="33">#REF!</definedName>
    <definedName name="_KeP12">#REF!</definedName>
    <definedName name="_KeP13" localSheetId="26">#REF!</definedName>
    <definedName name="_KeP13" localSheetId="25">#REF!</definedName>
    <definedName name="_KeP13" localSheetId="35">#REF!</definedName>
    <definedName name="_KeP13" localSheetId="33">#REF!</definedName>
    <definedName name="_KeP13">#REF!</definedName>
    <definedName name="_KeP14" localSheetId="26">#REF!</definedName>
    <definedName name="_KeP14" localSheetId="25">#REF!</definedName>
    <definedName name="_KeP14" localSheetId="35">#REF!</definedName>
    <definedName name="_KeP14" localSheetId="33">#REF!</definedName>
    <definedName name="_KeP14">#REF!</definedName>
    <definedName name="_KeP15" localSheetId="26">#REF!</definedName>
    <definedName name="_KeP15" localSheetId="25">#REF!</definedName>
    <definedName name="_KeP15" localSheetId="35">#REF!</definedName>
    <definedName name="_KeP15" localSheetId="33">#REF!</definedName>
    <definedName name="_KeP15">#REF!</definedName>
    <definedName name="_KeP16" localSheetId="26">#REF!</definedName>
    <definedName name="_KeP16" localSheetId="25">#REF!</definedName>
    <definedName name="_KeP16" localSheetId="35">#REF!</definedName>
    <definedName name="_KeP16" localSheetId="33">#REF!</definedName>
    <definedName name="_KeP16">#REF!</definedName>
    <definedName name="_KeP17" localSheetId="26">#REF!</definedName>
    <definedName name="_KeP17" localSheetId="25">#REF!</definedName>
    <definedName name="_KeP17" localSheetId="35">#REF!</definedName>
    <definedName name="_KeP17" localSheetId="33">#REF!</definedName>
    <definedName name="_KeP17">#REF!</definedName>
    <definedName name="_KeP18" localSheetId="26">#REF!</definedName>
    <definedName name="_KeP18" localSheetId="25">#REF!</definedName>
    <definedName name="_KeP18" localSheetId="35">#REF!</definedName>
    <definedName name="_KeP18" localSheetId="33">#REF!</definedName>
    <definedName name="_KeP18">#REF!</definedName>
    <definedName name="_KeP19" localSheetId="26">#REF!</definedName>
    <definedName name="_KeP19" localSheetId="25">#REF!</definedName>
    <definedName name="_KeP19" localSheetId="35">#REF!</definedName>
    <definedName name="_KeP19" localSheetId="33">#REF!</definedName>
    <definedName name="_KeP19">#REF!</definedName>
    <definedName name="_KeP2" localSheetId="26">#REF!</definedName>
    <definedName name="_KeP2" localSheetId="25">#REF!</definedName>
    <definedName name="_KeP2" localSheetId="35">#REF!</definedName>
    <definedName name="_KeP2" localSheetId="33">#REF!</definedName>
    <definedName name="_KeP2">#REF!</definedName>
    <definedName name="_KeP20" localSheetId="26">#REF!</definedName>
    <definedName name="_KeP20" localSheetId="25">#REF!</definedName>
    <definedName name="_KeP20" localSheetId="35">#REF!</definedName>
    <definedName name="_KeP20" localSheetId="33">#REF!</definedName>
    <definedName name="_KeP20">#REF!</definedName>
    <definedName name="_KeP21" localSheetId="26">#REF!</definedName>
    <definedName name="_KeP21" localSheetId="25">#REF!</definedName>
    <definedName name="_KeP21" localSheetId="35">#REF!</definedName>
    <definedName name="_KeP21" localSheetId="33">#REF!</definedName>
    <definedName name="_KeP21">#REF!</definedName>
    <definedName name="_KeP22" localSheetId="26">#REF!</definedName>
    <definedName name="_KeP22" localSheetId="25">#REF!</definedName>
    <definedName name="_KeP22" localSheetId="35">#REF!</definedName>
    <definedName name="_KeP22" localSheetId="33">#REF!</definedName>
    <definedName name="_KeP22">#REF!</definedName>
    <definedName name="_KeP23" localSheetId="26">#REF!</definedName>
    <definedName name="_KeP23" localSheetId="25">#REF!</definedName>
    <definedName name="_KeP23" localSheetId="35">#REF!</definedName>
    <definedName name="_KeP23" localSheetId="33">#REF!</definedName>
    <definedName name="_KeP23">#REF!</definedName>
    <definedName name="_KeP24" localSheetId="26">#REF!</definedName>
    <definedName name="_KeP24" localSheetId="25">#REF!</definedName>
    <definedName name="_KeP24" localSheetId="35">#REF!</definedName>
    <definedName name="_KeP24" localSheetId="33">#REF!</definedName>
    <definedName name="_KeP24">#REF!</definedName>
    <definedName name="_KeP25" localSheetId="26">#REF!</definedName>
    <definedName name="_KeP25" localSheetId="25">#REF!</definedName>
    <definedName name="_KeP25" localSheetId="35">#REF!</definedName>
    <definedName name="_KeP25" localSheetId="33">#REF!</definedName>
    <definedName name="_KeP25">#REF!</definedName>
    <definedName name="_KeP26" localSheetId="26">#REF!</definedName>
    <definedName name="_KeP26" localSheetId="25">#REF!</definedName>
    <definedName name="_KeP26" localSheetId="35">#REF!</definedName>
    <definedName name="_KeP26" localSheetId="33">#REF!</definedName>
    <definedName name="_KeP26">#REF!</definedName>
    <definedName name="_KeP27" localSheetId="26">#REF!</definedName>
    <definedName name="_KeP27" localSheetId="25">#REF!</definedName>
    <definedName name="_KeP27" localSheetId="35">#REF!</definedName>
    <definedName name="_KeP27" localSheetId="33">#REF!</definedName>
    <definedName name="_KeP27">#REF!</definedName>
    <definedName name="_KeP28" localSheetId="26">#REF!</definedName>
    <definedName name="_KeP28" localSheetId="25">#REF!</definedName>
    <definedName name="_KeP28" localSheetId="35">#REF!</definedName>
    <definedName name="_KeP28" localSheetId="33">#REF!</definedName>
    <definedName name="_KeP28">#REF!</definedName>
    <definedName name="_KeP29" localSheetId="26">#REF!</definedName>
    <definedName name="_KeP29" localSheetId="25">#REF!</definedName>
    <definedName name="_KeP29" localSheetId="35">#REF!</definedName>
    <definedName name="_KeP29" localSheetId="33">#REF!</definedName>
    <definedName name="_KeP29">#REF!</definedName>
    <definedName name="_KeP3" localSheetId="26">#REF!</definedName>
    <definedName name="_KeP3" localSheetId="25">#REF!</definedName>
    <definedName name="_KeP3" localSheetId="35">#REF!</definedName>
    <definedName name="_KeP3" localSheetId="33">#REF!</definedName>
    <definedName name="_KeP3">#REF!</definedName>
    <definedName name="_KeP30" localSheetId="26">#REF!</definedName>
    <definedName name="_KeP30" localSheetId="25">#REF!</definedName>
    <definedName name="_KeP30" localSheetId="35">#REF!</definedName>
    <definedName name="_KeP30" localSheetId="33">#REF!</definedName>
    <definedName name="_KeP30">#REF!</definedName>
    <definedName name="_KeP31" localSheetId="26">#REF!</definedName>
    <definedName name="_KeP31" localSheetId="25">#REF!</definedName>
    <definedName name="_KeP31" localSheetId="35">#REF!</definedName>
    <definedName name="_KeP31" localSheetId="33">#REF!</definedName>
    <definedName name="_KeP31">#REF!</definedName>
    <definedName name="_KeP32" localSheetId="26">#REF!</definedName>
    <definedName name="_KeP32" localSheetId="25">#REF!</definedName>
    <definedName name="_KeP32" localSheetId="35">#REF!</definedName>
    <definedName name="_KeP32" localSheetId="33">#REF!</definedName>
    <definedName name="_KeP32">#REF!</definedName>
    <definedName name="_KeP33" localSheetId="26">#REF!</definedName>
    <definedName name="_KeP33" localSheetId="25">#REF!</definedName>
    <definedName name="_KeP33" localSheetId="35">#REF!</definedName>
    <definedName name="_KeP33" localSheetId="33">#REF!</definedName>
    <definedName name="_KeP33">#REF!</definedName>
    <definedName name="_KeP34" localSheetId="26">#REF!</definedName>
    <definedName name="_KeP34" localSheetId="25">#REF!</definedName>
    <definedName name="_KeP34" localSheetId="35">#REF!</definedName>
    <definedName name="_KeP34" localSheetId="33">#REF!</definedName>
    <definedName name="_KeP34">#REF!</definedName>
    <definedName name="_KeP35" localSheetId="26">#REF!</definedName>
    <definedName name="_KeP35" localSheetId="25">#REF!</definedName>
    <definedName name="_KeP35" localSheetId="35">#REF!</definedName>
    <definedName name="_KeP35" localSheetId="33">#REF!</definedName>
    <definedName name="_KeP35">#REF!</definedName>
    <definedName name="_KeP36" localSheetId="26">#REF!</definedName>
    <definedName name="_KeP36" localSheetId="25">#REF!</definedName>
    <definedName name="_KeP36" localSheetId="35">#REF!</definedName>
    <definedName name="_KeP36" localSheetId="33">#REF!</definedName>
    <definedName name="_KeP36">#REF!</definedName>
    <definedName name="_KeP37" localSheetId="26">#REF!</definedName>
    <definedName name="_KeP37" localSheetId="25">#REF!</definedName>
    <definedName name="_KeP37" localSheetId="35">#REF!</definedName>
    <definedName name="_KeP37" localSheetId="33">#REF!</definedName>
    <definedName name="_KeP37">#REF!</definedName>
    <definedName name="_KeP38" localSheetId="26">#REF!</definedName>
    <definedName name="_KeP38" localSheetId="25">#REF!</definedName>
    <definedName name="_KeP38" localSheetId="35">#REF!</definedName>
    <definedName name="_KeP38" localSheetId="33">#REF!</definedName>
    <definedName name="_KeP38">#REF!</definedName>
    <definedName name="_KeP39" localSheetId="26">#REF!</definedName>
    <definedName name="_KeP39" localSheetId="25">#REF!</definedName>
    <definedName name="_KeP39" localSheetId="35">#REF!</definedName>
    <definedName name="_KeP39" localSheetId="33">#REF!</definedName>
    <definedName name="_KeP39">#REF!</definedName>
    <definedName name="_KeP4" localSheetId="26">#REF!</definedName>
    <definedName name="_KeP4" localSheetId="25">#REF!</definedName>
    <definedName name="_KeP4" localSheetId="35">#REF!</definedName>
    <definedName name="_KeP4" localSheetId="33">#REF!</definedName>
    <definedName name="_KeP4">#REF!</definedName>
    <definedName name="_KeP40" localSheetId="26">#REF!</definedName>
    <definedName name="_KeP40" localSheetId="25">#REF!</definedName>
    <definedName name="_KeP40" localSheetId="35">#REF!</definedName>
    <definedName name="_KeP40" localSheetId="33">#REF!</definedName>
    <definedName name="_KeP40">#REF!</definedName>
    <definedName name="_KeP41" localSheetId="26">#REF!</definedName>
    <definedName name="_KeP41" localSheetId="25">#REF!</definedName>
    <definedName name="_KeP41" localSheetId="35">#REF!</definedName>
    <definedName name="_KeP41" localSheetId="33">#REF!</definedName>
    <definedName name="_KeP41">#REF!</definedName>
    <definedName name="_KeP42" localSheetId="26">#REF!</definedName>
    <definedName name="_KeP42" localSheetId="25">#REF!</definedName>
    <definedName name="_KeP42" localSheetId="35">#REF!</definedName>
    <definedName name="_KeP42" localSheetId="33">#REF!</definedName>
    <definedName name="_KeP42">#REF!</definedName>
    <definedName name="_KeP43" localSheetId="26">#REF!</definedName>
    <definedName name="_KeP43" localSheetId="25">#REF!</definedName>
    <definedName name="_KeP43" localSheetId="35">#REF!</definedName>
    <definedName name="_KeP43" localSheetId="33">#REF!</definedName>
    <definedName name="_KeP43">#REF!</definedName>
    <definedName name="_KeP44" localSheetId="26">#REF!</definedName>
    <definedName name="_KeP44" localSheetId="25">#REF!</definedName>
    <definedName name="_KeP44" localSheetId="35">#REF!</definedName>
    <definedName name="_KeP44" localSheetId="33">#REF!</definedName>
    <definedName name="_KeP44">#REF!</definedName>
    <definedName name="_KeP45" localSheetId="26">#REF!</definedName>
    <definedName name="_KeP45" localSheetId="25">#REF!</definedName>
    <definedName name="_KeP45" localSheetId="35">#REF!</definedName>
    <definedName name="_KeP45" localSheetId="33">#REF!</definedName>
    <definedName name="_KeP45">#REF!</definedName>
    <definedName name="_KeP46" localSheetId="26">#REF!</definedName>
    <definedName name="_KeP46" localSheetId="25">#REF!</definedName>
    <definedName name="_KeP46" localSheetId="35">#REF!</definedName>
    <definedName name="_KeP46" localSheetId="33">#REF!</definedName>
    <definedName name="_KeP46">#REF!</definedName>
    <definedName name="_KeP47" localSheetId="26">#REF!</definedName>
    <definedName name="_KeP47" localSheetId="25">#REF!</definedName>
    <definedName name="_KeP47" localSheetId="35">#REF!</definedName>
    <definedName name="_KeP47" localSheetId="33">#REF!</definedName>
    <definedName name="_KeP47">#REF!</definedName>
    <definedName name="_KeP48" localSheetId="26">#REF!</definedName>
    <definedName name="_KeP48" localSheetId="25">#REF!</definedName>
    <definedName name="_KeP48" localSheetId="35">#REF!</definedName>
    <definedName name="_KeP48" localSheetId="33">#REF!</definedName>
    <definedName name="_KeP48">#REF!</definedName>
    <definedName name="_KeP49" localSheetId="26">#REF!</definedName>
    <definedName name="_KeP49" localSheetId="25">#REF!</definedName>
    <definedName name="_KeP49" localSheetId="35">#REF!</definedName>
    <definedName name="_KeP49" localSheetId="33">#REF!</definedName>
    <definedName name="_KeP49">#REF!</definedName>
    <definedName name="_KeP5" localSheetId="26">#REF!</definedName>
    <definedName name="_KeP5" localSheetId="25">#REF!</definedName>
    <definedName name="_KeP5" localSheetId="35">#REF!</definedName>
    <definedName name="_KeP5" localSheetId="33">#REF!</definedName>
    <definedName name="_KeP5">#REF!</definedName>
    <definedName name="_KeP50" localSheetId="26">#REF!</definedName>
    <definedName name="_KeP50" localSheetId="25">#REF!</definedName>
    <definedName name="_KeP50" localSheetId="35">#REF!</definedName>
    <definedName name="_KeP50" localSheetId="33">#REF!</definedName>
    <definedName name="_KeP50">#REF!</definedName>
    <definedName name="_KeP51" localSheetId="26">#REF!</definedName>
    <definedName name="_KeP51" localSheetId="25">#REF!</definedName>
    <definedName name="_KeP51" localSheetId="35">#REF!</definedName>
    <definedName name="_KeP51" localSheetId="33">#REF!</definedName>
    <definedName name="_KeP51">#REF!</definedName>
    <definedName name="_KeP52" localSheetId="26">#REF!</definedName>
    <definedName name="_KeP52" localSheetId="25">#REF!</definedName>
    <definedName name="_KeP52" localSheetId="35">#REF!</definedName>
    <definedName name="_KeP52" localSheetId="33">#REF!</definedName>
    <definedName name="_KeP52">#REF!</definedName>
    <definedName name="_KeP53" localSheetId="26">#REF!</definedName>
    <definedName name="_KeP53" localSheetId="25">#REF!</definedName>
    <definedName name="_KeP53" localSheetId="35">#REF!</definedName>
    <definedName name="_KeP53" localSheetId="33">#REF!</definedName>
    <definedName name="_KeP53">#REF!</definedName>
    <definedName name="_KeP54" localSheetId="26">#REF!</definedName>
    <definedName name="_KeP54" localSheetId="25">#REF!</definedName>
    <definedName name="_KeP54" localSheetId="35">#REF!</definedName>
    <definedName name="_KeP54" localSheetId="33">#REF!</definedName>
    <definedName name="_KeP54">#REF!</definedName>
    <definedName name="_KeP55" localSheetId="26">#REF!</definedName>
    <definedName name="_KeP55" localSheetId="25">#REF!</definedName>
    <definedName name="_KeP55" localSheetId="35">#REF!</definedName>
    <definedName name="_KeP55" localSheetId="33">#REF!</definedName>
    <definedName name="_KeP55">#REF!</definedName>
    <definedName name="_KeP56" localSheetId="26">#REF!</definedName>
    <definedName name="_KeP56" localSheetId="25">#REF!</definedName>
    <definedName name="_KeP56" localSheetId="35">#REF!</definedName>
    <definedName name="_KeP56" localSheetId="33">#REF!</definedName>
    <definedName name="_KeP56">#REF!</definedName>
    <definedName name="_KeP57" localSheetId="26">#REF!</definedName>
    <definedName name="_KeP57" localSheetId="25">#REF!</definedName>
    <definedName name="_KeP57" localSheetId="35">#REF!</definedName>
    <definedName name="_KeP57" localSheetId="33">#REF!</definedName>
    <definedName name="_KeP57">#REF!</definedName>
    <definedName name="_KeP58" localSheetId="26">#REF!</definedName>
    <definedName name="_KeP58" localSheetId="25">#REF!</definedName>
    <definedName name="_KeP58" localSheetId="35">#REF!</definedName>
    <definedName name="_KeP58" localSheetId="33">#REF!</definedName>
    <definedName name="_KeP58">#REF!</definedName>
    <definedName name="_KeP59" localSheetId="26">#REF!</definedName>
    <definedName name="_KeP59" localSheetId="25">#REF!</definedName>
    <definedName name="_KeP59" localSheetId="35">#REF!</definedName>
    <definedName name="_KeP59" localSheetId="33">#REF!</definedName>
    <definedName name="_KeP59">#REF!</definedName>
    <definedName name="_KeP6" localSheetId="26">#REF!</definedName>
    <definedName name="_KeP6" localSheetId="25">#REF!</definedName>
    <definedName name="_KeP6" localSheetId="35">#REF!</definedName>
    <definedName name="_KeP6" localSheetId="33">#REF!</definedName>
    <definedName name="_KeP6">#REF!</definedName>
    <definedName name="_KeP60" localSheetId="26">#REF!</definedName>
    <definedName name="_KeP60" localSheetId="25">#REF!</definedName>
    <definedName name="_KeP60" localSheetId="35">#REF!</definedName>
    <definedName name="_KeP60" localSheetId="33">#REF!</definedName>
    <definedName name="_KeP60">#REF!</definedName>
    <definedName name="_KeP61" localSheetId="26">#REF!</definedName>
    <definedName name="_KeP61" localSheetId="25">#REF!</definedName>
    <definedName name="_KeP61" localSheetId="35">#REF!</definedName>
    <definedName name="_KeP61" localSheetId="33">#REF!</definedName>
    <definedName name="_KeP61">#REF!</definedName>
    <definedName name="_KeP62" localSheetId="26">#REF!</definedName>
    <definedName name="_KeP62" localSheetId="25">#REF!</definedName>
    <definedName name="_KeP62" localSheetId="35">#REF!</definedName>
    <definedName name="_KeP62" localSheetId="33">#REF!</definedName>
    <definedName name="_KeP62">#REF!</definedName>
    <definedName name="_KeP63" localSheetId="26">#REF!</definedName>
    <definedName name="_KeP63" localSheetId="25">#REF!</definedName>
    <definedName name="_KeP63" localSheetId="35">#REF!</definedName>
    <definedName name="_KeP63" localSheetId="33">#REF!</definedName>
    <definedName name="_KeP63">#REF!</definedName>
    <definedName name="_KeP64" localSheetId="26">#REF!</definedName>
    <definedName name="_KeP64" localSheetId="25">#REF!</definedName>
    <definedName name="_KeP64" localSheetId="35">#REF!</definedName>
    <definedName name="_KeP64" localSheetId="33">#REF!</definedName>
    <definedName name="_KeP64">#REF!</definedName>
    <definedName name="_KeP65" localSheetId="26">#REF!</definedName>
    <definedName name="_KeP65" localSheetId="25">#REF!</definedName>
    <definedName name="_KeP65" localSheetId="35">#REF!</definedName>
    <definedName name="_KeP65" localSheetId="33">#REF!</definedName>
    <definedName name="_KeP65">#REF!</definedName>
    <definedName name="_KeP66" localSheetId="26">#REF!</definedName>
    <definedName name="_KeP66" localSheetId="25">#REF!</definedName>
    <definedName name="_KeP66" localSheetId="35">#REF!</definedName>
    <definedName name="_KeP66" localSheetId="33">#REF!</definedName>
    <definedName name="_KeP66">#REF!</definedName>
    <definedName name="_KeP67" localSheetId="26">#REF!</definedName>
    <definedName name="_KeP67" localSheetId="25">#REF!</definedName>
    <definedName name="_KeP67" localSheetId="35">#REF!</definedName>
    <definedName name="_KeP67" localSheetId="33">#REF!</definedName>
    <definedName name="_KeP67">#REF!</definedName>
    <definedName name="_KeP68" localSheetId="26">#REF!</definedName>
    <definedName name="_KeP68" localSheetId="25">#REF!</definedName>
    <definedName name="_KeP68" localSheetId="35">#REF!</definedName>
    <definedName name="_KeP68" localSheetId="33">#REF!</definedName>
    <definedName name="_KeP68">#REF!</definedName>
    <definedName name="_KeP7" localSheetId="26">#REF!</definedName>
    <definedName name="_KeP7" localSheetId="25">#REF!</definedName>
    <definedName name="_KeP7" localSheetId="35">#REF!</definedName>
    <definedName name="_KeP7" localSheetId="33">#REF!</definedName>
    <definedName name="_KeP7">#REF!</definedName>
    <definedName name="_KeP8" localSheetId="26">#REF!</definedName>
    <definedName name="_KeP8" localSheetId="25">#REF!</definedName>
    <definedName name="_KeP8" localSheetId="35">#REF!</definedName>
    <definedName name="_KeP8" localSheetId="33">#REF!</definedName>
    <definedName name="_KeP8">#REF!</definedName>
    <definedName name="_KeP9" localSheetId="26">#REF!</definedName>
    <definedName name="_KeP9" localSheetId="25">#REF!</definedName>
    <definedName name="_KeP9" localSheetId="35">#REF!</definedName>
    <definedName name="_KeP9" localSheetId="33">#REF!</definedName>
    <definedName name="_KeP9">#REF!</definedName>
    <definedName name="_Key1" localSheetId="26" hidden="1">#REF!</definedName>
    <definedName name="_Key1" localSheetId="25" hidden="1">#REF!</definedName>
    <definedName name="_Key1" localSheetId="35" hidden="1">#REF!</definedName>
    <definedName name="_Key1" localSheetId="33" hidden="1">#REF!</definedName>
    <definedName name="_Key1" localSheetId="36" hidden="1">#REF!</definedName>
    <definedName name="_Key1" hidden="1">#REF!</definedName>
    <definedName name="_key11" localSheetId="26" hidden="1">#REF!</definedName>
    <definedName name="_key11" localSheetId="25" hidden="1">#REF!</definedName>
    <definedName name="_key11" localSheetId="35" hidden="1">#REF!</definedName>
    <definedName name="_key11" localSheetId="33" hidden="1">#REF!</definedName>
    <definedName name="_key11" localSheetId="36" hidden="1">#REF!</definedName>
    <definedName name="_key11" hidden="1">#REF!</definedName>
    <definedName name="_key12" localSheetId="26" hidden="1">#REF!</definedName>
    <definedName name="_key12" localSheetId="25" hidden="1">#REF!</definedName>
    <definedName name="_key12" localSheetId="35" hidden="1">#REF!</definedName>
    <definedName name="_key12" localSheetId="33" hidden="1">#REF!</definedName>
    <definedName name="_key12" localSheetId="36" hidden="1">#REF!</definedName>
    <definedName name="_key12" hidden="1">#REF!</definedName>
    <definedName name="_KEY123" localSheetId="26" hidden="1">#REF!</definedName>
    <definedName name="_KEY123" localSheetId="25" hidden="1">#REF!</definedName>
    <definedName name="_KEY123" localSheetId="35" hidden="1">#REF!</definedName>
    <definedName name="_KEY123" localSheetId="33" hidden="1">#REF!</definedName>
    <definedName name="_KEY123" localSheetId="36" hidden="1">#REF!</definedName>
    <definedName name="_KEY123" hidden="1">#REF!</definedName>
    <definedName name="_Key2" localSheetId="26" hidden="1">#REF!</definedName>
    <definedName name="_Key2" localSheetId="25" hidden="1">#REF!</definedName>
    <definedName name="_Key2" localSheetId="35" hidden="1">#REF!</definedName>
    <definedName name="_Key2" localSheetId="33" hidden="1">#REF!</definedName>
    <definedName name="_Key2" localSheetId="36" hidden="1">#REF!</definedName>
    <definedName name="_Key2" hidden="1">#REF!</definedName>
    <definedName name="_KEY3" localSheetId="26" hidden="1">#REF!</definedName>
    <definedName name="_KEY3" localSheetId="25" hidden="1">#REF!</definedName>
    <definedName name="_KEY3" localSheetId="35" hidden="1">#REF!</definedName>
    <definedName name="_KEY3" localSheetId="33" hidden="1">#REF!</definedName>
    <definedName name="_KEY3" localSheetId="36" hidden="1">#REF!</definedName>
    <definedName name="_KEY3" hidden="1">#REF!</definedName>
    <definedName name="_KEY4" localSheetId="26" hidden="1">#REF!</definedName>
    <definedName name="_KEY4" localSheetId="25" hidden="1">#REF!</definedName>
    <definedName name="_KEY4" localSheetId="35" hidden="1">#REF!</definedName>
    <definedName name="_KEY4" localSheetId="33" hidden="1">#REF!</definedName>
    <definedName name="_KEY4" localSheetId="36" hidden="1">#REF!</definedName>
    <definedName name="_KEY4" hidden="1">#REF!</definedName>
    <definedName name="_KEY5" localSheetId="26" hidden="1">#REF!</definedName>
    <definedName name="_KEY5" localSheetId="25" hidden="1">#REF!</definedName>
    <definedName name="_KEY5" localSheetId="35" hidden="1">#REF!</definedName>
    <definedName name="_KEY5" localSheetId="33" hidden="1">#REF!</definedName>
    <definedName name="_KEY5" localSheetId="36" hidden="1">#REF!</definedName>
    <definedName name="_KEY5" hidden="1">#REF!</definedName>
    <definedName name="_KEY6" localSheetId="26" hidden="1">#REF!</definedName>
    <definedName name="_KEY6" localSheetId="25" hidden="1">#REF!</definedName>
    <definedName name="_KEY6" localSheetId="35" hidden="1">#REF!</definedName>
    <definedName name="_KEY6" localSheetId="33" hidden="1">#REF!</definedName>
    <definedName name="_KEY6" localSheetId="36" hidden="1">#REF!</definedName>
    <definedName name="_KEY6" hidden="1">#REF!</definedName>
    <definedName name="_KEY7" localSheetId="26" hidden="1">#REF!</definedName>
    <definedName name="_KEY7" localSheetId="25" hidden="1">#REF!</definedName>
    <definedName name="_KEY7" localSheetId="35" hidden="1">#REF!</definedName>
    <definedName name="_KEY7" localSheetId="33" hidden="1">#REF!</definedName>
    <definedName name="_KEY7" localSheetId="36" hidden="1">#REF!</definedName>
    <definedName name="_KEY7" hidden="1">#REF!</definedName>
    <definedName name="_key8" localSheetId="26" hidden="1">#REF!</definedName>
    <definedName name="_key8" localSheetId="25" hidden="1">#REF!</definedName>
    <definedName name="_key8" localSheetId="35" hidden="1">#REF!</definedName>
    <definedName name="_key8" localSheetId="33" hidden="1">#REF!</definedName>
    <definedName name="_key8" localSheetId="36" hidden="1">#REF!</definedName>
    <definedName name="_key8" hidden="1">#REF!</definedName>
    <definedName name="_KEY90" localSheetId="26" hidden="1">#REF!</definedName>
    <definedName name="_KEY90" localSheetId="25" hidden="1">#REF!</definedName>
    <definedName name="_KEY90" localSheetId="35" hidden="1">#REF!</definedName>
    <definedName name="_KEY90" localSheetId="33" hidden="1">#REF!</definedName>
    <definedName name="_KEY90" localSheetId="36" hidden="1">#REF!</definedName>
    <definedName name="_KEY90" hidden="1">#REF!</definedName>
    <definedName name="_km0411" localSheetId="26">#REF!</definedName>
    <definedName name="_km0411" localSheetId="25">#REF!</definedName>
    <definedName name="_km0411" localSheetId="35">#REF!</definedName>
    <definedName name="_km0411" localSheetId="33">#REF!</definedName>
    <definedName name="_km0411" localSheetId="36">#REF!</definedName>
    <definedName name="_km0411">#REF!</definedName>
    <definedName name="_LF12" localSheetId="26" hidden="1">#REF!</definedName>
    <definedName name="_LF12" localSheetId="25" hidden="1">#REF!</definedName>
    <definedName name="_LF12" localSheetId="35" hidden="1">#REF!</definedName>
    <definedName name="_LF12" localSheetId="33" hidden="1">#REF!</definedName>
    <definedName name="_LF12" localSheetId="36" hidden="1">#REF!</definedName>
    <definedName name="_LF12" hidden="1">#REF!</definedName>
    <definedName name="_M1110" localSheetId="28" hidden="1">{#N/A,#N/A,FALSE,"Aging"}</definedName>
    <definedName name="_M1110" hidden="1">{#N/A,#N/A,FALSE,"Aging"}</definedName>
    <definedName name="_MatInverse_In" localSheetId="26" hidden="1">#REF!</definedName>
    <definedName name="_MatInverse_In" localSheetId="25" hidden="1">#REF!</definedName>
    <definedName name="_MatInverse_In" localSheetId="35" hidden="1">#REF!</definedName>
    <definedName name="_MatInverse_In" localSheetId="33" hidden="1">#REF!</definedName>
    <definedName name="_MatInverse_In" hidden="1">#REF!</definedName>
    <definedName name="_MatInverse_Out" localSheetId="26" hidden="1">#REF!</definedName>
    <definedName name="_MatInverse_Out" localSheetId="25" hidden="1">#REF!</definedName>
    <definedName name="_MatInverse_Out" localSheetId="35" hidden="1">#REF!</definedName>
    <definedName name="_MatInverse_Out" localSheetId="33" hidden="1">#REF!</definedName>
    <definedName name="_MatInverse_Out" hidden="1">#REF!</definedName>
    <definedName name="_Mei97" localSheetId="26">#REF!</definedName>
    <definedName name="_Mei97" localSheetId="25">#REF!</definedName>
    <definedName name="_Mei97" localSheetId="35">#REF!</definedName>
    <definedName name="_Mei97" localSheetId="33">#REF!</definedName>
    <definedName name="_Mei97">#REF!</definedName>
    <definedName name="_mp2"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6">#REF!</definedName>
    <definedName name="_NO1" localSheetId="25">#REF!</definedName>
    <definedName name="_NO1" localSheetId="35">#REF!</definedName>
    <definedName name="_NO1" localSheetId="33">#REF!</definedName>
    <definedName name="_NO1">#REF!</definedName>
    <definedName name="_NO2" localSheetId="26">#REF!</definedName>
    <definedName name="_NO2" localSheetId="25">#REF!</definedName>
    <definedName name="_NO2" localSheetId="35">#REF!</definedName>
    <definedName name="_NO2" localSheetId="33">#REF!</definedName>
    <definedName name="_NO2">#REF!</definedName>
    <definedName name="_NO3" localSheetId="26">#REF!</definedName>
    <definedName name="_NO3" localSheetId="25">#REF!</definedName>
    <definedName name="_NO3" localSheetId="35">#REF!</definedName>
    <definedName name="_NO3" localSheetId="33">#REF!</definedName>
    <definedName name="_NO3">#REF!</definedName>
    <definedName name="_NO4" localSheetId="26">#REF!</definedName>
    <definedName name="_NO4" localSheetId="25">#REF!</definedName>
    <definedName name="_NO4" localSheetId="35">#REF!</definedName>
    <definedName name="_NO4" localSheetId="33">#REF!</definedName>
    <definedName name="_NO4">#REF!</definedName>
    <definedName name="_NO5" localSheetId="26">#REF!</definedName>
    <definedName name="_NO5" localSheetId="25">#REF!</definedName>
    <definedName name="_NO5" localSheetId="35">#REF!</definedName>
    <definedName name="_NO5" localSheetId="33">#REF!</definedName>
    <definedName name="_NO5">#REF!</definedName>
    <definedName name="_NO6" localSheetId="26">#REF!</definedName>
    <definedName name="_NO6" localSheetId="25">#REF!</definedName>
    <definedName name="_NO6" localSheetId="35">#REF!</definedName>
    <definedName name="_NO6" localSheetId="33">#REF!</definedName>
    <definedName name="_NO6">#REF!</definedName>
    <definedName name="_NO7" localSheetId="26">#REF!</definedName>
    <definedName name="_NO7" localSheetId="25">#REF!</definedName>
    <definedName name="_NO7" localSheetId="35">#REF!</definedName>
    <definedName name="_NO7" localSheetId="33">#REF!</definedName>
    <definedName name="_NO7">#REF!</definedName>
    <definedName name="_Order1" hidden="1">255</definedName>
    <definedName name="_Order2" hidden="1">255</definedName>
    <definedName name="_PB01" localSheetId="26">#REF!</definedName>
    <definedName name="_PB01" localSheetId="25">#REF!</definedName>
    <definedName name="_PB01" localSheetId="35">#REF!</definedName>
    <definedName name="_PB01" localSheetId="33">#REF!</definedName>
    <definedName name="_PB01" localSheetId="36">#REF!</definedName>
    <definedName name="_PB01">#REF!</definedName>
    <definedName name="_PB02" localSheetId="26">#REF!</definedName>
    <definedName name="_PB02" localSheetId="25">#REF!</definedName>
    <definedName name="_PB02" localSheetId="35">#REF!</definedName>
    <definedName name="_PB02" localSheetId="33">#REF!</definedName>
    <definedName name="_PB02" localSheetId="36">#REF!</definedName>
    <definedName name="_PB02">#REF!</definedName>
    <definedName name="_PB04" localSheetId="26">#REF!</definedName>
    <definedName name="_PB04" localSheetId="25">#REF!</definedName>
    <definedName name="_PB04" localSheetId="35">#REF!</definedName>
    <definedName name="_PB04" localSheetId="33">#REF!</definedName>
    <definedName name="_PB04" localSheetId="36">#REF!</definedName>
    <definedName name="_PB04">#REF!</definedName>
    <definedName name="_PC01" localSheetId="26">#REF!</definedName>
    <definedName name="_PC01" localSheetId="25">#REF!</definedName>
    <definedName name="_PC01" localSheetId="35">#REF!</definedName>
    <definedName name="_PC01" localSheetId="33">#REF!</definedName>
    <definedName name="_PC01" localSheetId="36">#REF!</definedName>
    <definedName name="_PC01">#REF!</definedName>
    <definedName name="_PC02" localSheetId="26">#REF!</definedName>
    <definedName name="_PC02" localSheetId="25">#REF!</definedName>
    <definedName name="_PC02" localSheetId="35">#REF!</definedName>
    <definedName name="_PC02" localSheetId="33">#REF!</definedName>
    <definedName name="_PC02" localSheetId="36">#REF!</definedName>
    <definedName name="_PC02">#REF!</definedName>
    <definedName name="_PC03" localSheetId="26">#REF!</definedName>
    <definedName name="_PC03" localSheetId="25">#REF!</definedName>
    <definedName name="_PC03" localSheetId="35">#REF!</definedName>
    <definedName name="_PC03" localSheetId="33">#REF!</definedName>
    <definedName name="_PC03" localSheetId="36">#REF!</definedName>
    <definedName name="_PC03">#REF!</definedName>
    <definedName name="_PL2"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localSheetId="28" hidden="1">{#N/A,#N/A,FALSE,"Report Data";#N/A,#N/A,FALSE,"COMP POOL";#N/A,#N/A,FALSE,"COMP POOL NB95";#N/A,#N/A,FALSE,"COMP POOL NB94"}</definedName>
    <definedName name="_PL4" hidden="1">{#N/A,#N/A,FALSE,"Report Data";#N/A,#N/A,FALSE,"COMP POOL";#N/A,#N/A,FALSE,"COMP POOL NB95";#N/A,#N/A,FALSE,"COMP POOL NB94"}</definedName>
    <definedName name="_PL4_1" localSheetId="28" hidden="1">{#N/A,#N/A,FALSE,"Report Data";#N/A,#N/A,FALSE,"COMP POOL";#N/A,#N/A,FALSE,"COMP POOL NB95";#N/A,#N/A,FALSE,"COMP POOL NB94"}</definedName>
    <definedName name="_PL4_1" hidden="1">{#N/A,#N/A,FALSE,"Report Data";#N/A,#N/A,FALSE,"COMP POOL";#N/A,#N/A,FALSE,"COMP POOL NB95";#N/A,#N/A,FALSE,"COMP POOL NB94"}</definedName>
    <definedName name="_PL4_1_1" localSheetId="28" hidden="1">{#N/A,#N/A,FALSE,"Report Data";#N/A,#N/A,FALSE,"COMP POOL";#N/A,#N/A,FALSE,"COMP POOL NB95";#N/A,#N/A,FALSE,"COMP POOL NB94"}</definedName>
    <definedName name="_PL4_1_1" hidden="1">{#N/A,#N/A,FALSE,"Report Data";#N/A,#N/A,FALSE,"COMP POOL";#N/A,#N/A,FALSE,"COMP POOL NB95";#N/A,#N/A,FALSE,"COMP POOL NB94"}</definedName>
    <definedName name="_PL5"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6">#REF!</definedName>
    <definedName name="_PZ01" localSheetId="25">#REF!</definedName>
    <definedName name="_PZ01" localSheetId="35">#REF!</definedName>
    <definedName name="_PZ01" localSheetId="33">#REF!</definedName>
    <definedName name="_PZ01" localSheetId="36">#REF!</definedName>
    <definedName name="_PZ01">#REF!</definedName>
    <definedName name="_PZ02" localSheetId="26">#REF!</definedName>
    <definedName name="_PZ02" localSheetId="25">#REF!</definedName>
    <definedName name="_PZ02" localSheetId="35">#REF!</definedName>
    <definedName name="_PZ02" localSheetId="33">#REF!</definedName>
    <definedName name="_PZ02" localSheetId="36">#REF!</definedName>
    <definedName name="_PZ02">#REF!</definedName>
    <definedName name="_PZ03" localSheetId="26">#REF!</definedName>
    <definedName name="_PZ03" localSheetId="25">#REF!</definedName>
    <definedName name="_PZ03" localSheetId="35">#REF!</definedName>
    <definedName name="_PZ03" localSheetId="33">#REF!</definedName>
    <definedName name="_PZ03" localSheetId="36">#REF!</definedName>
    <definedName name="_PZ03">#REF!</definedName>
    <definedName name="_PZ04" localSheetId="26">#REF!</definedName>
    <definedName name="_PZ04" localSheetId="25">#REF!</definedName>
    <definedName name="_PZ04" localSheetId="35">#REF!</definedName>
    <definedName name="_PZ04" localSheetId="33">#REF!</definedName>
    <definedName name="_PZ04" localSheetId="36">#REF!</definedName>
    <definedName name="_PZ04">#REF!</definedName>
    <definedName name="_PZ05" localSheetId="26">#REF!</definedName>
    <definedName name="_PZ05" localSheetId="25">#REF!</definedName>
    <definedName name="_PZ05" localSheetId="35">#REF!</definedName>
    <definedName name="_PZ05" localSheetId="33">#REF!</definedName>
    <definedName name="_PZ05" localSheetId="36">#REF!</definedName>
    <definedName name="_PZ05">#REF!</definedName>
    <definedName name="_PZ06" localSheetId="26">#REF!</definedName>
    <definedName name="_PZ06" localSheetId="25">#REF!</definedName>
    <definedName name="_PZ06" localSheetId="35">#REF!</definedName>
    <definedName name="_PZ06" localSheetId="33">#REF!</definedName>
    <definedName name="_PZ06" localSheetId="36">#REF!</definedName>
    <definedName name="_PZ06">#REF!</definedName>
    <definedName name="_RAN1">#N/A</definedName>
    <definedName name="_Regression_Out" localSheetId="26" hidden="1">#REF!</definedName>
    <definedName name="_Regression_Out" localSheetId="25" hidden="1">#REF!</definedName>
    <definedName name="_Regression_Out" localSheetId="35" hidden="1">#REF!</definedName>
    <definedName name="_Regression_Out" localSheetId="33" hidden="1">#REF!</definedName>
    <definedName name="_Regression_Out" hidden="1">#REF!</definedName>
    <definedName name="_Regression_X" localSheetId="26" hidden="1">#REF!</definedName>
    <definedName name="_Regression_X" localSheetId="25" hidden="1">#REF!</definedName>
    <definedName name="_Regression_X" localSheetId="35" hidden="1">#REF!</definedName>
    <definedName name="_Regression_X" localSheetId="33" hidden="1">#REF!</definedName>
    <definedName name="_Regression_X" hidden="1">#REF!</definedName>
    <definedName name="_Regression_Y" localSheetId="26" hidden="1">#REF!</definedName>
    <definedName name="_Regression_Y" localSheetId="25" hidden="1">#REF!</definedName>
    <definedName name="_Regression_Y" localSheetId="35" hidden="1">#REF!</definedName>
    <definedName name="_Regression_Y" localSheetId="33" hidden="1">#REF!</definedName>
    <definedName name="_Regression_Y" hidden="1">#REF!</definedName>
    <definedName name="_Sort" localSheetId="26" hidden="1">#REF!</definedName>
    <definedName name="_Sort" localSheetId="25" hidden="1">#REF!</definedName>
    <definedName name="_Sort" localSheetId="35" hidden="1">#REF!</definedName>
    <definedName name="_Sort" localSheetId="33" hidden="1">#REF!</definedName>
    <definedName name="_Sort" localSheetId="36" hidden="1">#REF!</definedName>
    <definedName name="_Sort" hidden="1">#REF!</definedName>
    <definedName name="_Table1_In1" localSheetId="26" hidden="1">#REF!</definedName>
    <definedName name="_Table1_In1" localSheetId="25" hidden="1">#REF!</definedName>
    <definedName name="_Table1_In1" localSheetId="35" hidden="1">#REF!</definedName>
    <definedName name="_Table1_In1" localSheetId="33" hidden="1">#REF!</definedName>
    <definedName name="_Table1_In1" localSheetId="36" hidden="1">#REF!</definedName>
    <definedName name="_Table1_In1" hidden="1">#REF!</definedName>
    <definedName name="_Table1_Out" localSheetId="26" hidden="1">#REF!</definedName>
    <definedName name="_Table1_Out" localSheetId="25" hidden="1">#REF!</definedName>
    <definedName name="_Table1_Out" localSheetId="35" hidden="1">#REF!</definedName>
    <definedName name="_Table1_Out" localSheetId="33" hidden="1">#REF!</definedName>
    <definedName name="_Table1_Out" localSheetId="36" hidden="1">#REF!</definedName>
    <definedName name="_Table1_Out" hidden="1">#REF!</definedName>
    <definedName name="_Table2_Out" localSheetId="26" hidden="1">#REF!</definedName>
    <definedName name="_Table2_Out" localSheetId="25" hidden="1">#REF!</definedName>
    <definedName name="_Table2_Out" localSheetId="35" hidden="1">#REF!</definedName>
    <definedName name="_Table2_Out" localSheetId="33" hidden="1">#REF!</definedName>
    <definedName name="_Table2_Out" localSheetId="36" hidden="1">#REF!</definedName>
    <definedName name="_Table2_Out" hidden="1">#REF!</definedName>
    <definedName name="_Table3_In2" localSheetId="26" hidden="1">#REF!</definedName>
    <definedName name="_Table3_In2" localSheetId="25" hidden="1">#REF!</definedName>
    <definedName name="_Table3_In2" localSheetId="35" hidden="1">#REF!</definedName>
    <definedName name="_Table3_In2" localSheetId="33" hidden="1">#REF!</definedName>
    <definedName name="_Table3_In2" hidden="1">#REF!</definedName>
    <definedName name="_tb2" localSheetId="26">#REF!</definedName>
    <definedName name="_tb2" localSheetId="25">#REF!</definedName>
    <definedName name="_tb2" localSheetId="35">#REF!</definedName>
    <definedName name="_tb2" localSheetId="33">#REF!</definedName>
    <definedName name="_tb2">#REF!</definedName>
    <definedName name="_TBC95" localSheetId="28" hidden="1">{#N/A,#N/A,FALSE,"Co_BalSht";#N/A,#N/A,FALSE,"Co_IncStmt";#N/A,#N/A,FALSE,"Cons_BalSht";#N/A,#N/A,FALSE,"Cons_IncStmt";#N/A,#N/A,FALSE,"Cashflow"}</definedName>
    <definedName name="_TBC95" hidden="1">{#N/A,#N/A,FALSE,"Co_BalSht";#N/A,#N/A,FALSE,"Co_IncStmt";#N/A,#N/A,FALSE,"Cons_BalSht";#N/A,#N/A,FALSE,"Cons_IncStmt";#N/A,#N/A,FALSE,"Cashflow"}</definedName>
    <definedName name="_TW5" localSheetId="26">#REF!</definedName>
    <definedName name="_TW5" localSheetId="25">#REF!</definedName>
    <definedName name="_TW5" localSheetId="35">#REF!</definedName>
    <definedName name="_TW5" localSheetId="33">#REF!</definedName>
    <definedName name="_TW5">#REF!</definedName>
    <definedName name="_ver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localSheetId="28" hidden="1">{#N/A,#N/A,FALSE,"Co_BalSht";#N/A,#N/A,FALSE,"Co_IncStmt";#N/A,#N/A,FALSE,"Cons_BalSht";#N/A,#N/A,FALSE,"Cons_IncStmt";#N/A,#N/A,FALSE,"Cashflow"}</definedName>
    <definedName name="_wrn1" hidden="1">{#N/A,#N/A,FALSE,"Co_BalSht";#N/A,#N/A,FALSE,"Co_IncStmt";#N/A,#N/A,FALSE,"Cons_BalSht";#N/A,#N/A,FALSE,"Cons_IncStmt";#N/A,#N/A,FALSE,"Cashflow"}</definedName>
    <definedName name="_wrn2" localSheetId="28" hidden="1">{#N/A,#N/A,FALSE,"Virgin Flightdeck"}</definedName>
    <definedName name="_wrn2" hidden="1">{#N/A,#N/A,FALSE,"Virgin Flightdeck"}</definedName>
    <definedName name="_wrn2_1" localSheetId="28" hidden="1">{#N/A,#N/A,FALSE,"Virgin Flightdeck"}</definedName>
    <definedName name="_wrn2_1" hidden="1">{#N/A,#N/A,FALSE,"Virgin Flightdeck"}</definedName>
    <definedName name="_wrn2_1_1" localSheetId="28" hidden="1">{#N/A,#N/A,FALSE,"Virgin Flightdeck"}</definedName>
    <definedName name="_wrn2_1_1" hidden="1">{#N/A,#N/A,FALSE,"Virgin Flightdeck"}</definedName>
    <definedName name="_wrn3" localSheetId="28" hidden="1">{#N/A,#N/A,FALSE,"Virgin Flightdeck"}</definedName>
    <definedName name="_wrn3" hidden="1">{#N/A,#N/A,FALSE,"Virgin Flightdeck"}</definedName>
    <definedName name="_wrn3_1" localSheetId="28" hidden="1">{#N/A,#N/A,FALSE,"Virgin Flightdeck"}</definedName>
    <definedName name="_wrn3_1" hidden="1">{#N/A,#N/A,FALSE,"Virgin Flightdeck"}</definedName>
    <definedName name="_wrn3_1_1" localSheetId="28" hidden="1">{#N/A,#N/A,FALSE,"Virgin Flightdeck"}</definedName>
    <definedName name="_wrn3_1_1" hidden="1">{#N/A,#N/A,FALSE,"Virgin Flightdeck"}</definedName>
    <definedName name="_wrn4" localSheetId="28" hidden="1">{#N/A,#N/A,FALSE,"Virgin Flightdeck"}</definedName>
    <definedName name="_wrn4" hidden="1">{#N/A,#N/A,FALSE,"Virgin Flightdeck"}</definedName>
    <definedName name="_wrn4_1" localSheetId="28" hidden="1">{#N/A,#N/A,FALSE,"Virgin Flightdeck"}</definedName>
    <definedName name="_wrn4_1" hidden="1">{#N/A,#N/A,FALSE,"Virgin Flightdeck"}</definedName>
    <definedName name="_wrn4_1_1" localSheetId="28" hidden="1">{#N/A,#N/A,FALSE,"Virgin Flightdeck"}</definedName>
    <definedName name="_wrn4_1_1" hidden="1">{#N/A,#N/A,FALSE,"Virgin Flightdeck"}</definedName>
    <definedName name="a" localSheetId="28" hidden="1">{"histincome",#N/A,FALSE,"hyfins";"closing balance",#N/A,FALSE,"hyfins"}</definedName>
    <definedName name="a" hidden="1">{"histincome",#N/A,FALSE,"hyfins";"closing balance",#N/A,FALSE,"hyfins"}</definedName>
    <definedName name="a." localSheetId="28" hidden="1">{#N/A,#N/A,TRUE,"KEY DATA";#N/A,#N/A,TRUE,"KEY DATA Base Case";#N/A,#N/A,TRUE,"JULY";#N/A,#N/A,TRUE,"AUG";#N/A,#N/A,TRUE,"SEPT";#N/A,#N/A,TRUE,"3Q"}</definedName>
    <definedName name="a." hidden="1">{#N/A,#N/A,TRUE,"KEY DATA";#N/A,#N/A,TRUE,"KEY DATA Base Case";#N/A,#N/A,TRUE,"JULY";#N/A,#N/A,TRUE,"AUG";#N/A,#N/A,TRUE,"SEPT";#N/A,#N/A,TRUE,"3Q"}</definedName>
    <definedName name="A.." localSheetId="28" hidden="1">{#N/A,#N/A,TRUE,"KEY DATA";#N/A,#N/A,TRUE,"KEY DATA Base Case";#N/A,#N/A,TRUE,"JULY";#N/A,#N/A,TRUE,"AUG";#N/A,#N/A,TRUE,"SEPT";#N/A,#N/A,TRUE,"3Q"}</definedName>
    <definedName name="A.." hidden="1">{#N/A,#N/A,TRUE,"KEY DATA";#N/A,#N/A,TRUE,"KEY DATA Base Case";#N/A,#N/A,TRUE,"JULY";#N/A,#N/A,TRUE,"AUG";#N/A,#N/A,TRUE,"SEPT";#N/A,#N/A,TRUE,"3Q"}</definedName>
    <definedName name="A.._1" localSheetId="28" hidden="1">{#N/A,#N/A,TRUE,"KEY DATA";#N/A,#N/A,TRUE,"KEY DATA Base Case";#N/A,#N/A,TRUE,"JULY";#N/A,#N/A,TRUE,"AUG";#N/A,#N/A,TRUE,"SEPT";#N/A,#N/A,TRUE,"3Q"}</definedName>
    <definedName name="A.._1" hidden="1">{#N/A,#N/A,TRUE,"KEY DATA";#N/A,#N/A,TRUE,"KEY DATA Base Case";#N/A,#N/A,TRUE,"JULY";#N/A,#N/A,TRUE,"AUG";#N/A,#N/A,TRUE,"SEPT";#N/A,#N/A,TRUE,"3Q"}</definedName>
    <definedName name="A.._1_1" localSheetId="28" hidden="1">{#N/A,#N/A,TRUE,"KEY DATA";#N/A,#N/A,TRUE,"KEY DATA Base Case";#N/A,#N/A,TRUE,"JULY";#N/A,#N/A,TRUE,"AUG";#N/A,#N/A,TRUE,"SEPT";#N/A,#N/A,TRUE,"3Q"}</definedName>
    <definedName name="A.._1_1" hidden="1">{#N/A,#N/A,TRUE,"KEY DATA";#N/A,#N/A,TRUE,"KEY DATA Base Case";#N/A,#N/A,TRUE,"JULY";#N/A,#N/A,TRUE,"AUG";#N/A,#N/A,TRUE,"SEPT";#N/A,#N/A,TRUE,"3Q"}</definedName>
    <definedName name="a._1" localSheetId="28" hidden="1">{#N/A,#N/A,TRUE,"KEY DATA";#N/A,#N/A,TRUE,"KEY DATA Base Case";#N/A,#N/A,TRUE,"JULY";#N/A,#N/A,TRUE,"AUG";#N/A,#N/A,TRUE,"SEPT";#N/A,#N/A,TRUE,"3Q"}</definedName>
    <definedName name="a._1" hidden="1">{#N/A,#N/A,TRUE,"KEY DATA";#N/A,#N/A,TRUE,"KEY DATA Base Case";#N/A,#N/A,TRUE,"JULY";#N/A,#N/A,TRUE,"AUG";#N/A,#N/A,TRUE,"SEPT";#N/A,#N/A,TRUE,"3Q"}</definedName>
    <definedName name="a._1_1" localSheetId="28" hidden="1">{#N/A,#N/A,TRUE,"KEY DATA";#N/A,#N/A,TRUE,"KEY DATA Base Case";#N/A,#N/A,TRUE,"JULY";#N/A,#N/A,TRUE,"AUG";#N/A,#N/A,TRUE,"SEPT";#N/A,#N/A,TRUE,"3Q"}</definedName>
    <definedName name="a._1_1" hidden="1">{#N/A,#N/A,TRUE,"KEY DATA";#N/A,#N/A,TRUE,"KEY DATA Base Case";#N/A,#N/A,TRUE,"JULY";#N/A,#N/A,TRUE,"AUG";#N/A,#N/A,TRUE,"SEPT";#N/A,#N/A,TRUE,"3Q"}</definedName>
    <definedName name="a_1" localSheetId="28" hidden="1">{"histincome",#N/A,FALSE,"hyfins";"closing balance",#N/A,FALSE,"hyfins"}</definedName>
    <definedName name="a_1" hidden="1">{"histincome",#N/A,FALSE,"hyfins";"closing balance",#N/A,FALSE,"hyfins"}</definedName>
    <definedName name="a_1_1" localSheetId="28" hidden="1">{"histincome",#N/A,FALSE,"hyfins";"closing balance",#N/A,FALSE,"hyfins"}</definedName>
    <definedName name="a_1_1" hidden="1">{"histincome",#N/A,FALSE,"hyfins";"closing balance",#N/A,FALSE,"hyfins"}</definedName>
    <definedName name="A_GFA" localSheetId="26">#REF!</definedName>
    <definedName name="A_GFA" localSheetId="25">#REF!</definedName>
    <definedName name="A_GFA" localSheetId="35">#REF!</definedName>
    <definedName name="A_GFA" localSheetId="33">#REF!</definedName>
    <definedName name="A_GFA">#REF!</definedName>
    <definedName name="a0" localSheetId="26">#REF!</definedName>
    <definedName name="a0" localSheetId="25">#REF!</definedName>
    <definedName name="a0" localSheetId="35">#REF!</definedName>
    <definedName name="a0" localSheetId="33">#REF!</definedName>
    <definedName name="a0">#REF!</definedName>
    <definedName name="a77777777777777777" localSheetId="26">#REF!</definedName>
    <definedName name="a77777777777777777" localSheetId="25">#REF!</definedName>
    <definedName name="a77777777777777777" localSheetId="35">#REF!</definedName>
    <definedName name="a77777777777777777" localSheetId="33">#REF!</definedName>
    <definedName name="a77777777777777777">#REF!</definedName>
    <definedName name="aa" localSheetId="28" hidden="1">{#N/A,#N/A,TRUE,"KEY DATA";#N/A,#N/A,TRUE,"KEY DATA Base Case";#N/A,#N/A,TRUE,"JULY";#N/A,#N/A,TRUE,"AUG";#N/A,#N/A,TRUE,"SEPT";#N/A,#N/A,TRUE,"3Q"}</definedName>
    <definedName name="aa" hidden="1">{#N/A,#N/A,TRUE,"KEY DATA";#N/A,#N/A,TRUE,"KEY DATA Base Case";#N/A,#N/A,TRUE,"JULY";#N/A,#N/A,TRUE,"AUG";#N/A,#N/A,TRUE,"SEPT";#N/A,#N/A,TRUE,"3Q"}</definedName>
    <definedName name="aa_1" localSheetId="28" hidden="1">{#N/A,#N/A,TRUE,"KEY DATA";#N/A,#N/A,TRUE,"KEY DATA Base Case";#N/A,#N/A,TRUE,"JULY";#N/A,#N/A,TRUE,"AUG";#N/A,#N/A,TRUE,"SEPT";#N/A,#N/A,TRUE,"3Q"}</definedName>
    <definedName name="aa_1" hidden="1">{#N/A,#N/A,TRUE,"KEY DATA";#N/A,#N/A,TRUE,"KEY DATA Base Case";#N/A,#N/A,TRUE,"JULY";#N/A,#N/A,TRUE,"AUG";#N/A,#N/A,TRUE,"SEPT";#N/A,#N/A,TRUE,"3Q"}</definedName>
    <definedName name="aa_1_1" localSheetId="28" hidden="1">{#N/A,#N/A,TRUE,"KEY DATA";#N/A,#N/A,TRUE,"KEY DATA Base Case";#N/A,#N/A,TRUE,"JULY";#N/A,#N/A,TRUE,"AUG";#N/A,#N/A,TRUE,"SEPT";#N/A,#N/A,TRUE,"3Q"}</definedName>
    <definedName name="aa_1_1" hidden="1">{#N/A,#N/A,TRUE,"KEY DATA";#N/A,#N/A,TRUE,"KEY DATA Base Case";#N/A,#N/A,TRUE,"JULY";#N/A,#N/A,TRUE,"AUG";#N/A,#N/A,TRUE,"SEPT";#N/A,#N/A,TRUE,"3Q"}</definedName>
    <definedName name="aaa" localSheetId="28" hidden="1">{#N/A,#N/A,TRUE,"Falcons_Standalone";#N/A,#N/A,TRUE,"Target_Input";#N/A,#N/A,TRUE,"Target_Calendarized"}</definedName>
    <definedName name="aaa" hidden="1">{#N/A,#N/A,TRUE,"Falcons_Standalone";#N/A,#N/A,TRUE,"Target_Input";#N/A,#N/A,TRUE,"Target_Calendarized"}</definedName>
    <definedName name="aaa." localSheetId="28" hidden="1">{#N/A,#N/A,TRUE,"KEY DATA";#N/A,#N/A,TRUE,"KEY DATA Base Case";#N/A,#N/A,TRUE,"JULY";#N/A,#N/A,TRUE,"AUG";#N/A,#N/A,TRUE,"SEPT";#N/A,#N/A,TRUE,"3Q"}</definedName>
    <definedName name="aaa." hidden="1">{#N/A,#N/A,TRUE,"KEY DATA";#N/A,#N/A,TRUE,"KEY DATA Base Case";#N/A,#N/A,TRUE,"JULY";#N/A,#N/A,TRUE,"AUG";#N/A,#N/A,TRUE,"SEPT";#N/A,#N/A,TRUE,"3Q"}</definedName>
    <definedName name="aaa._1" localSheetId="28" hidden="1">{#N/A,#N/A,TRUE,"KEY DATA";#N/A,#N/A,TRUE,"KEY DATA Base Case";#N/A,#N/A,TRUE,"JULY";#N/A,#N/A,TRUE,"AUG";#N/A,#N/A,TRUE,"SEPT";#N/A,#N/A,TRUE,"3Q"}</definedName>
    <definedName name="aaa._1" hidden="1">{#N/A,#N/A,TRUE,"KEY DATA";#N/A,#N/A,TRUE,"KEY DATA Base Case";#N/A,#N/A,TRUE,"JULY";#N/A,#N/A,TRUE,"AUG";#N/A,#N/A,TRUE,"SEPT";#N/A,#N/A,TRUE,"3Q"}</definedName>
    <definedName name="aaa._1_1" localSheetId="28" hidden="1">{#N/A,#N/A,TRUE,"KEY DATA";#N/A,#N/A,TRUE,"KEY DATA Base Case";#N/A,#N/A,TRUE,"JULY";#N/A,#N/A,TRUE,"AUG";#N/A,#N/A,TRUE,"SEPT";#N/A,#N/A,TRUE,"3Q"}</definedName>
    <definedName name="aaa._1_1" hidden="1">{#N/A,#N/A,TRUE,"KEY DATA";#N/A,#N/A,TRUE,"KEY DATA Base Case";#N/A,#N/A,TRUE,"JULY";#N/A,#N/A,TRUE,"AUG";#N/A,#N/A,TRUE,"SEPT";#N/A,#N/A,TRUE,"3Q"}</definedName>
    <definedName name="aaa_1" localSheetId="28" hidden="1">{#N/A,#N/A,TRUE,"Falcons_Standalone";#N/A,#N/A,TRUE,"Target_Input";#N/A,#N/A,TRUE,"Target_Calendarized"}</definedName>
    <definedName name="aaa_1" hidden="1">{#N/A,#N/A,TRUE,"Falcons_Standalone";#N/A,#N/A,TRUE,"Target_Input";#N/A,#N/A,TRUE,"Target_Calendarized"}</definedName>
    <definedName name="aaa_1_1" localSheetId="28"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6">#REF!</definedName>
    <definedName name="aaaaaaa" localSheetId="25">#REF!</definedName>
    <definedName name="aaaaaaa" localSheetId="35">#REF!</definedName>
    <definedName name="aaaaaaa" localSheetId="33">#REF!</definedName>
    <definedName name="aaaaaaa">#REF!</definedName>
    <definedName name="aaaasdf" localSheetId="28" hidden="1">{#N/A,#N/A,TRUE,"GEM Total";#N/A,#N/A,TRUE,"Final Assembly";#N/A,#N/A,TRUE,"Cleaning";#N/A,#N/A,TRUE,"Schooping,Clearing";#N/A,#N/A,TRUE,"Winding"}</definedName>
    <definedName name="aaaasdf" hidden="1">{#N/A,#N/A,TRUE,"GEM Total";#N/A,#N/A,TRUE,"Final Assembly";#N/A,#N/A,TRUE,"Cleaning";#N/A,#N/A,TRUE,"Schooping,Clearing";#N/A,#N/A,TRUE,"Winding"}</definedName>
    <definedName name="aaaasdf_1" localSheetId="28"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localSheetId="28"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localSheetId="28" hidden="1">{#N/A,#N/A,FALSE,"Projections";#N/A,#N/A,FALSE,"Multiples Valuation";#N/A,#N/A,FALSE,"LBO";#N/A,#N/A,FALSE,"Multiples_Sensitivity";#N/A,#N/A,FALSE,"Summary"}</definedName>
    <definedName name="aabb" hidden="1">{#N/A,#N/A,FALSE,"Projections";#N/A,#N/A,FALSE,"Multiples Valuation";#N/A,#N/A,FALSE,"LBO";#N/A,#N/A,FALSE,"Multiples_Sensitivity";#N/A,#N/A,FALSE,"Summary"}</definedName>
    <definedName name="aabb_1" localSheetId="28"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localSheetId="28"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8">[0]!JEPUMS*!H14:XEY1048565</definedName>
    <definedName name="AB" localSheetId="26">[0]!JEPUMS*!H14:XEY1048565</definedName>
    <definedName name="AB" localSheetId="25">[0]!JEPUMS*!H14:XEY1048565</definedName>
    <definedName name="AB" localSheetId="35">[0]!JEPUMS*!H14:XEY1048565</definedName>
    <definedName name="AB" localSheetId="33">[0]!JEPUMS*!H14:XEY1048565</definedName>
    <definedName name="AB">[0]!JEPUMS*!H14:XEY1048565</definedName>
    <definedName name="abc" localSheetId="28" hidden="1">{"histincome",#N/A,FALSE,"hyfins";"closing balance",#N/A,FALSE,"hyfins"}</definedName>
    <definedName name="abc" hidden="1">{"histincome",#N/A,FALSE,"hyfins";"closing balance",#N/A,FALSE,"hyfins"}</definedName>
    <definedName name="abc.xls" localSheetId="28" hidden="1">{"toptrial",#N/A,TRUE,"toptrial";"adjustment",#N/A,TRUE,"toptrial";"voucher",#N/A,TRUE,"toptrial"}</definedName>
    <definedName name="abc.xls" hidden="1">{"toptrial",#N/A,TRUE,"toptrial";"adjustment",#N/A,TRUE,"toptrial";"voucher",#N/A,TRUE,"toptrial"}</definedName>
    <definedName name="abc_1" localSheetId="28" hidden="1">{"histincome",#N/A,FALSE,"hyfins";"closing balance",#N/A,FALSE,"hyfins"}</definedName>
    <definedName name="abc_1" hidden="1">{"histincome",#N/A,FALSE,"hyfins";"closing balance",#N/A,FALSE,"hyfins"}</definedName>
    <definedName name="abc_1_1" localSheetId="28" hidden="1">{"histincome",#N/A,FALSE,"hyfins";"closing balance",#N/A,FALSE,"hyfins"}</definedName>
    <definedName name="abc_1_1" hidden="1">{"histincome",#N/A,FALSE,"hyfins";"closing balance",#N/A,FALSE,"hyfins"}</definedName>
    <definedName name="abcbccb" localSheetId="26">#REF!</definedName>
    <definedName name="abcbccb" localSheetId="25">#REF!</definedName>
    <definedName name="abcbccb" localSheetId="35">#REF!</definedName>
    <definedName name="abcbccb" localSheetId="33">#REF!</definedName>
    <definedName name="abcbccb">#REF!</definedName>
    <definedName name="abcd" localSheetId="28" hidden="1">{"histincome",#N/A,FALSE,"hyfins";"closing balance",#N/A,FALSE,"hyfins"}</definedName>
    <definedName name="abcd" hidden="1">{"histincome",#N/A,FALSE,"hyfins";"closing balance",#N/A,FALSE,"hyfins"}</definedName>
    <definedName name="abcd_1" localSheetId="28" hidden="1">{"histincome",#N/A,FALSE,"hyfins";"closing balance",#N/A,FALSE,"hyfins"}</definedName>
    <definedName name="abcd_1" hidden="1">{"histincome",#N/A,FALSE,"hyfins";"closing balance",#N/A,FALSE,"hyfins"}</definedName>
    <definedName name="abcd_1_1" localSheetId="28" hidden="1">{"histincome",#N/A,FALSE,"hyfins";"closing balance",#N/A,FALSE,"hyfins"}</definedName>
    <definedName name="abcd_1_1" hidden="1">{"histincome",#N/A,FALSE,"hyfins";"closing balance",#N/A,FALSE,"hyfins"}</definedName>
    <definedName name="abdefc.xls" localSheetId="28" hidden="1">{"toptrial",#N/A,TRUE,"toptrial";"adjustment",#N/A,TRUE,"toptrial";"voucher",#N/A,TRUE,"toptrial"}</definedName>
    <definedName name="abdefc.xls" hidden="1">{"toptrial",#N/A,TRUE,"toptrial";"adjustment",#N/A,TRUE,"toptrial";"voucher",#N/A,TRUE,"toptrial"}</definedName>
    <definedName name="abs" localSheetId="26">#REF!</definedName>
    <definedName name="abs" localSheetId="25">#REF!</definedName>
    <definedName name="abs" localSheetId="35">#REF!</definedName>
    <definedName name="abs" localSheetId="33">#REF!</definedName>
    <definedName name="abs">#REF!</definedName>
    <definedName name="AC" localSheetId="26">#REF!</definedName>
    <definedName name="AC" localSheetId="25">#REF!</definedName>
    <definedName name="AC" localSheetId="35">#REF!</definedName>
    <definedName name="AC" localSheetId="33">#REF!</definedName>
    <definedName name="AC">#REF!</definedName>
    <definedName name="AccessDatabase" hidden="1">"Z:\FI\Finance\Liuxj\Export sales\pastdue-e 2004\France 04.mdb"</definedName>
    <definedName name="Accounts" localSheetId="26">#REF!</definedName>
    <definedName name="Accounts" localSheetId="25">#REF!</definedName>
    <definedName name="Accounts" localSheetId="35">#REF!</definedName>
    <definedName name="Accounts" localSheetId="33">#REF!</definedName>
    <definedName name="Accounts">#REF!</definedName>
    <definedName name="ActualColor" localSheetId="26">#REF!</definedName>
    <definedName name="ActualColor" localSheetId="25">#REF!</definedName>
    <definedName name="ActualColor" localSheetId="35">#REF!</definedName>
    <definedName name="ActualColor" localSheetId="33">#REF!</definedName>
    <definedName name="ActualColor" localSheetId="36">#REF!</definedName>
    <definedName name="ActualColor">#REF!</definedName>
    <definedName name="ActualLower" localSheetId="26">#REF!</definedName>
    <definedName name="ActualLower" localSheetId="25">#REF!</definedName>
    <definedName name="ActualLower" localSheetId="35">#REF!</definedName>
    <definedName name="ActualLower" localSheetId="33">#REF!</definedName>
    <definedName name="ActualLower" localSheetId="36">#REF!</definedName>
    <definedName name="ActualLower">#REF!</definedName>
    <definedName name="ActualTotal" localSheetId="26">#REF!</definedName>
    <definedName name="ActualTotal" localSheetId="25">#REF!</definedName>
    <definedName name="ActualTotal" localSheetId="35">#REF!</definedName>
    <definedName name="ActualTotal" localSheetId="33">#REF!</definedName>
    <definedName name="ActualTotal" localSheetId="36">#REF!</definedName>
    <definedName name="ActualTotal">#REF!</definedName>
    <definedName name="ActualTotalDetail" localSheetId="26">#REF!</definedName>
    <definedName name="ActualTotalDetail" localSheetId="25">#REF!</definedName>
    <definedName name="ActualTotalDetail" localSheetId="35">#REF!</definedName>
    <definedName name="ActualTotalDetail" localSheetId="33">#REF!</definedName>
    <definedName name="ActualTotalDetail" localSheetId="36">#REF!</definedName>
    <definedName name="ActualTotalDetail">#REF!</definedName>
    <definedName name="ActualTotalWeighted" localSheetId="26">#REF!</definedName>
    <definedName name="ActualTotalWeighted" localSheetId="25">#REF!</definedName>
    <definedName name="ActualTotalWeighted" localSheetId="35">#REF!</definedName>
    <definedName name="ActualTotalWeighted" localSheetId="33">#REF!</definedName>
    <definedName name="ActualTotalWeighted" localSheetId="36">#REF!</definedName>
    <definedName name="ActualTotalWeighted">#REF!</definedName>
    <definedName name="ActualUpper" localSheetId="26">#REF!</definedName>
    <definedName name="ActualUpper" localSheetId="25">#REF!</definedName>
    <definedName name="ActualUpper" localSheetId="35">#REF!</definedName>
    <definedName name="ActualUpper" localSheetId="33">#REF!</definedName>
    <definedName name="ActualUpper" localSheetId="36">#REF!</definedName>
    <definedName name="ActualUpper">#REF!</definedName>
    <definedName name="ada" localSheetId="28" hidden="1">{#N/A,#N/A,FALSE,"资产负债表";#N/A,#N/A,FALSE,"资产负债表"}</definedName>
    <definedName name="ada" hidden="1">{#N/A,#N/A,FALSE,"资产负债表";#N/A,#N/A,FALSE,"资产负债表"}</definedName>
    <definedName name="adaf" localSheetId="28" hidden="1">{#N/A,#N/A,FALSE,"资产负债表";#N/A,#N/A,FALSE,"资产负债表"}</definedName>
    <definedName name="adaf" hidden="1">{#N/A,#N/A,FALSE,"资产负债表";#N/A,#N/A,FALSE,"资产负债表"}</definedName>
    <definedName name="ADD" localSheetId="26">#REF!</definedName>
    <definedName name="ADD" localSheetId="25">#REF!</definedName>
    <definedName name="ADD" localSheetId="35">#REF!</definedName>
    <definedName name="ADD" localSheetId="33">#REF!</definedName>
    <definedName name="ADD">#REF!</definedName>
    <definedName name="adee" localSheetId="26">#REF!</definedName>
    <definedName name="adee" localSheetId="25">#REF!</definedName>
    <definedName name="adee" localSheetId="35">#REF!</definedName>
    <definedName name="adee" localSheetId="33">#REF!</definedName>
    <definedName name="adee">#REF!</definedName>
    <definedName name="AdjustedITSD" localSheetId="26">#REF!</definedName>
    <definedName name="AdjustedITSD" localSheetId="25">#REF!</definedName>
    <definedName name="AdjustedITSD" localSheetId="35">#REF!</definedName>
    <definedName name="AdjustedITSD" localSheetId="33">#REF!</definedName>
    <definedName name="AdjustedITSD">#REF!</definedName>
    <definedName name="ADMIN" localSheetId="26">#REF!</definedName>
    <definedName name="ADMIN" localSheetId="25">#REF!</definedName>
    <definedName name="ADMIN" localSheetId="35">#REF!</definedName>
    <definedName name="ADMIN" localSheetId="33">#REF!</definedName>
    <definedName name="ADMIN">#REF!</definedName>
    <definedName name="adsas" localSheetId="28" hidden="1">{#N/A,#N/A,FALSE,"Aging Summary";#N/A,#N/A,FALSE,"Ratio Analysis";#N/A,#N/A,FALSE,"Test 120 Day Accts";#N/A,#N/A,FALSE,"Tickmarks"}</definedName>
    <definedName name="adsas" hidden="1">{#N/A,#N/A,FALSE,"Aging Summary";#N/A,#N/A,FALSE,"Ratio Analysis";#N/A,#N/A,FALSE,"Test 120 Day Accts";#N/A,#N/A,FALSE,"Tickmarks"}</definedName>
    <definedName name="ADV" localSheetId="28" hidden="1">{#N/A,#N/A,FALSE,"431"}</definedName>
    <definedName name="ADV" hidden="1">{#N/A,#N/A,FALSE,"431"}</definedName>
    <definedName name="aewr" localSheetId="28" hidden="1">{"mgmt forecast",#N/A,FALSE,"Mgmt Forecast";"dcf table",#N/A,FALSE,"Mgmt Forecast";"sensitivity",#N/A,FALSE,"Mgmt Forecast";"table inputs",#N/A,FALSE,"Mgmt Forecast";"calculations",#N/A,FALSE,"Mgmt Forecast"}</definedName>
    <definedName name="aewr" hidden="1">{"mgmt forecast",#N/A,FALSE,"Mgmt Forecast";"dcf table",#N/A,FALSE,"Mgmt Forecast";"sensitivity",#N/A,FALSE,"Mgmt Forecast";"table inputs",#N/A,FALSE,"Mgmt Forecast";"calculations",#N/A,FALSE,"Mgmt Forecast"}</definedName>
    <definedName name="aewr_1" localSheetId="28"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localSheetId="28"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8">Main.SAPF4Help()</definedName>
    <definedName name="afd" localSheetId="26">Main.SAPF4Help()</definedName>
    <definedName name="afd" localSheetId="25">Main.SAPF4Help()</definedName>
    <definedName name="afd" localSheetId="35">Main.SAPF4Help()</definedName>
    <definedName name="afd" localSheetId="33">Main.SAPF4Help()</definedName>
    <definedName name="afd" localSheetId="36">Main.SAPF4Help()</definedName>
    <definedName name="afd">Main.SAPF4Help()</definedName>
    <definedName name="afhai" localSheetId="28" hidden="1">{#N/A,#N/A,FALSE,"资产负债表";#N/A,#N/A,FALSE,"资产负债表"}</definedName>
    <definedName name="afhai" hidden="1">{#N/A,#N/A,FALSE,"资产负债表";#N/A,#N/A,FALSE,"资产负债表"}</definedName>
    <definedName name="afsdfd" localSheetId="28" hidden="1">{"HOMEPAGE",#N/A,FALSE,"HOME";"Report1_Q1",#N/A,FALSE,"REPORT1"}</definedName>
    <definedName name="afsdfd" hidden="1">{"HOMEPAGE",#N/A,FALSE,"HOME";"Report1_Q1",#N/A,FALSE,"REPORT1"}</definedName>
    <definedName name="agfagagaga" localSheetId="26" hidden="1">#REF!</definedName>
    <definedName name="agfagagaga" localSheetId="25" hidden="1">#REF!</definedName>
    <definedName name="agfagagaga" localSheetId="35" hidden="1">#REF!</definedName>
    <definedName name="agfagagaga" localSheetId="33" hidden="1">#REF!</definedName>
    <definedName name="agfagagaga" localSheetId="36" hidden="1">#REF!</definedName>
    <definedName name="agfagagaga" hidden="1">#REF!</definedName>
    <definedName name="ahhah" localSheetId="26">#REF!</definedName>
    <definedName name="ahhah" localSheetId="25">#REF!</definedName>
    <definedName name="ahhah" localSheetId="35">#REF!</definedName>
    <definedName name="ahhah" localSheetId="33">#REF!</definedName>
    <definedName name="ahhah">#REF!</definedName>
    <definedName name="ai" localSheetId="26">#REF!</definedName>
    <definedName name="ai" localSheetId="25">#REF!</definedName>
    <definedName name="ai" localSheetId="35">#REF!</definedName>
    <definedName name="ai" localSheetId="33">#REF!</definedName>
    <definedName name="ai">#REF!</definedName>
    <definedName name="aidhaif" localSheetId="28" hidden="1">{#N/A,#N/A,FALSE,"资产负债表";#N/A,#N/A,FALSE,"资产负债表"}</definedName>
    <definedName name="aidhaif" hidden="1">{#N/A,#N/A,FALSE,"资产负债表";#N/A,#N/A,FALSE,"资产负债表"}</definedName>
    <definedName name="AKKKKKKIIKK" localSheetId="26">#REF!</definedName>
    <definedName name="AKKKKKKIIKK" localSheetId="25">#REF!</definedName>
    <definedName name="AKKKKKKIIKK" localSheetId="35">#REF!</definedName>
    <definedName name="AKKKKKKIIKK" localSheetId="33">#REF!</definedName>
    <definedName name="AKKKKKKIIKK">#REF!</definedName>
    <definedName name="al" localSheetId="26">#REF!</definedName>
    <definedName name="al" localSheetId="25">#REF!</definedName>
    <definedName name="al" localSheetId="35">#REF!</definedName>
    <definedName name="al" localSheetId="33">#REF!</definedName>
    <definedName name="al">#REF!</definedName>
    <definedName name="ALBERT_COMPLEX" localSheetId="26">#REF!</definedName>
    <definedName name="ALBERT_COMPLEX" localSheetId="25">#REF!</definedName>
    <definedName name="ALBERT_COMPLEX" localSheetId="35">#REF!</definedName>
    <definedName name="ALBERT_COMPLEX" localSheetId="33">#REF!</definedName>
    <definedName name="ALBERT_COMPLEX">#REF!</definedName>
    <definedName name="All_Accounts" localSheetId="26">#REF!</definedName>
    <definedName name="All_Accounts" localSheetId="25">#REF!</definedName>
    <definedName name="All_Accounts" localSheetId="35">#REF!</definedName>
    <definedName name="All_Accounts" localSheetId="33">#REF!</definedName>
    <definedName name="All_Accounts" localSheetId="36">#REF!</definedName>
    <definedName name="All_Accounts">#REF!</definedName>
    <definedName name="All_Product_Houses" localSheetId="26">#REF!</definedName>
    <definedName name="All_Product_Houses" localSheetId="25">#REF!</definedName>
    <definedName name="All_Product_Houses" localSheetId="35">#REF!</definedName>
    <definedName name="All_Product_Houses" localSheetId="33">#REF!</definedName>
    <definedName name="All_Product_Houses" localSheetId="36">#REF!</definedName>
    <definedName name="All_Product_Houses">#REF!</definedName>
    <definedName name="All_Product_Lines" localSheetId="26">#REF!</definedName>
    <definedName name="All_Product_Lines" localSheetId="25">#REF!</definedName>
    <definedName name="All_Product_Lines" localSheetId="35">#REF!</definedName>
    <definedName name="All_Product_Lines" localSheetId="33">#REF!</definedName>
    <definedName name="All_Product_Lines" localSheetId="36">#REF!</definedName>
    <definedName name="All_Product_Lines">#REF!</definedName>
    <definedName name="AllCountries" localSheetId="26">#REF!</definedName>
    <definedName name="AllCountries" localSheetId="25">#REF!</definedName>
    <definedName name="AllCountries" localSheetId="35">#REF!</definedName>
    <definedName name="AllCountries" localSheetId="33">#REF!</definedName>
    <definedName name="AllCountries" localSheetId="36">#REF!</definedName>
    <definedName name="AllCountries">#REF!</definedName>
    <definedName name="Amortization" localSheetId="26">#REF!</definedName>
    <definedName name="Amortization" localSheetId="25">#REF!</definedName>
    <definedName name="Amortization" localSheetId="35">#REF!</definedName>
    <definedName name="Amortization" localSheetId="33">#REF!</definedName>
    <definedName name="Amortization">#REF!</definedName>
    <definedName name="Amortization_Charles" localSheetId="26">#REF!</definedName>
    <definedName name="Amortization_Charles" localSheetId="25">#REF!</definedName>
    <definedName name="Amortization_Charles" localSheetId="35">#REF!</definedName>
    <definedName name="Amortization_Charles" localSheetId="33">#REF!</definedName>
    <definedName name="Amortization_Charles">#REF!</definedName>
    <definedName name="anakf" localSheetId="28" hidden="1">{#N/A,#N/A,FALSE,"资产负债表";#N/A,#N/A,FALSE,"资产负债表"}</definedName>
    <definedName name="anakf" hidden="1">{#N/A,#N/A,FALSE,"资产负债表";#N/A,#N/A,FALSE,"资产负债表"}</definedName>
    <definedName name="Angela" localSheetId="28">Main.SAPF4Help()</definedName>
    <definedName name="Angela" localSheetId="26">Main.SAPF4Help()</definedName>
    <definedName name="Angela" localSheetId="25">Main.SAPF4Help()</definedName>
    <definedName name="Angela" localSheetId="35">Main.SAPF4Help()</definedName>
    <definedName name="Angela" localSheetId="33">Main.SAPF4Help()</definedName>
    <definedName name="Angela" localSheetId="36">Main.SAPF4Help()</definedName>
    <definedName name="Angela">Main.SAPF4Help()</definedName>
    <definedName name="anscount" hidden="1">1</definedName>
    <definedName name="AP" localSheetId="28">Main.SAPF4Help()</definedName>
    <definedName name="AP" localSheetId="26">Main.SAPF4Help()</definedName>
    <definedName name="AP" localSheetId="25">Main.SAPF4Help()</definedName>
    <definedName name="AP" localSheetId="35">Main.SAPF4Help()</definedName>
    <definedName name="AP" localSheetId="33">Main.SAPF4Help()</definedName>
    <definedName name="AP" localSheetId="36">Main.SAPF4Help()</definedName>
    <definedName name="AP">Main.SAPF4Help()</definedName>
    <definedName name="appl" localSheetId="26">#REF!</definedName>
    <definedName name="appl" localSheetId="25">#REF!</definedName>
    <definedName name="appl" localSheetId="35">#REF!</definedName>
    <definedName name="appl" localSheetId="33">#REF!</definedName>
    <definedName name="appl" localSheetId="36">#REF!</definedName>
    <definedName name="appl">#REF!</definedName>
    <definedName name="April" localSheetId="26">#REF!</definedName>
    <definedName name="April" localSheetId="25">#REF!</definedName>
    <definedName name="April" localSheetId="35">#REF!</definedName>
    <definedName name="April" localSheetId="33">#REF!</definedName>
    <definedName name="April">#REF!</definedName>
    <definedName name="as" localSheetId="28" hidden="1">{"cover page",#N/A,TRUE,"Cover sheet";"Assumptions",#N/A,TRUE,"Main Sheet";"Growth Rates and Margins and Ratios",#N/A,TRUE,"Main Sheet";"Income Statement",#N/A,TRUE,"Main Sheet";"Balance Sheet",#N/A,TRUE,"Main Sheet";"Interest Schedule",#N/A,TRUE,"Main Sheet";"Cashflows",#N/A,TRUE,"Main Sheet"}</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6" hidden="1">#REF!</definedName>
    <definedName name="AS2StaticLS" localSheetId="25" hidden="1">#REF!</definedName>
    <definedName name="AS2StaticLS" localSheetId="35" hidden="1">#REF!</definedName>
    <definedName name="AS2StaticLS" localSheetId="33" hidden="1">#REF!</definedName>
    <definedName name="AS2StaticLS" localSheetId="36" hidden="1">#REF!</definedName>
    <definedName name="AS2StaticLS" hidden="1">#REF!</definedName>
    <definedName name="AS2SyncStepLS" hidden="1">0</definedName>
    <definedName name="AS2TickmarkLS" localSheetId="26" hidden="1">#REF!</definedName>
    <definedName name="AS2TickmarkLS" localSheetId="25" hidden="1">#REF!</definedName>
    <definedName name="AS2TickmarkLS" localSheetId="35" hidden="1">#REF!</definedName>
    <definedName name="AS2TickmarkLS" localSheetId="33" hidden="1">#REF!</definedName>
    <definedName name="AS2TickmarkLS" localSheetId="36" hidden="1">#REF!</definedName>
    <definedName name="AS2TickmarkLS" hidden="1">#REF!</definedName>
    <definedName name="AS2VersionLS" hidden="1">300</definedName>
    <definedName name="asd" localSheetId="28" hidden="1">{#N/A,#N/A,FALSE,"DCF Summary";#N/A,#N/A,FALSE,"Casema";#N/A,#N/A,FALSE,"Casema NoTel";#N/A,#N/A,FALSE,"UK";#N/A,#N/A,FALSE,"RCF";#N/A,#N/A,FALSE,"Intercable CZ";#N/A,#N/A,FALSE,"Interkabel P"}</definedName>
    <definedName name="asd" hidden="1">{#N/A,#N/A,FALSE,"DCF Summary";#N/A,#N/A,FALSE,"Casema";#N/A,#N/A,FALSE,"Casema NoTel";#N/A,#N/A,FALSE,"UK";#N/A,#N/A,FALSE,"RCF";#N/A,#N/A,FALSE,"Intercable CZ";#N/A,#N/A,FALSE,"Interkabel P"}</definedName>
    <definedName name="asda" localSheetId="28" hidden="1">{"Page1",#N/A,FALSE,"DILUT1";"Page2",#N/A,FALSE,"DILUT1";"Page3",#N/A,FALSE,"DILUT1"}</definedName>
    <definedName name="asda" hidden="1">{"Page1",#N/A,FALSE,"DILUT1";"Page2",#N/A,FALSE,"DILUT1";"Page3",#N/A,FALSE,"DILUT1"}</definedName>
    <definedName name="asda_1" localSheetId="28" hidden="1">{"Page1",#N/A,FALSE,"DILUT1";"Page2",#N/A,FALSE,"DILUT1";"Page3",#N/A,FALSE,"DILUT1"}</definedName>
    <definedName name="asda_1" hidden="1">{"Page1",#N/A,FALSE,"DILUT1";"Page2",#N/A,FALSE,"DILUT1";"Page3",#N/A,FALSE,"DILUT1"}</definedName>
    <definedName name="asda_1_1" localSheetId="28" hidden="1">{"Page1",#N/A,FALSE,"DILUT1";"Page2",#N/A,FALSE,"DILUT1";"Page3",#N/A,FALSE,"DILUT1"}</definedName>
    <definedName name="asda_1_1" hidden="1">{"Page1",#N/A,FALSE,"DILUT1";"Page2",#N/A,FALSE,"DILUT1";"Page3",#N/A,FALSE,"DILUT1"}</definedName>
    <definedName name="asdasd" localSheetId="28" hidden="1">{#N/A,#N/A,TRUE,"Acquirer_Cases_Input";#N/A,#N/A,TRUE,"Acquirer_Input";#N/A,#N/A,TRUE,"Acquirer"}</definedName>
    <definedName name="asdasd" hidden="1">{#N/A,#N/A,TRUE,"Acquirer_Cases_Input";#N/A,#N/A,TRUE,"Acquirer_Input";#N/A,#N/A,TRUE,"Acquirer"}</definedName>
    <definedName name="asdasd_1" localSheetId="28" hidden="1">{#N/A,#N/A,TRUE,"Acquirer_Cases_Input";#N/A,#N/A,TRUE,"Acquirer_Input";#N/A,#N/A,TRUE,"Acquirer"}</definedName>
    <definedName name="asdasd_1" hidden="1">{#N/A,#N/A,TRUE,"Acquirer_Cases_Input";#N/A,#N/A,TRUE,"Acquirer_Input";#N/A,#N/A,TRUE,"Acquirer"}</definedName>
    <definedName name="asdasd_1_1" localSheetId="28" hidden="1">{#N/A,#N/A,TRUE,"Acquirer_Cases_Input";#N/A,#N/A,TRUE,"Acquirer_Input";#N/A,#N/A,TRUE,"Acquirer"}</definedName>
    <definedName name="asdasd_1_1" hidden="1">{#N/A,#N/A,TRUE,"Acquirer_Cases_Input";#N/A,#N/A,TRUE,"Acquirer_Input";#N/A,#N/A,TRUE,"Acquirer"}</definedName>
    <definedName name="asdf" localSheetId="28" hidden="1">{#N/A,#N/A,TRUE,"KEY DATA";#N/A,#N/A,TRUE,"KEY DATA Base Case";#N/A,#N/A,TRUE,"JULY";#N/A,#N/A,TRUE,"AUG";#N/A,#N/A,TRUE,"SEPT";#N/A,#N/A,TRUE,"3Q"}</definedName>
    <definedName name="asdf" hidden="1">{#N/A,#N/A,TRUE,"KEY DATA";#N/A,#N/A,TRUE,"KEY DATA Base Case";#N/A,#N/A,TRUE,"JULY";#N/A,#N/A,TRUE,"AUG";#N/A,#N/A,TRUE,"SEPT";#N/A,#N/A,TRUE,"3Q"}</definedName>
    <definedName name="asdf_1" localSheetId="28" hidden="1">{#N/A,#N/A,TRUE,"KEY DATA";#N/A,#N/A,TRUE,"KEY DATA Base Case";#N/A,#N/A,TRUE,"JULY";#N/A,#N/A,TRUE,"AUG";#N/A,#N/A,TRUE,"SEPT";#N/A,#N/A,TRUE,"3Q"}</definedName>
    <definedName name="asdf_1" hidden="1">{#N/A,#N/A,TRUE,"KEY DATA";#N/A,#N/A,TRUE,"KEY DATA Base Case";#N/A,#N/A,TRUE,"JULY";#N/A,#N/A,TRUE,"AUG";#N/A,#N/A,TRUE,"SEPT";#N/A,#N/A,TRUE,"3Q"}</definedName>
    <definedName name="asdf_1_1" localSheetId="28" hidden="1">{#N/A,#N/A,TRUE,"KEY DATA";#N/A,#N/A,TRUE,"KEY DATA Base Case";#N/A,#N/A,TRUE,"JULY";#N/A,#N/A,TRUE,"AUG";#N/A,#N/A,TRUE,"SEPT";#N/A,#N/A,TRUE,"3Q"}</definedName>
    <definedName name="asdf_1_1" hidden="1">{#N/A,#N/A,TRUE,"KEY DATA";#N/A,#N/A,TRUE,"KEY DATA Base Case";#N/A,#N/A,TRUE,"JULY";#N/A,#N/A,TRUE,"AUG";#N/A,#N/A,TRUE,"SEPT";#N/A,#N/A,TRUE,"3Q"}</definedName>
    <definedName name="asdfasdf" localSheetId="28" hidden="1">{#N/A,#N/A,FALSE,"TS";#N/A,#N/A,FALSE,"Combo";#N/A,#N/A,FALSE,"FAIR";#N/A,#N/A,FALSE,"RBC";#N/A,#N/A,FALSE,"xxxx";#N/A,#N/A,FALSE,"A_D";#N/A,#N/A,FALSE,"WACC";#N/A,#N/A,FALSE,"DCF";#N/A,#N/A,FALSE,"LBO";#N/A,#N/A,FALSE,"AcqMults";#N/A,#N/A,FALSE,"CompMults"}</definedName>
    <definedName name="asdfasdf" hidden="1">{#N/A,#N/A,FALSE,"TS";#N/A,#N/A,FALSE,"Combo";#N/A,#N/A,FALSE,"FAIR";#N/A,#N/A,FALSE,"RBC";#N/A,#N/A,FALSE,"xxxx";#N/A,#N/A,FALSE,"A_D";#N/A,#N/A,FALSE,"WACC";#N/A,#N/A,FALSE,"DCF";#N/A,#N/A,FALSE,"LBO";#N/A,#N/A,FALSE,"AcqMults";#N/A,#N/A,FALSE,"CompMults"}</definedName>
    <definedName name="asdfasdf_1" localSheetId="28"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localSheetId="28"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localSheetId="28" hidden="1">{"reports",#N/A,FALSE,"Balance Sheet"}</definedName>
    <definedName name="asdfbackground" hidden="1">{"reports",#N/A,FALSE,"Balance Sheet"}</definedName>
    <definedName name="asdfdd" localSheetId="28" hidden="1">{"mgmt forecast",#N/A,FALSE,"Mgmt Forecast";"dcf table",#N/A,FALSE,"Mgmt Forecast";"sensitivity",#N/A,FALSE,"Mgmt Forecast";"table inputs",#N/A,FALSE,"Mgmt Forecast";"calculations",#N/A,FALSE,"Mgmt Forecast"}</definedName>
    <definedName name="asdfdd" hidden="1">{"mgmt forecast",#N/A,FALSE,"Mgmt Forecast";"dcf table",#N/A,FALSE,"Mgmt Forecast";"sensitivity",#N/A,FALSE,"Mgmt Forecast";"table inputs",#N/A,FALSE,"Mgmt Forecast";"calculations",#N/A,FALSE,"Mgmt Forecast"}</definedName>
    <definedName name="asdfdd_1" localSheetId="28"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localSheetId="28"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6" hidden="1">#REF!</definedName>
    <definedName name="asdffasfasdfasdsd" localSheetId="25" hidden="1">#REF!</definedName>
    <definedName name="asdffasfasdfasdsd" localSheetId="35" hidden="1">#REF!</definedName>
    <definedName name="asdffasfasdfasdsd" localSheetId="33" hidden="1">#REF!</definedName>
    <definedName name="asdffasfasdfasdsd" localSheetId="36" hidden="1">#REF!</definedName>
    <definedName name="asdffasfasdfasdsd" hidden="1">#REF!</definedName>
    <definedName name="asdgfdsafdsaf" localSheetId="26" hidden="1">#REF!</definedName>
    <definedName name="asdgfdsafdsaf" localSheetId="25" hidden="1">#REF!</definedName>
    <definedName name="asdgfdsafdsaf" localSheetId="35" hidden="1">#REF!</definedName>
    <definedName name="asdgfdsafdsaf" localSheetId="33" hidden="1">#REF!</definedName>
    <definedName name="asdgfdsafdsaf" localSheetId="36" hidden="1">#REF!</definedName>
    <definedName name="asdgfdsafdsaf" hidden="1">#REF!</definedName>
    <definedName name="ased" localSheetId="26">#REF!</definedName>
    <definedName name="ased" localSheetId="25">#REF!</definedName>
    <definedName name="ased" localSheetId="35">#REF!</definedName>
    <definedName name="ased" localSheetId="33">#REF!</definedName>
    <definedName name="ased">#REF!</definedName>
    <definedName name="asfd" localSheetId="28" hidden="1">{"HOMEPAGE",#N/A,FALSE,"HOME";"Report1_Q1",#N/A,FALSE,"REPORT1"}</definedName>
    <definedName name="asfd" hidden="1">{"HOMEPAGE",#N/A,FALSE,"HOME";"Report1_Q1",#N/A,FALSE,"REPORT1"}</definedName>
    <definedName name="asset_value" localSheetId="26">#REF!</definedName>
    <definedName name="asset_value" localSheetId="25">#REF!</definedName>
    <definedName name="asset_value" localSheetId="35">#REF!</definedName>
    <definedName name="asset_value" localSheetId="33">#REF!</definedName>
    <definedName name="asset_value">#REF!</definedName>
    <definedName name="ATSeXToEUR" localSheetId="28" hidden="1">1/EUReXToATS</definedName>
    <definedName name="ATSeXToEUR" localSheetId="26" hidden="1">1/EUReXToATS</definedName>
    <definedName name="ATSeXToEUR" localSheetId="25" hidden="1">1/EUReXToATS</definedName>
    <definedName name="ATSeXToEUR" localSheetId="35" hidden="1">1/EUReXToATS</definedName>
    <definedName name="ATSeXToEUR" localSheetId="33" hidden="1">1/EUReXToATS</definedName>
    <definedName name="ATSeXToEUR" localSheetId="36" hidden="1">1/EUReXToATS</definedName>
    <definedName name="ATSeXToEUR" hidden="1">1/EUReXToATS</definedName>
    <definedName name="August" localSheetId="26">#REF!</definedName>
    <definedName name="August" localSheetId="25">#REF!</definedName>
    <definedName name="August" localSheetId="35">#REF!</definedName>
    <definedName name="August" localSheetId="33">#REF!</definedName>
    <definedName name="August">#REF!</definedName>
    <definedName name="avavav" localSheetId="26" hidden="1">#REF!</definedName>
    <definedName name="avavav" localSheetId="25" hidden="1">#REF!</definedName>
    <definedName name="avavav" localSheetId="35" hidden="1">#REF!</definedName>
    <definedName name="avavav" localSheetId="33" hidden="1">#REF!</definedName>
    <definedName name="avavav" localSheetId="36" hidden="1">#REF!</definedName>
    <definedName name="avavav" hidden="1">#REF!</definedName>
    <definedName name="AW" localSheetId="26">#REF!</definedName>
    <definedName name="AW" localSheetId="25">#REF!</definedName>
    <definedName name="AW" localSheetId="35">#REF!</definedName>
    <definedName name="AW" localSheetId="33">#REF!</definedName>
    <definedName name="AW" localSheetId="36">#REF!</definedName>
    <definedName name="AW">#REF!</definedName>
    <definedName name="awerqawe" localSheetId="28" hidden="1">{"VIEW ACTUALS 1",#N/A,TRUE,"Report1";"VIEW ACTUALS 2",#N/A,TRUE,"Report1";"SCALE COMPARISON",#N/A,TRUE,"Report1"}</definedName>
    <definedName name="awerqawe" hidden="1">{"VIEW ACTUALS 1",#N/A,TRUE,"Report1";"VIEW ACTUALS 2",#N/A,TRUE,"Report1";"SCALE COMPARISON",#N/A,TRUE,"Report1"}</definedName>
    <definedName name="awert" localSheetId="28" hidden="1">{#N/A,#N/A,FALSE,"ORIX CSC"}</definedName>
    <definedName name="awert" hidden="1">{#N/A,#N/A,FALSE,"ORIX CSC"}</definedName>
    <definedName name="awert_1" localSheetId="28" hidden="1">{#N/A,#N/A,FALSE,"ORIX CSC"}</definedName>
    <definedName name="awert_1" hidden="1">{#N/A,#N/A,FALSE,"ORIX CSC"}</definedName>
    <definedName name="awert_1_1" localSheetId="28" hidden="1">{#N/A,#N/A,FALSE,"ORIX CSC"}</definedName>
    <definedName name="awert_1_1" hidden="1">{#N/A,#N/A,FALSE,"ORIX CSC"}</definedName>
    <definedName name="az" localSheetId="26">#REF!</definedName>
    <definedName name="az" localSheetId="25">#REF!</definedName>
    <definedName name="az" localSheetId="35">#REF!</definedName>
    <definedName name="az" localSheetId="33">#REF!</definedName>
    <definedName name="az">#REF!</definedName>
    <definedName name="azasxassx" localSheetId="26" hidden="1">#REF!</definedName>
    <definedName name="azasxassx" localSheetId="25" hidden="1">#REF!</definedName>
    <definedName name="azasxassx" localSheetId="35" hidden="1">#REF!</definedName>
    <definedName name="azasxassx" localSheetId="33" hidden="1">#REF!</definedName>
    <definedName name="azasxassx" localSheetId="36" hidden="1">#REF!</definedName>
    <definedName name="azasxassx" hidden="1">#REF!</definedName>
    <definedName name="b" localSheetId="28" hidden="1">{"histincome",#N/A,FALSE,"hyfins";"closing balance",#N/A,FALSE,"hyfins"}</definedName>
    <definedName name="b" hidden="1">{"histincome",#N/A,FALSE,"hyfins";"closing balance",#N/A,FALSE,"hyfins"}</definedName>
    <definedName name="b_1" localSheetId="28" hidden="1">{"histincome",#N/A,FALSE,"hyfins";"closing balance",#N/A,FALSE,"hyfins"}</definedName>
    <definedName name="b_1" hidden="1">{"histincome",#N/A,FALSE,"hyfins";"closing balance",#N/A,FALSE,"hyfins"}</definedName>
    <definedName name="b_1_1" localSheetId="28" hidden="1">{"histincome",#N/A,FALSE,"hyfins";"closing balance",#N/A,FALSE,"hyfins"}</definedName>
    <definedName name="b_1_1" hidden="1">{"histincome",#N/A,FALSE,"hyfins";"closing balance",#N/A,FALSE,"hyfins"}</definedName>
    <definedName name="b_2" localSheetId="26">#REF!</definedName>
    <definedName name="b_2" localSheetId="25">#REF!</definedName>
    <definedName name="b_2" localSheetId="35">#REF!</definedName>
    <definedName name="b_2" localSheetId="33">#REF!</definedName>
    <definedName name="b_2">#REF!</definedName>
    <definedName name="b_3" localSheetId="26">#REF!</definedName>
    <definedName name="b_3" localSheetId="25">#REF!</definedName>
    <definedName name="b_3" localSheetId="35">#REF!</definedName>
    <definedName name="b_3" localSheetId="33">#REF!</definedName>
    <definedName name="b_3">#REF!</definedName>
    <definedName name="b_4" localSheetId="26">#REF!</definedName>
    <definedName name="b_4" localSheetId="25">#REF!</definedName>
    <definedName name="b_4" localSheetId="35">#REF!</definedName>
    <definedName name="b_4" localSheetId="33">#REF!</definedName>
    <definedName name="b_4">#REF!</definedName>
    <definedName name="b11111111111111" localSheetId="26">#REF!</definedName>
    <definedName name="b11111111111111" localSheetId="25">#REF!</definedName>
    <definedName name="b11111111111111" localSheetId="35">#REF!</definedName>
    <definedName name="b11111111111111" localSheetId="33">#REF!</definedName>
    <definedName name="b11111111111111">#REF!</definedName>
    <definedName name="ba" localSheetId="28" hidden="1">{#N/A,#N/A,FALSE,"Virgin Flightdeck"}</definedName>
    <definedName name="ba" hidden="1">{#N/A,#N/A,FALSE,"Virgin Flightdeck"}</definedName>
    <definedName name="ba_1" localSheetId="28" hidden="1">{#N/A,#N/A,FALSE,"Virgin Flightdeck"}</definedName>
    <definedName name="ba_1" hidden="1">{#N/A,#N/A,FALSE,"Virgin Flightdeck"}</definedName>
    <definedName name="ba_1_1" localSheetId="28" hidden="1">{#N/A,#N/A,FALSE,"Virgin Flightdeck"}</definedName>
    <definedName name="ba_1_1" hidden="1">{#N/A,#N/A,FALSE,"Virgin Flightdeck"}</definedName>
    <definedName name="backup" localSheetId="28" hidden="1">{#N/A,#N/A,TRUE,"KEY DATA";#N/A,#N/A,TRUE,"KEY DATA Base Case";#N/A,#N/A,TRUE,"JULY";#N/A,#N/A,TRUE,"AUG";#N/A,#N/A,TRUE,"SEPT";#N/A,#N/A,TRUE,"3Q"}</definedName>
    <definedName name="backup" hidden="1">{#N/A,#N/A,TRUE,"KEY DATA";#N/A,#N/A,TRUE,"KEY DATA Base Case";#N/A,#N/A,TRUE,"JULY";#N/A,#N/A,TRUE,"AUG";#N/A,#N/A,TRUE,"SEPT";#N/A,#N/A,TRUE,"3Q"}</definedName>
    <definedName name="backup." localSheetId="28" hidden="1">{#N/A,#N/A,TRUE,"KEY DATA";#N/A,#N/A,TRUE,"KEY DATA Base Case";#N/A,#N/A,TRUE,"JULY";#N/A,#N/A,TRUE,"AUG";#N/A,#N/A,TRUE,"SEPT";#N/A,#N/A,TRUE,"3Q"}</definedName>
    <definedName name="backup." hidden="1">{#N/A,#N/A,TRUE,"KEY DATA";#N/A,#N/A,TRUE,"KEY DATA Base Case";#N/A,#N/A,TRUE,"JULY";#N/A,#N/A,TRUE,"AUG";#N/A,#N/A,TRUE,"SEPT";#N/A,#N/A,TRUE,"3Q"}</definedName>
    <definedName name="backup._1" localSheetId="28" hidden="1">{#N/A,#N/A,TRUE,"KEY DATA";#N/A,#N/A,TRUE,"KEY DATA Base Case";#N/A,#N/A,TRUE,"JULY";#N/A,#N/A,TRUE,"AUG";#N/A,#N/A,TRUE,"SEPT";#N/A,#N/A,TRUE,"3Q"}</definedName>
    <definedName name="backup._1" hidden="1">{#N/A,#N/A,TRUE,"KEY DATA";#N/A,#N/A,TRUE,"KEY DATA Base Case";#N/A,#N/A,TRUE,"JULY";#N/A,#N/A,TRUE,"AUG";#N/A,#N/A,TRUE,"SEPT";#N/A,#N/A,TRUE,"3Q"}</definedName>
    <definedName name="backup._1_1" localSheetId="28" hidden="1">{#N/A,#N/A,TRUE,"KEY DATA";#N/A,#N/A,TRUE,"KEY DATA Base Case";#N/A,#N/A,TRUE,"JULY";#N/A,#N/A,TRUE,"AUG";#N/A,#N/A,TRUE,"SEPT";#N/A,#N/A,TRUE,"3Q"}</definedName>
    <definedName name="backup._1_1" hidden="1">{#N/A,#N/A,TRUE,"KEY DATA";#N/A,#N/A,TRUE,"KEY DATA Base Case";#N/A,#N/A,TRUE,"JULY";#N/A,#N/A,TRUE,"AUG";#N/A,#N/A,TRUE,"SEPT";#N/A,#N/A,TRUE,"3Q"}</definedName>
    <definedName name="backup_1" localSheetId="28" hidden="1">{#N/A,#N/A,TRUE,"KEY DATA";#N/A,#N/A,TRUE,"KEY DATA Base Case";#N/A,#N/A,TRUE,"JULY";#N/A,#N/A,TRUE,"AUG";#N/A,#N/A,TRUE,"SEPT";#N/A,#N/A,TRUE,"3Q"}</definedName>
    <definedName name="backup_1" hidden="1">{#N/A,#N/A,TRUE,"KEY DATA";#N/A,#N/A,TRUE,"KEY DATA Base Case";#N/A,#N/A,TRUE,"JULY";#N/A,#N/A,TRUE,"AUG";#N/A,#N/A,TRUE,"SEPT";#N/A,#N/A,TRUE,"3Q"}</definedName>
    <definedName name="backup_1_1" localSheetId="28"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6">#REF!</definedName>
    <definedName name="BalSheet" localSheetId="25">#REF!</definedName>
    <definedName name="BalSheet" localSheetId="35">#REF!</definedName>
    <definedName name="BalSheet" localSheetId="33">#REF!</definedName>
    <definedName name="BalSheet" localSheetId="36">#REF!</definedName>
    <definedName name="BalSheet">#REF!</definedName>
    <definedName name="BalSheet_Agere" localSheetId="26">#REF!</definedName>
    <definedName name="BalSheet_Agere" localSheetId="25">#REF!</definedName>
    <definedName name="BalSheet_Agere" localSheetId="35">#REF!</definedName>
    <definedName name="BalSheet_Agere" localSheetId="33">#REF!</definedName>
    <definedName name="BalSheet_Agere" localSheetId="36">#REF!</definedName>
    <definedName name="BalSheet_Agere">#REF!</definedName>
    <definedName name="BalSheet_Continuing" localSheetId="26">#REF!</definedName>
    <definedName name="BalSheet_Continuing" localSheetId="25">#REF!</definedName>
    <definedName name="BalSheet_Continuing" localSheetId="35">#REF!</definedName>
    <definedName name="BalSheet_Continuing" localSheetId="33">#REF!</definedName>
    <definedName name="BalSheet_Continuing" localSheetId="36">#REF!</definedName>
    <definedName name="BalSheet_Continuing">#REF!</definedName>
    <definedName name="BalSheet_Dec_Continuing" localSheetId="26">#REF!</definedName>
    <definedName name="BalSheet_Dec_Continuing" localSheetId="25">#REF!</definedName>
    <definedName name="BalSheet_Dec_Continuing" localSheetId="35">#REF!</definedName>
    <definedName name="BalSheet_Dec_Continuing" localSheetId="33">#REF!</definedName>
    <definedName name="BalSheet_Dec_Continuing" localSheetId="36">#REF!</definedName>
    <definedName name="BalSheet_Dec_Continuing">#REF!</definedName>
    <definedName name="BalSheet_March_Continuing" localSheetId="26">#REF!</definedName>
    <definedName name="BalSheet_March_Continuing" localSheetId="25">#REF!</definedName>
    <definedName name="BalSheet_March_Continuing" localSheetId="35">#REF!</definedName>
    <definedName name="BalSheet_March_Continuing" localSheetId="33">#REF!</definedName>
    <definedName name="BalSheet_March_Continuing" localSheetId="36">#REF!</definedName>
    <definedName name="BalSheet_March_Continuing">#REF!</definedName>
    <definedName name="BarWidth" localSheetId="26">#REF!</definedName>
    <definedName name="BarWidth" localSheetId="25">#REF!</definedName>
    <definedName name="BarWidth" localSheetId="35">#REF!</definedName>
    <definedName name="BarWidth" localSheetId="33">#REF!</definedName>
    <definedName name="BarWidth" localSheetId="36">#REF!</definedName>
    <definedName name="BarWidth">#REF!</definedName>
    <definedName name="bb" localSheetId="28" hidden="1">{#N/A,#N/A,FALSE,"Consolidated Shipley";#N/A,#N/A,FALSE,"Consolidated PWB";#N/A,#N/A,FALSE,"Consolidated Micro"}</definedName>
    <definedName name="bb" hidden="1">{#N/A,#N/A,FALSE,"Consolidated Shipley";#N/A,#N/A,FALSE,"Consolidated PWB";#N/A,#N/A,FALSE,"Consolidated Micro"}</definedName>
    <definedName name="bb_1" localSheetId="28" hidden="1">{#N/A,#N/A,FALSE,"Consolidated Shipley";#N/A,#N/A,FALSE,"Consolidated PWB";#N/A,#N/A,FALSE,"Consolidated Micro"}</definedName>
    <definedName name="bb_1" hidden="1">{#N/A,#N/A,FALSE,"Consolidated Shipley";#N/A,#N/A,FALSE,"Consolidated PWB";#N/A,#N/A,FALSE,"Consolidated Micro"}</definedName>
    <definedName name="bb_1_1" localSheetId="28" hidden="1">{#N/A,#N/A,FALSE,"Consolidated Shipley";#N/A,#N/A,FALSE,"Consolidated PWB";#N/A,#N/A,FALSE,"Consolidated Micro"}</definedName>
    <definedName name="bb_1_1" hidden="1">{#N/A,#N/A,FALSE,"Consolidated Shipley";#N/A,#N/A,FALSE,"Consolidated PWB";#N/A,#N/A,FALSE,"Consolidated Micro"}</definedName>
    <definedName name="bbb" localSheetId="28" hidden="1">{#N/A,#N/A,FALSE,"Consolidated Shipley";#N/A,#N/A,FALSE,"Consolidated PWB";#N/A,#N/A,FALSE,"Consolidated Micro"}</definedName>
    <definedName name="bbb" hidden="1">{#N/A,#N/A,FALSE,"Consolidated Shipley";#N/A,#N/A,FALSE,"Consolidated PWB";#N/A,#N/A,FALSE,"Consolidated Micro"}</definedName>
    <definedName name="bbb_1" localSheetId="28" hidden="1">{#N/A,#N/A,FALSE,"Consolidated Shipley";#N/A,#N/A,FALSE,"Consolidated PWB";#N/A,#N/A,FALSE,"Consolidated Micro"}</definedName>
    <definedName name="bbb_1" hidden="1">{#N/A,#N/A,FALSE,"Consolidated Shipley";#N/A,#N/A,FALSE,"Consolidated PWB";#N/A,#N/A,FALSE,"Consolidated Micro"}</definedName>
    <definedName name="bbb_1_1" localSheetId="28" hidden="1">{#N/A,#N/A,FALSE,"Consolidated Shipley";#N/A,#N/A,FALSE,"Consolidated PWB";#N/A,#N/A,FALSE,"Consolidated Micro"}</definedName>
    <definedName name="bbb_1_1" hidden="1">{#N/A,#N/A,FALSE,"Consolidated Shipley";#N/A,#N/A,FALSE,"Consolidated PWB";#N/A,#N/A,FALSE,"Consolidated Micro"}</definedName>
    <definedName name="bbbb" localSheetId="28" hidden="1">{"gross_margin1",#N/A,FALSE,"Gross Margin Detail";"gross_margin2",#N/A,FALSE,"Gross Margin Detail"}</definedName>
    <definedName name="bbbb" hidden="1">{"gross_margin1",#N/A,FALSE,"Gross Margin Detail";"gross_margin2",#N/A,FALSE,"Gross Margin Detail"}</definedName>
    <definedName name="bbbb_1" localSheetId="28" hidden="1">{"gross_margin1",#N/A,FALSE,"Gross Margin Detail";"gross_margin2",#N/A,FALSE,"Gross Margin Detail"}</definedName>
    <definedName name="bbbb_1" hidden="1">{"gross_margin1",#N/A,FALSE,"Gross Margin Detail";"gross_margin2",#N/A,FALSE,"Gross Margin Detail"}</definedName>
    <definedName name="bbbb_1_1" localSheetId="28" hidden="1">{"gross_margin1",#N/A,FALSE,"Gross Margin Detail";"gross_margin2",#N/A,FALSE,"Gross Margin Detail"}</definedName>
    <definedName name="bbbb_1_1" hidden="1">{"gross_margin1",#N/A,FALSE,"Gross Margin Detail";"gross_margin2",#N/A,FALSE,"Gross Margin Detail"}</definedName>
    <definedName name="bbbbb" localSheetId="28" hidden="1">{"historical acquirer",#N/A,FALSE,"Historical Performance";"historical target",#N/A,FALSE,"Historical Performance"}</definedName>
    <definedName name="bbbbb" hidden="1">{"historical acquirer",#N/A,FALSE,"Historical Performance";"historical target",#N/A,FALSE,"Historical Performance"}</definedName>
    <definedName name="bbbbb_1" localSheetId="28" hidden="1">{"historical acquirer",#N/A,FALSE,"Historical Performance";"historical target",#N/A,FALSE,"Historical Performance"}</definedName>
    <definedName name="bbbbb_1" hidden="1">{"historical acquirer",#N/A,FALSE,"Historical Performance";"historical target",#N/A,FALSE,"Historical Performance"}</definedName>
    <definedName name="bbbbb_1_1" localSheetId="28" hidden="1">{"historical acquirer",#N/A,FALSE,"Historical Performance";"historical target",#N/A,FALSE,"Historical Performance"}</definedName>
    <definedName name="bbbbb_1_1" hidden="1">{"historical acquirer",#N/A,FALSE,"Historical Performance";"historical target",#N/A,FALSE,"Historical Performance"}</definedName>
    <definedName name="bbbbbb" localSheetId="28" hidden="1">{#N/A,#N/A,TRUE,"Acquirer_Cases_Input";#N/A,#N/A,TRUE,"Acquirer_Input";#N/A,#N/A,TRUE,"Acquirer"}</definedName>
    <definedName name="bbbbbb" hidden="1">{#N/A,#N/A,TRUE,"Acquirer_Cases_Input";#N/A,#N/A,TRUE,"Acquirer_Input";#N/A,#N/A,TRUE,"Acquirer"}</definedName>
    <definedName name="bbbbbb_1" localSheetId="28" hidden="1">{#N/A,#N/A,TRUE,"Acquirer_Cases_Input";#N/A,#N/A,TRUE,"Acquirer_Input";#N/A,#N/A,TRUE,"Acquirer"}</definedName>
    <definedName name="bbbbbb_1" hidden="1">{#N/A,#N/A,TRUE,"Acquirer_Cases_Input";#N/A,#N/A,TRUE,"Acquirer_Input";#N/A,#N/A,TRUE,"Acquirer"}</definedName>
    <definedName name="bbbbbb_1_1" localSheetId="28" hidden="1">{#N/A,#N/A,TRUE,"Acquirer_Cases_Input";#N/A,#N/A,TRUE,"Acquirer_Input";#N/A,#N/A,TRUE,"Acquirer"}</definedName>
    <definedName name="bbbbbb_1_1" hidden="1">{#N/A,#N/A,TRUE,"Acquirer_Cases_Input";#N/A,#N/A,TRUE,"Acquirer_Input";#N/A,#N/A,TRUE,"Acquirer"}</definedName>
    <definedName name="bbbbbbb" localSheetId="28" hidden="1">{"graph",#N/A,FALSE,"WWJU";"graph",#N/A,FALSE,"WWSEM";"graph",#N/A,FALSE,"GOMJU";"graph",#N/A,FALSE,"GOMSEM";"graph",#N/A,FALSE,"NSJU";"graph",#N/A,FALSE,"NSSEM";"graph",#N/A,FALSE,"WAJU";"graph",#N/A,FALSE,"STOCKPRI";"graph",#N/A,FALSE,"CFTEV";"graph",#N/A,FALSE,"NAV-RCV";"graph",#N/A,FALSE,"CRUDEWW"}</definedName>
    <definedName name="bbbbbbb" hidden="1">{"graph",#N/A,FALSE,"WWJU";"graph",#N/A,FALSE,"WWSEM";"graph",#N/A,FALSE,"GOMJU";"graph",#N/A,FALSE,"GOMSEM";"graph",#N/A,FALSE,"NSJU";"graph",#N/A,FALSE,"NSSEM";"graph",#N/A,FALSE,"WAJU";"graph",#N/A,FALSE,"STOCKPRI";"graph",#N/A,FALSE,"CFTEV";"graph",#N/A,FALSE,"NAV-RCV";"graph",#N/A,FALSE,"CRUDEWW"}</definedName>
    <definedName name="bbbbbbb_1" localSheetId="28"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localSheetId="28"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localSheetId="28"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_1" localSheetId="28"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localSheetId="28"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localSheetId="28"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localSheetId="28"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localSheetId="28"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8" hidden="1">1/EUReXToBEF</definedName>
    <definedName name="BEFeXToEUR" localSheetId="26" hidden="1">1/EUReXToBEF</definedName>
    <definedName name="BEFeXToEUR" localSheetId="25" hidden="1">1/EUReXToBEF</definedName>
    <definedName name="BEFeXToEUR" localSheetId="35" hidden="1">1/EUReXToBEF</definedName>
    <definedName name="BEFeXToEUR" localSheetId="33" hidden="1">1/EUReXToBEF</definedName>
    <definedName name="BEFeXToEUR" localSheetId="36" hidden="1">1/EUReXToBEF</definedName>
    <definedName name="BEFeXToEUR" hidden="1">1/EUReXToBEF</definedName>
    <definedName name="BFOC" localSheetId="28" hidden="1">{"'0103'!$A$455:$O$585"}</definedName>
    <definedName name="BFOC" hidden="1">{"'0103'!$A$455:$O$585"}</definedName>
    <definedName name="BFOC1" localSheetId="26">#REF!</definedName>
    <definedName name="BFOC1" localSheetId="25">#REF!</definedName>
    <definedName name="BFOC1" localSheetId="35">#REF!</definedName>
    <definedName name="BFOC1" localSheetId="33">#REF!</definedName>
    <definedName name="BFOC1" localSheetId="36">#REF!</definedName>
    <definedName name="BFOC1">#REF!</definedName>
    <definedName name="BFOC2" localSheetId="26">#REF!</definedName>
    <definedName name="BFOC2" localSheetId="25">#REF!</definedName>
    <definedName name="BFOC2" localSheetId="35">#REF!</definedName>
    <definedName name="BFOC2" localSheetId="33">#REF!</definedName>
    <definedName name="BFOC2" localSheetId="36">#REF!</definedName>
    <definedName name="BFOC2">#REF!</definedName>
    <definedName name="BFOC3" localSheetId="26">#REF!</definedName>
    <definedName name="BFOC3" localSheetId="25">#REF!</definedName>
    <definedName name="BFOC3" localSheetId="35">#REF!</definedName>
    <definedName name="BFOC3" localSheetId="33">#REF!</definedName>
    <definedName name="BFOC3" localSheetId="36">#REF!</definedName>
    <definedName name="BFOC3">#REF!</definedName>
    <definedName name="BG_Del" hidden="1">15</definedName>
    <definedName name="BG_Ins" hidden="1">4</definedName>
    <definedName name="BG_Mod" hidden="1">6</definedName>
    <definedName name="BGT1FAS1" localSheetId="26">#REF!</definedName>
    <definedName name="BGT1FAS1" localSheetId="25">#REF!</definedName>
    <definedName name="BGT1FAS1" localSheetId="35">#REF!</definedName>
    <definedName name="BGT1FAS1" localSheetId="33">#REF!</definedName>
    <definedName name="BGT1FAS1">#REF!</definedName>
    <definedName name="BGT1FAS2" localSheetId="26">#REF!</definedName>
    <definedName name="BGT1FAS2" localSheetId="25">#REF!</definedName>
    <definedName name="BGT1FAS2" localSheetId="35">#REF!</definedName>
    <definedName name="BGT1FAS2" localSheetId="33">#REF!</definedName>
    <definedName name="BGT1FAS2">#REF!</definedName>
    <definedName name="BGT1FAS3" localSheetId="26">#REF!</definedName>
    <definedName name="BGT1FAS3" localSheetId="25">#REF!</definedName>
    <definedName name="BGT1FAS3" localSheetId="35">#REF!</definedName>
    <definedName name="BGT1FAS3" localSheetId="33">#REF!</definedName>
    <definedName name="BGT1FAS3">#REF!</definedName>
    <definedName name="BGT1FAS4" localSheetId="26">#REF!</definedName>
    <definedName name="BGT1FAS4" localSheetId="25">#REF!</definedName>
    <definedName name="BGT1FAS4" localSheetId="35">#REF!</definedName>
    <definedName name="BGT1FAS4" localSheetId="33">#REF!</definedName>
    <definedName name="BGT1FAS4">#REF!</definedName>
    <definedName name="BGT1FAS5" localSheetId="26">#REF!</definedName>
    <definedName name="BGT1FAS5" localSheetId="25">#REF!</definedName>
    <definedName name="BGT1FAS5" localSheetId="35">#REF!</definedName>
    <definedName name="BGT1FAS5" localSheetId="33">#REF!</definedName>
    <definedName name="BGT1FAS5">#REF!</definedName>
    <definedName name="BGT1PRT1" localSheetId="26">#REF!</definedName>
    <definedName name="BGT1PRT1" localSheetId="25">#REF!</definedName>
    <definedName name="BGT1PRT1" localSheetId="35">#REF!</definedName>
    <definedName name="BGT1PRT1" localSheetId="33">#REF!</definedName>
    <definedName name="BGT1PRT1">#REF!</definedName>
    <definedName name="BGT1PRT2" localSheetId="26">#REF!</definedName>
    <definedName name="BGT1PRT2" localSheetId="25">#REF!</definedName>
    <definedName name="BGT1PRT2" localSheetId="35">#REF!</definedName>
    <definedName name="BGT1PRT2" localSheetId="33">#REF!</definedName>
    <definedName name="BGT1PRT2">#REF!</definedName>
    <definedName name="BGT1PRT3" localSheetId="26">#REF!</definedName>
    <definedName name="BGT1PRT3" localSheetId="25">#REF!</definedName>
    <definedName name="BGT1PRT3" localSheetId="35">#REF!</definedName>
    <definedName name="BGT1PRT3" localSheetId="33">#REF!</definedName>
    <definedName name="BGT1PRT3">#REF!</definedName>
    <definedName name="BGT1PRT4" localSheetId="26">#REF!</definedName>
    <definedName name="BGT1PRT4" localSheetId="25">#REF!</definedName>
    <definedName name="BGT1PRT4" localSheetId="35">#REF!</definedName>
    <definedName name="BGT1PRT4" localSheetId="33">#REF!</definedName>
    <definedName name="BGT1PRT4">#REF!</definedName>
    <definedName name="BGT1PRT5" localSheetId="26">#REF!</definedName>
    <definedName name="BGT1PRT5" localSheetId="25">#REF!</definedName>
    <definedName name="BGT1PRT5" localSheetId="35">#REF!</definedName>
    <definedName name="BGT1PRT5" localSheetId="33">#REF!</definedName>
    <definedName name="BGT1PRT5">#REF!</definedName>
    <definedName name="BGT1STAT" localSheetId="26">#REF!</definedName>
    <definedName name="BGT1STAT" localSheetId="25">#REF!</definedName>
    <definedName name="BGT1STAT" localSheetId="35">#REF!</definedName>
    <definedName name="BGT1STAT" localSheetId="33">#REF!</definedName>
    <definedName name="BGT1STAT">#REF!</definedName>
    <definedName name="BGT2FAS1" localSheetId="26">#REF!</definedName>
    <definedName name="BGT2FAS1" localSheetId="25">#REF!</definedName>
    <definedName name="BGT2FAS1" localSheetId="35">#REF!</definedName>
    <definedName name="BGT2FAS1" localSheetId="33">#REF!</definedName>
    <definedName name="BGT2FAS1">#REF!</definedName>
    <definedName name="BGT2FAS2" localSheetId="26">#REF!</definedName>
    <definedName name="BGT2FAS2" localSheetId="25">#REF!</definedName>
    <definedName name="BGT2FAS2" localSheetId="35">#REF!</definedName>
    <definedName name="BGT2FAS2" localSheetId="33">#REF!</definedName>
    <definedName name="BGT2FAS2">#REF!</definedName>
    <definedName name="BGT2FAS3" localSheetId="26">#REF!</definedName>
    <definedName name="BGT2FAS3" localSheetId="25">#REF!</definedName>
    <definedName name="BGT2FAS3" localSheetId="35">#REF!</definedName>
    <definedName name="BGT2FAS3" localSheetId="33">#REF!</definedName>
    <definedName name="BGT2FAS3">#REF!</definedName>
    <definedName name="BGT2FAS4" localSheetId="26">#REF!</definedName>
    <definedName name="BGT2FAS4" localSheetId="25">#REF!</definedName>
    <definedName name="BGT2FAS4" localSheetId="35">#REF!</definedName>
    <definedName name="BGT2FAS4" localSheetId="33">#REF!</definedName>
    <definedName name="BGT2FAS4">#REF!</definedName>
    <definedName name="BGT2FAS5" localSheetId="26">#REF!</definedName>
    <definedName name="BGT2FAS5" localSheetId="25">#REF!</definedName>
    <definedName name="BGT2FAS5" localSheetId="35">#REF!</definedName>
    <definedName name="BGT2FAS5" localSheetId="33">#REF!</definedName>
    <definedName name="BGT2FAS5">#REF!</definedName>
    <definedName name="BGT2PRT1" localSheetId="26">#REF!</definedName>
    <definedName name="BGT2PRT1" localSheetId="25">#REF!</definedName>
    <definedName name="BGT2PRT1" localSheetId="35">#REF!</definedName>
    <definedName name="BGT2PRT1" localSheetId="33">#REF!</definedName>
    <definedName name="BGT2PRT1">#REF!</definedName>
    <definedName name="BGT2PRT2" localSheetId="26">#REF!</definedName>
    <definedName name="BGT2PRT2" localSheetId="25">#REF!</definedName>
    <definedName name="BGT2PRT2" localSheetId="35">#REF!</definedName>
    <definedName name="BGT2PRT2" localSheetId="33">#REF!</definedName>
    <definedName name="BGT2PRT2">#REF!</definedName>
    <definedName name="BGT2PRT3" localSheetId="26">#REF!</definedName>
    <definedName name="BGT2PRT3" localSheetId="25">#REF!</definedName>
    <definedName name="BGT2PRT3" localSheetId="35">#REF!</definedName>
    <definedName name="BGT2PRT3" localSheetId="33">#REF!</definedName>
    <definedName name="BGT2PRT3">#REF!</definedName>
    <definedName name="BGT2PRT4" localSheetId="26">#REF!</definedName>
    <definedName name="BGT2PRT4" localSheetId="25">#REF!</definedName>
    <definedName name="BGT2PRT4" localSheetId="35">#REF!</definedName>
    <definedName name="BGT2PRT4" localSheetId="33">#REF!</definedName>
    <definedName name="BGT2PRT4">#REF!</definedName>
    <definedName name="BGT2PRT5" localSheetId="26">#REF!</definedName>
    <definedName name="BGT2PRT5" localSheetId="25">#REF!</definedName>
    <definedName name="BGT2PRT5" localSheetId="35">#REF!</definedName>
    <definedName name="BGT2PRT5" localSheetId="33">#REF!</definedName>
    <definedName name="BGT2PRT5">#REF!</definedName>
    <definedName name="BGT2STAT" localSheetId="26">#REF!</definedName>
    <definedName name="BGT2STAT" localSheetId="25">#REF!</definedName>
    <definedName name="BGT2STAT" localSheetId="35">#REF!</definedName>
    <definedName name="BGT2STAT" localSheetId="33">#REF!</definedName>
    <definedName name="BGT2STAT">#REF!</definedName>
    <definedName name="big_sorting" localSheetId="26">#REF!</definedName>
    <definedName name="big_sorting" localSheetId="25">#REF!</definedName>
    <definedName name="big_sorting" localSheetId="35">#REF!</definedName>
    <definedName name="big_sorting" localSheetId="33">#REF!</definedName>
    <definedName name="big_sorting">#REF!</definedName>
    <definedName name="BILL"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6" hidden="1">#REF!</definedName>
    <definedName name="BLPB10" localSheetId="25" hidden="1">#REF!</definedName>
    <definedName name="BLPB10" localSheetId="35" hidden="1">#REF!</definedName>
    <definedName name="BLPB10" localSheetId="33" hidden="1">#REF!</definedName>
    <definedName name="BLPB10" localSheetId="36" hidden="1">#REF!</definedName>
    <definedName name="BLPB10" hidden="1">#REF!</definedName>
    <definedName name="BLPB11" localSheetId="26" hidden="1">#REF!</definedName>
    <definedName name="BLPB11" localSheetId="25" hidden="1">#REF!</definedName>
    <definedName name="BLPB11" localSheetId="35" hidden="1">#REF!</definedName>
    <definedName name="BLPB11" localSheetId="33" hidden="1">#REF!</definedName>
    <definedName name="BLPB11" localSheetId="36" hidden="1">#REF!</definedName>
    <definedName name="BLPB11" hidden="1">#REF!</definedName>
    <definedName name="BLPB12" localSheetId="26" hidden="1">#REF!</definedName>
    <definedName name="BLPB12" localSheetId="25" hidden="1">#REF!</definedName>
    <definedName name="BLPB12" localSheetId="35" hidden="1">#REF!</definedName>
    <definedName name="BLPB12" localSheetId="33" hidden="1">#REF!</definedName>
    <definedName name="BLPB12" localSheetId="36" hidden="1">#REF!</definedName>
    <definedName name="BLPB12" hidden="1">#REF!</definedName>
    <definedName name="BLPB13" localSheetId="26" hidden="1">#REF!</definedName>
    <definedName name="BLPB13" localSheetId="25" hidden="1">#REF!</definedName>
    <definedName name="BLPB13" localSheetId="35" hidden="1">#REF!</definedName>
    <definedName name="BLPB13" localSheetId="33" hidden="1">#REF!</definedName>
    <definedName name="BLPB13" localSheetId="36" hidden="1">#REF!</definedName>
    <definedName name="BLPB13" hidden="1">#REF!</definedName>
    <definedName name="BLPB14" localSheetId="26" hidden="1">#REF!</definedName>
    <definedName name="BLPB14" localSheetId="25" hidden="1">#REF!</definedName>
    <definedName name="BLPB14" localSheetId="35" hidden="1">#REF!</definedName>
    <definedName name="BLPB14" localSheetId="33" hidden="1">#REF!</definedName>
    <definedName name="BLPB14" localSheetId="36" hidden="1">#REF!</definedName>
    <definedName name="BLPB14" hidden="1">#REF!</definedName>
    <definedName name="BLPB15" localSheetId="26" hidden="1">#REF!</definedName>
    <definedName name="BLPB15" localSheetId="25" hidden="1">#REF!</definedName>
    <definedName name="BLPB15" localSheetId="35" hidden="1">#REF!</definedName>
    <definedName name="BLPB15" localSheetId="33" hidden="1">#REF!</definedName>
    <definedName name="BLPB15" localSheetId="36" hidden="1">#REF!</definedName>
    <definedName name="BLPB15" hidden="1">#REF!</definedName>
    <definedName name="BLPB16" localSheetId="26" hidden="1">#REF!</definedName>
    <definedName name="BLPB16" localSheetId="25" hidden="1">#REF!</definedName>
    <definedName name="BLPB16" localSheetId="35" hidden="1">#REF!</definedName>
    <definedName name="BLPB16" localSheetId="33" hidden="1">#REF!</definedName>
    <definedName name="BLPB16" localSheetId="36" hidden="1">#REF!</definedName>
    <definedName name="BLPB16" hidden="1">#REF!</definedName>
    <definedName name="BLPB17" localSheetId="26" hidden="1">#REF!</definedName>
    <definedName name="BLPB17" localSheetId="25" hidden="1">#REF!</definedName>
    <definedName name="BLPB17" localSheetId="35" hidden="1">#REF!</definedName>
    <definedName name="BLPB17" localSheetId="33" hidden="1">#REF!</definedName>
    <definedName name="BLPB17" localSheetId="36" hidden="1">#REF!</definedName>
    <definedName name="BLPB17" hidden="1">#REF!</definedName>
    <definedName name="BLPB18" localSheetId="26" hidden="1">#REF!</definedName>
    <definedName name="BLPB18" localSheetId="25" hidden="1">#REF!</definedName>
    <definedName name="BLPB18" localSheetId="35" hidden="1">#REF!</definedName>
    <definedName name="BLPB18" localSheetId="33" hidden="1">#REF!</definedName>
    <definedName name="BLPB18" localSheetId="36" hidden="1">#REF!</definedName>
    <definedName name="BLPB18" hidden="1">#REF!</definedName>
    <definedName name="BLPB19" localSheetId="26" hidden="1">#REF!</definedName>
    <definedName name="BLPB19" localSheetId="25" hidden="1">#REF!</definedName>
    <definedName name="BLPB19" localSheetId="35" hidden="1">#REF!</definedName>
    <definedName name="BLPB19" localSheetId="33" hidden="1">#REF!</definedName>
    <definedName name="BLPB19" localSheetId="36" hidden="1">#REF!</definedName>
    <definedName name="BLPB19" hidden="1">#REF!</definedName>
    <definedName name="BLPB2" localSheetId="26" hidden="1">#REF!</definedName>
    <definedName name="BLPB2" localSheetId="25" hidden="1">#REF!</definedName>
    <definedName name="BLPB2" localSheetId="35" hidden="1">#REF!</definedName>
    <definedName name="BLPB2" localSheetId="33" hidden="1">#REF!</definedName>
    <definedName name="BLPB2" localSheetId="36" hidden="1">#REF!</definedName>
    <definedName name="BLPB2" hidden="1">#REF!</definedName>
    <definedName name="BLPB20" localSheetId="26" hidden="1">#REF!</definedName>
    <definedName name="BLPB20" localSheetId="25" hidden="1">#REF!</definedName>
    <definedName name="BLPB20" localSheetId="35" hidden="1">#REF!</definedName>
    <definedName name="BLPB20" localSheetId="33" hidden="1">#REF!</definedName>
    <definedName name="BLPB20" localSheetId="36" hidden="1">#REF!</definedName>
    <definedName name="BLPB20" hidden="1">#REF!</definedName>
    <definedName name="BLPB21" localSheetId="26" hidden="1">#REF!</definedName>
    <definedName name="BLPB21" localSheetId="25" hidden="1">#REF!</definedName>
    <definedName name="BLPB21" localSheetId="35" hidden="1">#REF!</definedName>
    <definedName name="BLPB21" localSheetId="33" hidden="1">#REF!</definedName>
    <definedName name="BLPB21" localSheetId="36" hidden="1">#REF!</definedName>
    <definedName name="BLPB21" hidden="1">#REF!</definedName>
    <definedName name="BLPB22" localSheetId="26" hidden="1">#REF!</definedName>
    <definedName name="BLPB22" localSheetId="25" hidden="1">#REF!</definedName>
    <definedName name="BLPB22" localSheetId="35" hidden="1">#REF!</definedName>
    <definedName name="BLPB22" localSheetId="33" hidden="1">#REF!</definedName>
    <definedName name="BLPB22" localSheetId="36" hidden="1">#REF!</definedName>
    <definedName name="BLPB22" hidden="1">#REF!</definedName>
    <definedName name="BLPB23" localSheetId="26" hidden="1">#REF!</definedName>
    <definedName name="BLPB23" localSheetId="25" hidden="1">#REF!</definedName>
    <definedName name="BLPB23" localSheetId="35" hidden="1">#REF!</definedName>
    <definedName name="BLPB23" localSheetId="33" hidden="1">#REF!</definedName>
    <definedName name="BLPB23" localSheetId="36" hidden="1">#REF!</definedName>
    <definedName name="BLPB23" hidden="1">#REF!</definedName>
    <definedName name="BLPB24" localSheetId="26" hidden="1">#REF!</definedName>
    <definedName name="BLPB24" localSheetId="25" hidden="1">#REF!</definedName>
    <definedName name="BLPB24" localSheetId="35" hidden="1">#REF!</definedName>
    <definedName name="BLPB24" localSheetId="33" hidden="1">#REF!</definedName>
    <definedName name="BLPB24" localSheetId="36" hidden="1">#REF!</definedName>
    <definedName name="BLPB24" hidden="1">#REF!</definedName>
    <definedName name="BLPB25" localSheetId="26" hidden="1">#REF!</definedName>
    <definedName name="BLPB25" localSheetId="25" hidden="1">#REF!</definedName>
    <definedName name="BLPB25" localSheetId="35" hidden="1">#REF!</definedName>
    <definedName name="BLPB25" localSheetId="33" hidden="1">#REF!</definedName>
    <definedName name="BLPB25" localSheetId="36" hidden="1">#REF!</definedName>
    <definedName name="BLPB25" hidden="1">#REF!</definedName>
    <definedName name="BLPB26" localSheetId="26" hidden="1">#REF!</definedName>
    <definedName name="BLPB26" localSheetId="25" hidden="1">#REF!</definedName>
    <definedName name="BLPB26" localSheetId="35" hidden="1">#REF!</definedName>
    <definedName name="BLPB26" localSheetId="33" hidden="1">#REF!</definedName>
    <definedName name="BLPB26" localSheetId="36" hidden="1">#REF!</definedName>
    <definedName name="BLPB26" hidden="1">#REF!</definedName>
    <definedName name="BLPB27" localSheetId="26" hidden="1">#REF!</definedName>
    <definedName name="BLPB27" localSheetId="25" hidden="1">#REF!</definedName>
    <definedName name="BLPB27" localSheetId="35" hidden="1">#REF!</definedName>
    <definedName name="BLPB27" localSheetId="33" hidden="1">#REF!</definedName>
    <definedName name="BLPB27" localSheetId="36" hidden="1">#REF!</definedName>
    <definedName name="BLPB27" hidden="1">#REF!</definedName>
    <definedName name="BLPB28" localSheetId="26" hidden="1">#REF!</definedName>
    <definedName name="BLPB28" localSheetId="25" hidden="1">#REF!</definedName>
    <definedName name="BLPB28" localSheetId="35" hidden="1">#REF!</definedName>
    <definedName name="BLPB28" localSheetId="33" hidden="1">#REF!</definedName>
    <definedName name="BLPB28" localSheetId="36" hidden="1">#REF!</definedName>
    <definedName name="BLPB28" hidden="1">#REF!</definedName>
    <definedName name="BLPB29" localSheetId="26" hidden="1">#REF!</definedName>
    <definedName name="BLPB29" localSheetId="25" hidden="1">#REF!</definedName>
    <definedName name="BLPB29" localSheetId="35" hidden="1">#REF!</definedName>
    <definedName name="BLPB29" localSheetId="33" hidden="1">#REF!</definedName>
    <definedName name="BLPB29" localSheetId="36" hidden="1">#REF!</definedName>
    <definedName name="BLPB29" hidden="1">#REF!</definedName>
    <definedName name="BLPB3" localSheetId="26" hidden="1">#REF!</definedName>
    <definedName name="BLPB3" localSheetId="25" hidden="1">#REF!</definedName>
    <definedName name="BLPB3" localSheetId="35" hidden="1">#REF!</definedName>
    <definedName name="BLPB3" localSheetId="33" hidden="1">#REF!</definedName>
    <definedName name="BLPB3" localSheetId="36" hidden="1">#REF!</definedName>
    <definedName name="BLPB3" hidden="1">#REF!</definedName>
    <definedName name="BLPB30" localSheetId="26" hidden="1">#REF!</definedName>
    <definedName name="BLPB30" localSheetId="25" hidden="1">#REF!</definedName>
    <definedName name="BLPB30" localSheetId="35" hidden="1">#REF!</definedName>
    <definedName name="BLPB30" localSheetId="33" hidden="1">#REF!</definedName>
    <definedName name="BLPB30" localSheetId="36" hidden="1">#REF!</definedName>
    <definedName name="BLPB30" hidden="1">#REF!</definedName>
    <definedName name="BLPB4" localSheetId="26" hidden="1">#REF!</definedName>
    <definedName name="BLPB4" localSheetId="25" hidden="1">#REF!</definedName>
    <definedName name="BLPB4" localSheetId="35" hidden="1">#REF!</definedName>
    <definedName name="BLPB4" localSheetId="33" hidden="1">#REF!</definedName>
    <definedName name="BLPB4" localSheetId="36" hidden="1">#REF!</definedName>
    <definedName name="BLPB4" hidden="1">#REF!</definedName>
    <definedName name="BLPB5" localSheetId="26" hidden="1">#REF!</definedName>
    <definedName name="BLPB5" localSheetId="25" hidden="1">#REF!</definedName>
    <definedName name="BLPB5" localSheetId="35" hidden="1">#REF!</definedName>
    <definedName name="BLPB5" localSheetId="33" hidden="1">#REF!</definedName>
    <definedName name="BLPB5" localSheetId="36" hidden="1">#REF!</definedName>
    <definedName name="BLPB5" hidden="1">#REF!</definedName>
    <definedName name="BLPB6" localSheetId="26" hidden="1">#REF!</definedName>
    <definedName name="BLPB6" localSheetId="25" hidden="1">#REF!</definedName>
    <definedName name="BLPB6" localSheetId="35" hidden="1">#REF!</definedName>
    <definedName name="BLPB6" localSheetId="33" hidden="1">#REF!</definedName>
    <definedName name="BLPB6" localSheetId="36" hidden="1">#REF!</definedName>
    <definedName name="BLPB6" hidden="1">#REF!</definedName>
    <definedName name="BLPB7" localSheetId="26" hidden="1">#REF!</definedName>
    <definedName name="BLPB7" localSheetId="25" hidden="1">#REF!</definedName>
    <definedName name="BLPB7" localSheetId="35" hidden="1">#REF!</definedName>
    <definedName name="BLPB7" localSheetId="33" hidden="1">#REF!</definedName>
    <definedName name="BLPB7" localSheetId="36" hidden="1">#REF!</definedName>
    <definedName name="BLPB7" hidden="1">#REF!</definedName>
    <definedName name="BLPB8" localSheetId="26" hidden="1">#REF!</definedName>
    <definedName name="BLPB8" localSheetId="25" hidden="1">#REF!</definedName>
    <definedName name="BLPB8" localSheetId="35" hidden="1">#REF!</definedName>
    <definedName name="BLPB8" localSheetId="33" hidden="1">#REF!</definedName>
    <definedName name="BLPB8" localSheetId="36" hidden="1">#REF!</definedName>
    <definedName name="BLPB8" hidden="1">#REF!</definedName>
    <definedName name="BLPB9" localSheetId="26" hidden="1">#REF!</definedName>
    <definedName name="BLPB9" localSheetId="25" hidden="1">#REF!</definedName>
    <definedName name="BLPB9" localSheetId="35" hidden="1">#REF!</definedName>
    <definedName name="BLPB9" localSheetId="33" hidden="1">#REF!</definedName>
    <definedName name="BLPB9" localSheetId="36" hidden="1">#REF!</definedName>
    <definedName name="BLPB9" hidden="1">#REF!</definedName>
    <definedName name="BLPH1" localSheetId="26" hidden="1">#REF!</definedName>
    <definedName name="BLPH1" localSheetId="25" hidden="1">#REF!</definedName>
    <definedName name="BLPH1" localSheetId="35" hidden="1">#REF!</definedName>
    <definedName name="BLPH1" localSheetId="33" hidden="1">#REF!</definedName>
    <definedName name="BLPH1" localSheetId="36" hidden="1">#REF!</definedName>
    <definedName name="BLPH1" hidden="1">#REF!</definedName>
    <definedName name="BLPH10" localSheetId="26" hidden="1">#REF!</definedName>
    <definedName name="BLPH10" localSheetId="25" hidden="1">#REF!</definedName>
    <definedName name="BLPH10" localSheetId="35" hidden="1">#REF!</definedName>
    <definedName name="BLPH10" localSheetId="33" hidden="1">#REF!</definedName>
    <definedName name="BLPH10" localSheetId="36" hidden="1">#REF!</definedName>
    <definedName name="BLPH10" hidden="1">#REF!</definedName>
    <definedName name="BLPH11" localSheetId="26" hidden="1">#REF!</definedName>
    <definedName name="BLPH11" localSheetId="25" hidden="1">#REF!</definedName>
    <definedName name="BLPH11" localSheetId="35" hidden="1">#REF!</definedName>
    <definedName name="BLPH11" localSheetId="33" hidden="1">#REF!</definedName>
    <definedName name="BLPH11" localSheetId="36" hidden="1">#REF!</definedName>
    <definedName name="BLPH11" hidden="1">#REF!</definedName>
    <definedName name="BLPH12" localSheetId="26" hidden="1">#REF!</definedName>
    <definedName name="BLPH12" localSheetId="25" hidden="1">#REF!</definedName>
    <definedName name="BLPH12" localSheetId="35" hidden="1">#REF!</definedName>
    <definedName name="BLPH12" localSheetId="33" hidden="1">#REF!</definedName>
    <definedName name="BLPH12" localSheetId="36" hidden="1">#REF!</definedName>
    <definedName name="BLPH12" hidden="1">#REF!</definedName>
    <definedName name="BLPH13" localSheetId="26" hidden="1">#REF!</definedName>
    <definedName name="BLPH13" localSheetId="25" hidden="1">#REF!</definedName>
    <definedName name="BLPH13" localSheetId="35" hidden="1">#REF!</definedName>
    <definedName name="BLPH13" localSheetId="33" hidden="1">#REF!</definedName>
    <definedName name="BLPH13" localSheetId="36" hidden="1">#REF!</definedName>
    <definedName name="BLPH13" hidden="1">#REF!</definedName>
    <definedName name="BLPH14" localSheetId="26" hidden="1">#REF!</definedName>
    <definedName name="BLPH14" localSheetId="25" hidden="1">#REF!</definedName>
    <definedName name="BLPH14" localSheetId="35" hidden="1">#REF!</definedName>
    <definedName name="BLPH14" localSheetId="33" hidden="1">#REF!</definedName>
    <definedName name="BLPH14" localSheetId="36" hidden="1">#REF!</definedName>
    <definedName name="BLPH14" hidden="1">#REF!</definedName>
    <definedName name="BLPH15" localSheetId="26" hidden="1">#REF!</definedName>
    <definedName name="BLPH15" localSheetId="25" hidden="1">#REF!</definedName>
    <definedName name="BLPH15" localSheetId="35" hidden="1">#REF!</definedName>
    <definedName name="BLPH15" localSheetId="33" hidden="1">#REF!</definedName>
    <definedName name="BLPH15" localSheetId="36" hidden="1">#REF!</definedName>
    <definedName name="BLPH15" hidden="1">#REF!</definedName>
    <definedName name="BLPH16" localSheetId="26" hidden="1">#REF!</definedName>
    <definedName name="BLPH16" localSheetId="25" hidden="1">#REF!</definedName>
    <definedName name="BLPH16" localSheetId="35" hidden="1">#REF!</definedName>
    <definedName name="BLPH16" localSheetId="33" hidden="1">#REF!</definedName>
    <definedName name="BLPH16" localSheetId="36" hidden="1">#REF!</definedName>
    <definedName name="BLPH16" hidden="1">#REF!</definedName>
    <definedName name="BLPH17" localSheetId="26" hidden="1">#REF!</definedName>
    <definedName name="BLPH17" localSheetId="25" hidden="1">#REF!</definedName>
    <definedName name="BLPH17" localSheetId="35" hidden="1">#REF!</definedName>
    <definedName name="BLPH17" localSheetId="33" hidden="1">#REF!</definedName>
    <definedName name="BLPH17" localSheetId="36" hidden="1">#REF!</definedName>
    <definedName name="BLPH17" hidden="1">#REF!</definedName>
    <definedName name="BLPH18" localSheetId="26" hidden="1">#REF!</definedName>
    <definedName name="BLPH18" localSheetId="25" hidden="1">#REF!</definedName>
    <definedName name="BLPH18" localSheetId="35" hidden="1">#REF!</definedName>
    <definedName name="BLPH18" localSheetId="33" hidden="1">#REF!</definedName>
    <definedName name="BLPH18" localSheetId="36" hidden="1">#REF!</definedName>
    <definedName name="BLPH18" hidden="1">#REF!</definedName>
    <definedName name="BLPH19" localSheetId="26" hidden="1">#REF!</definedName>
    <definedName name="BLPH19" localSheetId="25" hidden="1">#REF!</definedName>
    <definedName name="BLPH19" localSheetId="35" hidden="1">#REF!</definedName>
    <definedName name="BLPH19" localSheetId="33" hidden="1">#REF!</definedName>
    <definedName name="BLPH19" localSheetId="36" hidden="1">#REF!</definedName>
    <definedName name="BLPH19" hidden="1">#REF!</definedName>
    <definedName name="BLPH2" localSheetId="26" hidden="1">#REF!</definedName>
    <definedName name="BLPH2" localSheetId="25" hidden="1">#REF!</definedName>
    <definedName name="BLPH2" localSheetId="35" hidden="1">#REF!</definedName>
    <definedName name="BLPH2" localSheetId="33" hidden="1">#REF!</definedName>
    <definedName name="BLPH2" localSheetId="36" hidden="1">#REF!</definedName>
    <definedName name="BLPH2" hidden="1">#REF!</definedName>
    <definedName name="BLPH20" localSheetId="26" hidden="1">#REF!</definedName>
    <definedName name="BLPH20" localSheetId="25" hidden="1">#REF!</definedName>
    <definedName name="BLPH20" localSheetId="35" hidden="1">#REF!</definedName>
    <definedName name="BLPH20" localSheetId="33" hidden="1">#REF!</definedName>
    <definedName name="BLPH20" localSheetId="36" hidden="1">#REF!</definedName>
    <definedName name="BLPH20" hidden="1">#REF!</definedName>
    <definedName name="BLPH21" localSheetId="26" hidden="1">#REF!</definedName>
    <definedName name="BLPH21" localSheetId="25" hidden="1">#REF!</definedName>
    <definedName name="BLPH21" localSheetId="35" hidden="1">#REF!</definedName>
    <definedName name="BLPH21" localSheetId="33" hidden="1">#REF!</definedName>
    <definedName name="BLPH21" localSheetId="36" hidden="1">#REF!</definedName>
    <definedName name="BLPH21" hidden="1">#REF!</definedName>
    <definedName name="BLPH22" localSheetId="26" hidden="1">#REF!</definedName>
    <definedName name="BLPH22" localSheetId="25" hidden="1">#REF!</definedName>
    <definedName name="BLPH22" localSheetId="35" hidden="1">#REF!</definedName>
    <definedName name="BLPH22" localSheetId="33" hidden="1">#REF!</definedName>
    <definedName name="BLPH22" localSheetId="36" hidden="1">#REF!</definedName>
    <definedName name="BLPH22" hidden="1">#REF!</definedName>
    <definedName name="BLPH23" localSheetId="26" hidden="1">#REF!</definedName>
    <definedName name="BLPH23" localSheetId="25" hidden="1">#REF!</definedName>
    <definedName name="BLPH23" localSheetId="35" hidden="1">#REF!</definedName>
    <definedName name="BLPH23" localSheetId="33" hidden="1">#REF!</definedName>
    <definedName name="BLPH23" localSheetId="36" hidden="1">#REF!</definedName>
    <definedName name="BLPH23" hidden="1">#REF!</definedName>
    <definedName name="BLPH24" localSheetId="26" hidden="1">#REF!</definedName>
    <definedName name="BLPH24" localSheetId="25" hidden="1">#REF!</definedName>
    <definedName name="BLPH24" localSheetId="35" hidden="1">#REF!</definedName>
    <definedName name="BLPH24" localSheetId="33" hidden="1">#REF!</definedName>
    <definedName name="BLPH24" localSheetId="36" hidden="1">#REF!</definedName>
    <definedName name="BLPH24" hidden="1">#REF!</definedName>
    <definedName name="BLPH25" localSheetId="26" hidden="1">#REF!</definedName>
    <definedName name="BLPH25" localSheetId="25" hidden="1">#REF!</definedName>
    <definedName name="BLPH25" localSheetId="35" hidden="1">#REF!</definedName>
    <definedName name="BLPH25" localSheetId="33" hidden="1">#REF!</definedName>
    <definedName name="BLPH25" localSheetId="36" hidden="1">#REF!</definedName>
    <definedName name="BLPH25" hidden="1">#REF!</definedName>
    <definedName name="BLPH26" localSheetId="26" hidden="1">#REF!</definedName>
    <definedName name="BLPH26" localSheetId="25" hidden="1">#REF!</definedName>
    <definedName name="BLPH26" localSheetId="35" hidden="1">#REF!</definedName>
    <definedName name="BLPH26" localSheetId="33" hidden="1">#REF!</definedName>
    <definedName name="BLPH26" localSheetId="36" hidden="1">#REF!</definedName>
    <definedName name="BLPH26" hidden="1">#REF!</definedName>
    <definedName name="BLPH27" localSheetId="26" hidden="1">#REF!</definedName>
    <definedName name="BLPH27" localSheetId="25" hidden="1">#REF!</definedName>
    <definedName name="BLPH27" localSheetId="35" hidden="1">#REF!</definedName>
    <definedName name="BLPH27" localSheetId="33" hidden="1">#REF!</definedName>
    <definedName name="BLPH27" localSheetId="36" hidden="1">#REF!</definedName>
    <definedName name="BLPH27" hidden="1">#REF!</definedName>
    <definedName name="BLPH28" localSheetId="26" hidden="1">#REF!</definedName>
    <definedName name="BLPH28" localSheetId="25" hidden="1">#REF!</definedName>
    <definedName name="BLPH28" localSheetId="35" hidden="1">#REF!</definedName>
    <definedName name="BLPH28" localSheetId="33" hidden="1">#REF!</definedName>
    <definedName name="BLPH28" localSheetId="36" hidden="1">#REF!</definedName>
    <definedName name="BLPH28" hidden="1">#REF!</definedName>
    <definedName name="BLPH29" localSheetId="26" hidden="1">#REF!</definedName>
    <definedName name="BLPH29" localSheetId="25" hidden="1">#REF!</definedName>
    <definedName name="BLPH29" localSheetId="35" hidden="1">#REF!</definedName>
    <definedName name="BLPH29" localSheetId="33" hidden="1">#REF!</definedName>
    <definedName name="BLPH29" localSheetId="36" hidden="1">#REF!</definedName>
    <definedName name="BLPH29" hidden="1">#REF!</definedName>
    <definedName name="BLPH3" localSheetId="26" hidden="1">#REF!</definedName>
    <definedName name="BLPH3" localSheetId="25" hidden="1">#REF!</definedName>
    <definedName name="BLPH3" localSheetId="35" hidden="1">#REF!</definedName>
    <definedName name="BLPH3" localSheetId="33" hidden="1">#REF!</definedName>
    <definedName name="BLPH3" localSheetId="36" hidden="1">#REF!</definedName>
    <definedName name="BLPH3" hidden="1">#REF!</definedName>
    <definedName name="BLPH30" localSheetId="26" hidden="1">#REF!</definedName>
    <definedName name="BLPH30" localSheetId="25" hidden="1">#REF!</definedName>
    <definedName name="BLPH30" localSheetId="35" hidden="1">#REF!</definedName>
    <definedName name="BLPH30" localSheetId="33" hidden="1">#REF!</definedName>
    <definedName name="BLPH30" localSheetId="36" hidden="1">#REF!</definedName>
    <definedName name="BLPH30" hidden="1">#REF!</definedName>
    <definedName name="BLPH31" localSheetId="26" hidden="1">#REF!</definedName>
    <definedName name="BLPH31" localSheetId="25" hidden="1">#REF!</definedName>
    <definedName name="BLPH31" localSheetId="35" hidden="1">#REF!</definedName>
    <definedName name="BLPH31" localSheetId="33" hidden="1">#REF!</definedName>
    <definedName name="BLPH31" localSheetId="36" hidden="1">#REF!</definedName>
    <definedName name="BLPH31" hidden="1">#REF!</definedName>
    <definedName name="BLPH32" localSheetId="26" hidden="1">#REF!</definedName>
    <definedName name="BLPH32" localSheetId="25" hidden="1">#REF!</definedName>
    <definedName name="BLPH32" localSheetId="35" hidden="1">#REF!</definedName>
    <definedName name="BLPH32" localSheetId="33" hidden="1">#REF!</definedName>
    <definedName name="BLPH32" localSheetId="36" hidden="1">#REF!</definedName>
    <definedName name="BLPH32" hidden="1">#REF!</definedName>
    <definedName name="BLPH33" localSheetId="26" hidden="1">#REF!</definedName>
    <definedName name="BLPH33" localSheetId="25" hidden="1">#REF!</definedName>
    <definedName name="BLPH33" localSheetId="35" hidden="1">#REF!</definedName>
    <definedName name="BLPH33" localSheetId="33" hidden="1">#REF!</definedName>
    <definedName name="BLPH33" localSheetId="36" hidden="1">#REF!</definedName>
    <definedName name="BLPH33" hidden="1">#REF!</definedName>
    <definedName name="BLPH34" localSheetId="26" hidden="1">#REF!</definedName>
    <definedName name="BLPH34" localSheetId="25" hidden="1">#REF!</definedName>
    <definedName name="BLPH34" localSheetId="35" hidden="1">#REF!</definedName>
    <definedName name="BLPH34" localSheetId="33" hidden="1">#REF!</definedName>
    <definedName name="BLPH34" localSheetId="36" hidden="1">#REF!</definedName>
    <definedName name="BLPH34" hidden="1">#REF!</definedName>
    <definedName name="BLPH35" localSheetId="26" hidden="1">#REF!</definedName>
    <definedName name="BLPH35" localSheetId="25" hidden="1">#REF!</definedName>
    <definedName name="BLPH35" localSheetId="35" hidden="1">#REF!</definedName>
    <definedName name="BLPH35" localSheetId="33" hidden="1">#REF!</definedName>
    <definedName name="BLPH35" localSheetId="36" hidden="1">#REF!</definedName>
    <definedName name="BLPH35" hidden="1">#REF!</definedName>
    <definedName name="BLPH36" localSheetId="26" hidden="1">#REF!</definedName>
    <definedName name="BLPH36" localSheetId="25" hidden="1">#REF!</definedName>
    <definedName name="BLPH36" localSheetId="35" hidden="1">#REF!</definedName>
    <definedName name="BLPH36" localSheetId="33" hidden="1">#REF!</definedName>
    <definedName name="BLPH36" localSheetId="36" hidden="1">#REF!</definedName>
    <definedName name="BLPH36" hidden="1">#REF!</definedName>
    <definedName name="BLPH37" localSheetId="26" hidden="1">#REF!</definedName>
    <definedName name="BLPH37" localSheetId="25" hidden="1">#REF!</definedName>
    <definedName name="BLPH37" localSheetId="35" hidden="1">#REF!</definedName>
    <definedName name="BLPH37" localSheetId="33" hidden="1">#REF!</definedName>
    <definedName name="BLPH37" localSheetId="36" hidden="1">#REF!</definedName>
    <definedName name="BLPH37" hidden="1">#REF!</definedName>
    <definedName name="BLPH38" localSheetId="26" hidden="1">#REF!</definedName>
    <definedName name="BLPH38" localSheetId="25" hidden="1">#REF!</definedName>
    <definedName name="BLPH38" localSheetId="35" hidden="1">#REF!</definedName>
    <definedName name="BLPH38" localSheetId="33" hidden="1">#REF!</definedName>
    <definedName name="BLPH38" localSheetId="36" hidden="1">#REF!</definedName>
    <definedName name="BLPH38" hidden="1">#REF!</definedName>
    <definedName name="BLPH39" localSheetId="26" hidden="1">#REF!</definedName>
    <definedName name="BLPH39" localSheetId="25" hidden="1">#REF!</definedName>
    <definedName name="BLPH39" localSheetId="35" hidden="1">#REF!</definedName>
    <definedName name="BLPH39" localSheetId="33" hidden="1">#REF!</definedName>
    <definedName name="BLPH39" localSheetId="36" hidden="1">#REF!</definedName>
    <definedName name="BLPH39" hidden="1">#REF!</definedName>
    <definedName name="BLPH4" localSheetId="26" hidden="1">#REF!</definedName>
    <definedName name="BLPH4" localSheetId="25" hidden="1">#REF!</definedName>
    <definedName name="BLPH4" localSheetId="35" hidden="1">#REF!</definedName>
    <definedName name="BLPH4" localSheetId="33" hidden="1">#REF!</definedName>
    <definedName name="BLPH4" localSheetId="36" hidden="1">#REF!</definedName>
    <definedName name="BLPH4" hidden="1">#REF!</definedName>
    <definedName name="BLPH40" localSheetId="26" hidden="1">#REF!</definedName>
    <definedName name="BLPH40" localSheetId="25" hidden="1">#REF!</definedName>
    <definedName name="BLPH40" localSheetId="35" hidden="1">#REF!</definedName>
    <definedName name="BLPH40" localSheetId="33" hidden="1">#REF!</definedName>
    <definedName name="BLPH40" localSheetId="36" hidden="1">#REF!</definedName>
    <definedName name="BLPH40" hidden="1">#REF!</definedName>
    <definedName name="BLPH41" localSheetId="26" hidden="1">#REF!</definedName>
    <definedName name="BLPH41" localSheetId="25" hidden="1">#REF!</definedName>
    <definedName name="BLPH41" localSheetId="35" hidden="1">#REF!</definedName>
    <definedName name="BLPH41" localSheetId="33" hidden="1">#REF!</definedName>
    <definedName name="BLPH41" localSheetId="36" hidden="1">#REF!</definedName>
    <definedName name="BLPH41" hidden="1">#REF!</definedName>
    <definedName name="BLPH42" localSheetId="26" hidden="1">#REF!</definedName>
    <definedName name="BLPH42" localSheetId="25" hidden="1">#REF!</definedName>
    <definedName name="BLPH42" localSheetId="35" hidden="1">#REF!</definedName>
    <definedName name="BLPH42" localSheetId="33" hidden="1">#REF!</definedName>
    <definedName name="BLPH42" localSheetId="36" hidden="1">#REF!</definedName>
    <definedName name="BLPH42" hidden="1">#REF!</definedName>
    <definedName name="BLPH43" localSheetId="26" hidden="1">#REF!</definedName>
    <definedName name="BLPH43" localSheetId="25" hidden="1">#REF!</definedName>
    <definedName name="BLPH43" localSheetId="35" hidden="1">#REF!</definedName>
    <definedName name="BLPH43" localSheetId="33" hidden="1">#REF!</definedName>
    <definedName name="BLPH43" localSheetId="36" hidden="1">#REF!</definedName>
    <definedName name="BLPH43" hidden="1">#REF!</definedName>
    <definedName name="BLPH44" localSheetId="26" hidden="1">#REF!</definedName>
    <definedName name="BLPH44" localSheetId="25" hidden="1">#REF!</definedName>
    <definedName name="BLPH44" localSheetId="35" hidden="1">#REF!</definedName>
    <definedName name="BLPH44" localSheetId="33" hidden="1">#REF!</definedName>
    <definedName name="BLPH44" localSheetId="36" hidden="1">#REF!</definedName>
    <definedName name="BLPH44" hidden="1">#REF!</definedName>
    <definedName name="BLPH45" localSheetId="26" hidden="1">#REF!</definedName>
    <definedName name="BLPH45" localSheetId="25" hidden="1">#REF!</definedName>
    <definedName name="BLPH45" localSheetId="35" hidden="1">#REF!</definedName>
    <definedName name="BLPH45" localSheetId="33" hidden="1">#REF!</definedName>
    <definedName name="BLPH45" localSheetId="36" hidden="1">#REF!</definedName>
    <definedName name="BLPH45" hidden="1">#REF!</definedName>
    <definedName name="BLPH46" localSheetId="26" hidden="1">#REF!</definedName>
    <definedName name="BLPH46" localSheetId="25" hidden="1">#REF!</definedName>
    <definedName name="BLPH46" localSheetId="35" hidden="1">#REF!</definedName>
    <definedName name="BLPH46" localSheetId="33" hidden="1">#REF!</definedName>
    <definedName name="BLPH46" localSheetId="36" hidden="1">#REF!</definedName>
    <definedName name="BLPH46" hidden="1">#REF!</definedName>
    <definedName name="BLPH47" localSheetId="26" hidden="1">#REF!</definedName>
    <definedName name="BLPH47" localSheetId="25" hidden="1">#REF!</definedName>
    <definedName name="BLPH47" localSheetId="35" hidden="1">#REF!</definedName>
    <definedName name="BLPH47" localSheetId="33" hidden="1">#REF!</definedName>
    <definedName name="BLPH47" localSheetId="36" hidden="1">#REF!</definedName>
    <definedName name="BLPH47" hidden="1">#REF!</definedName>
    <definedName name="BLPH48" localSheetId="26" hidden="1">#REF!</definedName>
    <definedName name="BLPH48" localSheetId="25" hidden="1">#REF!</definedName>
    <definedName name="BLPH48" localSheetId="35" hidden="1">#REF!</definedName>
    <definedName name="BLPH48" localSheetId="33" hidden="1">#REF!</definedName>
    <definedName name="BLPH48" localSheetId="36" hidden="1">#REF!</definedName>
    <definedName name="BLPH48" hidden="1">#REF!</definedName>
    <definedName name="BLPH49" localSheetId="26" hidden="1">#REF!</definedName>
    <definedName name="BLPH49" localSheetId="25" hidden="1">#REF!</definedName>
    <definedName name="BLPH49" localSheetId="35" hidden="1">#REF!</definedName>
    <definedName name="BLPH49" localSheetId="33" hidden="1">#REF!</definedName>
    <definedName name="BLPH49" localSheetId="36" hidden="1">#REF!</definedName>
    <definedName name="BLPH49" hidden="1">#REF!</definedName>
    <definedName name="BLPH5" localSheetId="26" hidden="1">#REF!</definedName>
    <definedName name="BLPH5" localSheetId="25" hidden="1">#REF!</definedName>
    <definedName name="BLPH5" localSheetId="35" hidden="1">#REF!</definedName>
    <definedName name="BLPH5" localSheetId="33" hidden="1">#REF!</definedName>
    <definedName name="BLPH5" localSheetId="36" hidden="1">#REF!</definedName>
    <definedName name="BLPH5" hidden="1">#REF!</definedName>
    <definedName name="BLPH50" localSheetId="26" hidden="1">#REF!</definedName>
    <definedName name="BLPH50" localSheetId="25" hidden="1">#REF!</definedName>
    <definedName name="BLPH50" localSheetId="35" hidden="1">#REF!</definedName>
    <definedName name="BLPH50" localSheetId="33" hidden="1">#REF!</definedName>
    <definedName name="BLPH50" localSheetId="36" hidden="1">#REF!</definedName>
    <definedName name="BLPH50" hidden="1">#REF!</definedName>
    <definedName name="BLPH51" localSheetId="26" hidden="1">#REF!</definedName>
    <definedName name="BLPH51" localSheetId="25" hidden="1">#REF!</definedName>
    <definedName name="BLPH51" localSheetId="35" hidden="1">#REF!</definedName>
    <definedName name="BLPH51" localSheetId="33" hidden="1">#REF!</definedName>
    <definedName name="BLPH51" localSheetId="36" hidden="1">#REF!</definedName>
    <definedName name="BLPH51" hidden="1">#REF!</definedName>
    <definedName name="BLPH52" localSheetId="26" hidden="1">#REF!</definedName>
    <definedName name="BLPH52" localSheetId="25" hidden="1">#REF!</definedName>
    <definedName name="BLPH52" localSheetId="35" hidden="1">#REF!</definedName>
    <definedName name="BLPH52" localSheetId="33" hidden="1">#REF!</definedName>
    <definedName name="BLPH52" localSheetId="36" hidden="1">#REF!</definedName>
    <definedName name="BLPH52" hidden="1">#REF!</definedName>
    <definedName name="BLPH53" localSheetId="26" hidden="1">#REF!</definedName>
    <definedName name="BLPH53" localSheetId="25" hidden="1">#REF!</definedName>
    <definedName name="BLPH53" localSheetId="35" hidden="1">#REF!</definedName>
    <definedName name="BLPH53" localSheetId="33" hidden="1">#REF!</definedName>
    <definedName name="BLPH53" localSheetId="36" hidden="1">#REF!</definedName>
    <definedName name="BLPH53" hidden="1">#REF!</definedName>
    <definedName name="BLPH54" localSheetId="26" hidden="1">#REF!</definedName>
    <definedName name="BLPH54" localSheetId="25" hidden="1">#REF!</definedName>
    <definedName name="BLPH54" localSheetId="35" hidden="1">#REF!</definedName>
    <definedName name="BLPH54" localSheetId="33" hidden="1">#REF!</definedName>
    <definedName name="BLPH54" localSheetId="36" hidden="1">#REF!</definedName>
    <definedName name="BLPH54" hidden="1">#REF!</definedName>
    <definedName name="BLPH55" localSheetId="26" hidden="1">#REF!</definedName>
    <definedName name="BLPH55" localSheetId="25" hidden="1">#REF!</definedName>
    <definedName name="BLPH55" localSheetId="35" hidden="1">#REF!</definedName>
    <definedName name="BLPH55" localSheetId="33" hidden="1">#REF!</definedName>
    <definedName name="BLPH55" localSheetId="36" hidden="1">#REF!</definedName>
    <definedName name="BLPH55" hidden="1">#REF!</definedName>
    <definedName name="BLPH56" localSheetId="26" hidden="1">#REF!</definedName>
    <definedName name="BLPH56" localSheetId="25" hidden="1">#REF!</definedName>
    <definedName name="BLPH56" localSheetId="35" hidden="1">#REF!</definedName>
    <definedName name="BLPH56" localSheetId="33" hidden="1">#REF!</definedName>
    <definedName name="BLPH56" localSheetId="36" hidden="1">#REF!</definedName>
    <definedName name="BLPH56" hidden="1">#REF!</definedName>
    <definedName name="BLPH57" localSheetId="26" hidden="1">#REF!</definedName>
    <definedName name="BLPH57" localSheetId="25" hidden="1">#REF!</definedName>
    <definedName name="BLPH57" localSheetId="35" hidden="1">#REF!</definedName>
    <definedName name="BLPH57" localSheetId="33" hidden="1">#REF!</definedName>
    <definedName name="BLPH57" localSheetId="36" hidden="1">#REF!</definedName>
    <definedName name="BLPH57" hidden="1">#REF!</definedName>
    <definedName name="BLPH58" localSheetId="26" hidden="1">#REF!</definedName>
    <definedName name="BLPH58" localSheetId="25" hidden="1">#REF!</definedName>
    <definedName name="BLPH58" localSheetId="35" hidden="1">#REF!</definedName>
    <definedName name="BLPH58" localSheetId="33" hidden="1">#REF!</definedName>
    <definedName name="BLPH58" localSheetId="36" hidden="1">#REF!</definedName>
    <definedName name="BLPH58" hidden="1">#REF!</definedName>
    <definedName name="BLPH59" localSheetId="26" hidden="1">#REF!</definedName>
    <definedName name="BLPH59" localSheetId="25" hidden="1">#REF!</definedName>
    <definedName name="BLPH59" localSheetId="35" hidden="1">#REF!</definedName>
    <definedName name="BLPH59" localSheetId="33" hidden="1">#REF!</definedName>
    <definedName name="BLPH59" localSheetId="36" hidden="1">#REF!</definedName>
    <definedName name="BLPH59" hidden="1">#REF!</definedName>
    <definedName name="BLPH6" localSheetId="26" hidden="1">#REF!</definedName>
    <definedName name="BLPH6" localSheetId="25" hidden="1">#REF!</definedName>
    <definedName name="BLPH6" localSheetId="35" hidden="1">#REF!</definedName>
    <definedName name="BLPH6" localSheetId="33" hidden="1">#REF!</definedName>
    <definedName name="BLPH6" localSheetId="36" hidden="1">#REF!</definedName>
    <definedName name="BLPH6" hidden="1">#REF!</definedName>
    <definedName name="BLPH60" localSheetId="26" hidden="1">#REF!</definedName>
    <definedName name="BLPH60" localSheetId="25" hidden="1">#REF!</definedName>
    <definedName name="BLPH60" localSheetId="35" hidden="1">#REF!</definedName>
    <definedName name="BLPH60" localSheetId="33" hidden="1">#REF!</definedName>
    <definedName name="BLPH60" localSheetId="36" hidden="1">#REF!</definedName>
    <definedName name="BLPH60" hidden="1">#REF!</definedName>
    <definedName name="BLPH7" localSheetId="26" hidden="1">#REF!</definedName>
    <definedName name="BLPH7" localSheetId="25" hidden="1">#REF!</definedName>
    <definedName name="BLPH7" localSheetId="35" hidden="1">#REF!</definedName>
    <definedName name="BLPH7" localSheetId="33" hidden="1">#REF!</definedName>
    <definedName name="BLPH7" localSheetId="36" hidden="1">#REF!</definedName>
    <definedName name="BLPH7" hidden="1">#REF!</definedName>
    <definedName name="BLPH8" localSheetId="26" hidden="1">#REF!</definedName>
    <definedName name="BLPH8" localSheetId="25" hidden="1">#REF!</definedName>
    <definedName name="BLPH8" localSheetId="35" hidden="1">#REF!</definedName>
    <definedName name="BLPH8" localSheetId="33" hidden="1">#REF!</definedName>
    <definedName name="BLPH8" localSheetId="36" hidden="1">#REF!</definedName>
    <definedName name="BLPH8" hidden="1">#REF!</definedName>
    <definedName name="BLPH9" localSheetId="26" hidden="1">#REF!</definedName>
    <definedName name="BLPH9" localSheetId="25" hidden="1">#REF!</definedName>
    <definedName name="BLPH9" localSheetId="35" hidden="1">#REF!</definedName>
    <definedName name="BLPH9" localSheetId="33" hidden="1">#REF!</definedName>
    <definedName name="BLPH9" localSheetId="36" hidden="1">#REF!</definedName>
    <definedName name="BLPH9" hidden="1">#REF!</definedName>
    <definedName name="bnnn" localSheetId="28" hidden="1">{"mgmt forecast",#N/A,FALSE,"Mgmt Forecast";"dcf table",#N/A,FALSE,"Mgmt Forecast";"sensitivity",#N/A,FALSE,"Mgmt Forecast";"table inputs",#N/A,FALSE,"Mgmt Forecast";"calculations",#N/A,FALSE,"Mgmt Forecast"}</definedName>
    <definedName name="bnnn" hidden="1">{"mgmt forecast",#N/A,FALSE,"Mgmt Forecast";"dcf table",#N/A,FALSE,"Mgmt Forecast";"sensitivity",#N/A,FALSE,"Mgmt Forecast";"table inputs",#N/A,FALSE,"Mgmt Forecast";"calculations",#N/A,FALSE,"Mgmt Forecast"}</definedName>
    <definedName name="bnnn_1" localSheetId="28"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localSheetId="28"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6">#REF!</definedName>
    <definedName name="bonus_1" localSheetId="25">#REF!</definedName>
    <definedName name="bonus_1" localSheetId="35">#REF!</definedName>
    <definedName name="bonus_1" localSheetId="33">#REF!</definedName>
    <definedName name="bonus_1">#REF!</definedName>
    <definedName name="bqt" localSheetId="26">#REF!</definedName>
    <definedName name="bqt" localSheetId="25">#REF!</definedName>
    <definedName name="bqt" localSheetId="35">#REF!</definedName>
    <definedName name="bqt" localSheetId="33">#REF!</definedName>
    <definedName name="bqt">#REF!</definedName>
    <definedName name="bs" localSheetId="28" hidden="1">{"toptrial",#N/A,TRUE,"toptrial";"adjustment",#N/A,TRUE,"toptrial";"voucher",#N/A,TRUE,"toptrial"}</definedName>
    <definedName name="bs" hidden="1">{"toptrial",#N/A,TRUE,"toptrial";"adjustment",#N/A,TRUE,"toptrial";"voucher",#N/A,TRUE,"toptrial"}</definedName>
    <definedName name="bs건설" localSheetId="26">#REF!</definedName>
    <definedName name="bs건설" localSheetId="25">#REF!</definedName>
    <definedName name="bs건설" localSheetId="35">#REF!</definedName>
    <definedName name="bs건설" localSheetId="33">#REF!</definedName>
    <definedName name="bs건설">#REF!</definedName>
    <definedName name="bs양재" localSheetId="26">#REF!</definedName>
    <definedName name="bs양재" localSheetId="25">#REF!</definedName>
    <definedName name="bs양재" localSheetId="35">#REF!</definedName>
    <definedName name="bs양재" localSheetId="33">#REF!</definedName>
    <definedName name="bs양재">#REF!</definedName>
    <definedName name="BT" localSheetId="28" hidden="1">{#N/A,#N/A,FALSE,"손익표지";#N/A,#N/A,FALSE,"손익계산";#N/A,#N/A,FALSE,"일반관리비";#N/A,#N/A,FALSE,"영업외수익";#N/A,#N/A,FALSE,"영업외비용";#N/A,#N/A,FALSE,"매출액";#N/A,#N/A,FALSE,"요약손익";#N/A,#N/A,FALSE,"요약대차";#N/A,#N/A,FALSE,"매출채권현황";#N/A,#N/A,FALSE,"매출채권명세"}</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6">#REF!</definedName>
    <definedName name="BUDGET1" localSheetId="25">#REF!</definedName>
    <definedName name="BUDGET1" localSheetId="35">#REF!</definedName>
    <definedName name="BUDGET1" localSheetId="33">#REF!</definedName>
    <definedName name="BUDGET1">#REF!</definedName>
    <definedName name="BUDGET2" localSheetId="26">#REF!</definedName>
    <definedName name="BUDGET2" localSheetId="25">#REF!</definedName>
    <definedName name="BUDGET2" localSheetId="35">#REF!</definedName>
    <definedName name="BUDGET2" localSheetId="33">#REF!</definedName>
    <definedName name="BUDGET2">#REF!</definedName>
    <definedName name="BUGIS_VILLAGE" localSheetId="26">#REF!</definedName>
    <definedName name="BUGIS_VILLAGE" localSheetId="25">#REF!</definedName>
    <definedName name="BUGIS_VILLAGE" localSheetId="35">#REF!</definedName>
    <definedName name="BUGIS_VILLAGE" localSheetId="33">#REF!</definedName>
    <definedName name="BUGIS_VILLAGE">#REF!</definedName>
    <definedName name="C_" localSheetId="26">#REF!</definedName>
    <definedName name="C_" localSheetId="25">#REF!</definedName>
    <definedName name="C_" localSheetId="35">#REF!</definedName>
    <definedName name="C_" localSheetId="33">#REF!</definedName>
    <definedName name="C_">#REF!</definedName>
    <definedName name="CAIRNHILL_PLACE" localSheetId="26">#REF!</definedName>
    <definedName name="CAIRNHILL_PLACE" localSheetId="25">#REF!</definedName>
    <definedName name="CAIRNHILL_PLACE" localSheetId="35">#REF!</definedName>
    <definedName name="CAIRNHILL_PLACE" localSheetId="33">#REF!</definedName>
    <definedName name="CAIRNHILL_PLACE">#REF!</definedName>
    <definedName name="CALA" localSheetId="28">Main.SAPF4Help()</definedName>
    <definedName name="CALA" localSheetId="26">Main.SAPF4Help()</definedName>
    <definedName name="CALA" localSheetId="25">Main.SAPF4Help()</definedName>
    <definedName name="CALA" localSheetId="35">Main.SAPF4Help()</definedName>
    <definedName name="CALA" localSheetId="33">Main.SAPF4Help()</definedName>
    <definedName name="CALA" localSheetId="36">Main.SAPF4Help()</definedName>
    <definedName name="CALA">Main.SAPF4Help()</definedName>
    <definedName name="calc">1</definedName>
    <definedName name="CalloutFontSize" localSheetId="26">#REF!</definedName>
    <definedName name="CalloutFontSize" localSheetId="25">#REF!</definedName>
    <definedName name="CalloutFontSize" localSheetId="35">#REF!</definedName>
    <definedName name="CalloutFontSize" localSheetId="33">#REF!</definedName>
    <definedName name="CalloutFontSize" localSheetId="36">#REF!</definedName>
    <definedName name="CalloutFontSize">#REF!</definedName>
    <definedName name="CAOColor" localSheetId="26">#REF!</definedName>
    <definedName name="CAOColor" localSheetId="25">#REF!</definedName>
    <definedName name="CAOColor" localSheetId="35">#REF!</definedName>
    <definedName name="CAOColor" localSheetId="33">#REF!</definedName>
    <definedName name="CAOColor" localSheetId="36">#REF!</definedName>
    <definedName name="CAOColor">#REF!</definedName>
    <definedName name="CAOTotal" localSheetId="26">#REF!</definedName>
    <definedName name="CAOTotal" localSheetId="25">#REF!</definedName>
    <definedName name="CAOTotal" localSheetId="35">#REF!</definedName>
    <definedName name="CAOTotal" localSheetId="33">#REF!</definedName>
    <definedName name="CAOTotal" localSheetId="36">#REF!</definedName>
    <definedName name="CAOTotal">#REF!</definedName>
    <definedName name="CAOTotalDetail" localSheetId="26">#REF!</definedName>
    <definedName name="CAOTotalDetail" localSheetId="25">#REF!</definedName>
    <definedName name="CAOTotalDetail" localSheetId="35">#REF!</definedName>
    <definedName name="CAOTotalDetail" localSheetId="33">#REF!</definedName>
    <definedName name="CAOTotalDetail" localSheetId="36">#REF!</definedName>
    <definedName name="CAOTotalDetail">#REF!</definedName>
    <definedName name="CAOTotalWeighted" localSheetId="26">#REF!</definedName>
    <definedName name="CAOTotalWeighted" localSheetId="25">#REF!</definedName>
    <definedName name="CAOTotalWeighted" localSheetId="35">#REF!</definedName>
    <definedName name="CAOTotalWeighted" localSheetId="33">#REF!</definedName>
    <definedName name="CAOTotalWeighted" localSheetId="36">#REF!</definedName>
    <definedName name="CAOTotalWeighted">#REF!</definedName>
    <definedName name="CapIncP1" localSheetId="26">#REF!</definedName>
    <definedName name="CapIncP1" localSheetId="25">#REF!</definedName>
    <definedName name="CapIncP1" localSheetId="35">#REF!</definedName>
    <definedName name="CapIncP1" localSheetId="33">#REF!</definedName>
    <definedName name="CapIncP1">#REF!</definedName>
    <definedName name="CapIncP10" localSheetId="26">#REF!</definedName>
    <definedName name="CapIncP10" localSheetId="25">#REF!</definedName>
    <definedName name="CapIncP10" localSheetId="35">#REF!</definedName>
    <definedName name="CapIncP10" localSheetId="33">#REF!</definedName>
    <definedName name="CapIncP10">#REF!</definedName>
    <definedName name="CapIncP11" localSheetId="26">#REF!</definedName>
    <definedName name="CapIncP11" localSheetId="25">#REF!</definedName>
    <definedName name="CapIncP11" localSheetId="35">#REF!</definedName>
    <definedName name="CapIncP11" localSheetId="33">#REF!</definedName>
    <definedName name="CapIncP11">#REF!</definedName>
    <definedName name="CapIncP12" localSheetId="26">#REF!</definedName>
    <definedName name="CapIncP12" localSheetId="25">#REF!</definedName>
    <definedName name="CapIncP12" localSheetId="35">#REF!</definedName>
    <definedName name="CapIncP12" localSheetId="33">#REF!</definedName>
    <definedName name="CapIncP12">#REF!</definedName>
    <definedName name="CapIncP13" localSheetId="26">#REF!</definedName>
    <definedName name="CapIncP13" localSheetId="25">#REF!</definedName>
    <definedName name="CapIncP13" localSheetId="35">#REF!</definedName>
    <definedName name="CapIncP13" localSheetId="33">#REF!</definedName>
    <definedName name="CapIncP13">#REF!</definedName>
    <definedName name="CapIncP14" localSheetId="26">#REF!</definedName>
    <definedName name="CapIncP14" localSheetId="25">#REF!</definedName>
    <definedName name="CapIncP14" localSheetId="35">#REF!</definedName>
    <definedName name="CapIncP14" localSheetId="33">#REF!</definedName>
    <definedName name="CapIncP14">#REF!</definedName>
    <definedName name="CapIncP15" localSheetId="26">#REF!</definedName>
    <definedName name="CapIncP15" localSheetId="25">#REF!</definedName>
    <definedName name="CapIncP15" localSheetId="35">#REF!</definedName>
    <definedName name="CapIncP15" localSheetId="33">#REF!</definedName>
    <definedName name="CapIncP15">#REF!</definedName>
    <definedName name="CapIncP16" localSheetId="26">#REF!</definedName>
    <definedName name="CapIncP16" localSheetId="25">#REF!</definedName>
    <definedName name="CapIncP16" localSheetId="35">#REF!</definedName>
    <definedName name="CapIncP16" localSheetId="33">#REF!</definedName>
    <definedName name="CapIncP16">#REF!</definedName>
    <definedName name="CapIncP17" localSheetId="26">#REF!</definedName>
    <definedName name="CapIncP17" localSheetId="25">#REF!</definedName>
    <definedName name="CapIncP17" localSheetId="35">#REF!</definedName>
    <definedName name="CapIncP17" localSheetId="33">#REF!</definedName>
    <definedName name="CapIncP17">#REF!</definedName>
    <definedName name="CapIncP18" localSheetId="26">#REF!</definedName>
    <definedName name="CapIncP18" localSheetId="25">#REF!</definedName>
    <definedName name="CapIncP18" localSheetId="35">#REF!</definedName>
    <definedName name="CapIncP18" localSheetId="33">#REF!</definedName>
    <definedName name="CapIncP18">#REF!</definedName>
    <definedName name="CapIncP19" localSheetId="26">#REF!</definedName>
    <definedName name="CapIncP19" localSheetId="25">#REF!</definedName>
    <definedName name="CapIncP19" localSheetId="35">#REF!</definedName>
    <definedName name="CapIncP19" localSheetId="33">#REF!</definedName>
    <definedName name="CapIncP19">#REF!</definedName>
    <definedName name="CapIncP2" localSheetId="26">#REF!</definedName>
    <definedName name="CapIncP2" localSheetId="25">#REF!</definedName>
    <definedName name="CapIncP2" localSheetId="35">#REF!</definedName>
    <definedName name="CapIncP2" localSheetId="33">#REF!</definedName>
    <definedName name="CapIncP2">#REF!</definedName>
    <definedName name="CapIncP20" localSheetId="26">#REF!</definedName>
    <definedName name="CapIncP20" localSheetId="25">#REF!</definedName>
    <definedName name="CapIncP20" localSheetId="35">#REF!</definedName>
    <definedName name="CapIncP20" localSheetId="33">#REF!</definedName>
    <definedName name="CapIncP20">#REF!</definedName>
    <definedName name="CapIncP21" localSheetId="26">#REF!</definedName>
    <definedName name="CapIncP21" localSheetId="25">#REF!</definedName>
    <definedName name="CapIncP21" localSheetId="35">#REF!</definedName>
    <definedName name="CapIncP21" localSheetId="33">#REF!</definedName>
    <definedName name="CapIncP21">#REF!</definedName>
    <definedName name="CapIncP22" localSheetId="26">#REF!</definedName>
    <definedName name="CapIncP22" localSheetId="25">#REF!</definedName>
    <definedName name="CapIncP22" localSheetId="35">#REF!</definedName>
    <definedName name="CapIncP22" localSheetId="33">#REF!</definedName>
    <definedName name="CapIncP22">#REF!</definedName>
    <definedName name="CapIncP23" localSheetId="26">#REF!</definedName>
    <definedName name="CapIncP23" localSheetId="25">#REF!</definedName>
    <definedName name="CapIncP23" localSheetId="35">#REF!</definedName>
    <definedName name="CapIncP23" localSheetId="33">#REF!</definedName>
    <definedName name="CapIncP23">#REF!</definedName>
    <definedName name="CapIncP24" localSheetId="26">#REF!</definedName>
    <definedName name="CapIncP24" localSheetId="25">#REF!</definedName>
    <definedName name="CapIncP24" localSheetId="35">#REF!</definedName>
    <definedName name="CapIncP24" localSheetId="33">#REF!</definedName>
    <definedName name="CapIncP24">#REF!</definedName>
    <definedName name="CapIncP25" localSheetId="26">#REF!</definedName>
    <definedName name="CapIncP25" localSheetId="25">#REF!</definedName>
    <definedName name="CapIncP25" localSheetId="35">#REF!</definedName>
    <definedName name="CapIncP25" localSheetId="33">#REF!</definedName>
    <definedName name="CapIncP25">#REF!</definedName>
    <definedName name="CapIncP26" localSheetId="26">#REF!</definedName>
    <definedName name="CapIncP26" localSheetId="25">#REF!</definedName>
    <definedName name="CapIncP26" localSheetId="35">#REF!</definedName>
    <definedName name="CapIncP26" localSheetId="33">#REF!</definedName>
    <definedName name="CapIncP26">#REF!</definedName>
    <definedName name="CapIncP27" localSheetId="26">#REF!</definedName>
    <definedName name="CapIncP27" localSheetId="25">#REF!</definedName>
    <definedName name="CapIncP27" localSheetId="35">#REF!</definedName>
    <definedName name="CapIncP27" localSheetId="33">#REF!</definedName>
    <definedName name="CapIncP27">#REF!</definedName>
    <definedName name="CapIncP28" localSheetId="26">#REF!</definedName>
    <definedName name="CapIncP28" localSheetId="25">#REF!</definedName>
    <definedName name="CapIncP28" localSheetId="35">#REF!</definedName>
    <definedName name="CapIncP28" localSheetId="33">#REF!</definedName>
    <definedName name="CapIncP28">#REF!</definedName>
    <definedName name="CapIncP29" localSheetId="26">#REF!</definedName>
    <definedName name="CapIncP29" localSheetId="25">#REF!</definedName>
    <definedName name="CapIncP29" localSheetId="35">#REF!</definedName>
    <definedName name="CapIncP29" localSheetId="33">#REF!</definedName>
    <definedName name="CapIncP29">#REF!</definedName>
    <definedName name="CapIncP3" localSheetId="26">#REF!</definedName>
    <definedName name="CapIncP3" localSheetId="25">#REF!</definedName>
    <definedName name="CapIncP3" localSheetId="35">#REF!</definedName>
    <definedName name="CapIncP3" localSheetId="33">#REF!</definedName>
    <definedName name="CapIncP3">#REF!</definedName>
    <definedName name="CapIncP30" localSheetId="26">#REF!</definedName>
    <definedName name="CapIncP30" localSheetId="25">#REF!</definedName>
    <definedName name="CapIncP30" localSheetId="35">#REF!</definedName>
    <definedName name="CapIncP30" localSheetId="33">#REF!</definedName>
    <definedName name="CapIncP30">#REF!</definedName>
    <definedName name="CapIncP31" localSheetId="26">#REF!</definedName>
    <definedName name="CapIncP31" localSheetId="25">#REF!</definedName>
    <definedName name="CapIncP31" localSheetId="35">#REF!</definedName>
    <definedName name="CapIncP31" localSheetId="33">#REF!</definedName>
    <definedName name="CapIncP31">#REF!</definedName>
    <definedName name="CapIncP32" localSheetId="26">#REF!</definedName>
    <definedName name="CapIncP32" localSheetId="25">#REF!</definedName>
    <definedName name="CapIncP32" localSheetId="35">#REF!</definedName>
    <definedName name="CapIncP32" localSheetId="33">#REF!</definedName>
    <definedName name="CapIncP32">#REF!</definedName>
    <definedName name="CapIncP33" localSheetId="26">#REF!</definedName>
    <definedName name="CapIncP33" localSheetId="25">#REF!</definedName>
    <definedName name="CapIncP33" localSheetId="35">#REF!</definedName>
    <definedName name="CapIncP33" localSheetId="33">#REF!</definedName>
    <definedName name="CapIncP33">#REF!</definedName>
    <definedName name="CapIncP34" localSheetId="26">#REF!</definedName>
    <definedName name="CapIncP34" localSheetId="25">#REF!</definedName>
    <definedName name="CapIncP34" localSheetId="35">#REF!</definedName>
    <definedName name="CapIncP34" localSheetId="33">#REF!</definedName>
    <definedName name="CapIncP34">#REF!</definedName>
    <definedName name="CapIncP35" localSheetId="26">#REF!</definedName>
    <definedName name="CapIncP35" localSheetId="25">#REF!</definedName>
    <definedName name="CapIncP35" localSheetId="35">#REF!</definedName>
    <definedName name="CapIncP35" localSheetId="33">#REF!</definedName>
    <definedName name="CapIncP35">#REF!</definedName>
    <definedName name="CapIncP36" localSheetId="26">#REF!</definedName>
    <definedName name="CapIncP36" localSheetId="25">#REF!</definedName>
    <definedName name="CapIncP36" localSheetId="35">#REF!</definedName>
    <definedName name="CapIncP36" localSheetId="33">#REF!</definedName>
    <definedName name="CapIncP36">#REF!</definedName>
    <definedName name="CapIncP37" localSheetId="26">#REF!</definedName>
    <definedName name="CapIncP37" localSheetId="25">#REF!</definedName>
    <definedName name="CapIncP37" localSheetId="35">#REF!</definedName>
    <definedName name="CapIncP37" localSheetId="33">#REF!</definedName>
    <definedName name="CapIncP37">#REF!</definedName>
    <definedName name="CapIncP38" localSheetId="26">#REF!</definedName>
    <definedName name="CapIncP38" localSheetId="25">#REF!</definedName>
    <definedName name="CapIncP38" localSheetId="35">#REF!</definedName>
    <definedName name="CapIncP38" localSheetId="33">#REF!</definedName>
    <definedName name="CapIncP38">#REF!</definedName>
    <definedName name="CapIncP39" localSheetId="26">#REF!</definedName>
    <definedName name="CapIncP39" localSheetId="25">#REF!</definedName>
    <definedName name="CapIncP39" localSheetId="35">#REF!</definedName>
    <definedName name="CapIncP39" localSheetId="33">#REF!</definedName>
    <definedName name="CapIncP39">#REF!</definedName>
    <definedName name="CapIncP4" localSheetId="26">#REF!</definedName>
    <definedName name="CapIncP4" localSheetId="25">#REF!</definedName>
    <definedName name="CapIncP4" localSheetId="35">#REF!</definedName>
    <definedName name="CapIncP4" localSheetId="33">#REF!</definedName>
    <definedName name="CapIncP4">#REF!</definedName>
    <definedName name="CapIncP40" localSheetId="26">#REF!</definedName>
    <definedName name="CapIncP40" localSheetId="25">#REF!</definedName>
    <definedName name="CapIncP40" localSheetId="35">#REF!</definedName>
    <definedName name="CapIncP40" localSheetId="33">#REF!</definedName>
    <definedName name="CapIncP40">#REF!</definedName>
    <definedName name="CapIncP41" localSheetId="26">#REF!</definedName>
    <definedName name="CapIncP41" localSheetId="25">#REF!</definedName>
    <definedName name="CapIncP41" localSheetId="35">#REF!</definedName>
    <definedName name="CapIncP41" localSheetId="33">#REF!</definedName>
    <definedName name="CapIncP41">#REF!</definedName>
    <definedName name="CapIncP42" localSheetId="26">#REF!</definedName>
    <definedName name="CapIncP42" localSheetId="25">#REF!</definedName>
    <definedName name="CapIncP42" localSheetId="35">#REF!</definedName>
    <definedName name="CapIncP42" localSheetId="33">#REF!</definedName>
    <definedName name="CapIncP42">#REF!</definedName>
    <definedName name="CapIncP43" localSheetId="26">#REF!</definedName>
    <definedName name="CapIncP43" localSheetId="25">#REF!</definedName>
    <definedName name="CapIncP43" localSheetId="35">#REF!</definedName>
    <definedName name="CapIncP43" localSheetId="33">#REF!</definedName>
    <definedName name="CapIncP43">#REF!</definedName>
    <definedName name="CapIncP44" localSheetId="26">#REF!</definedName>
    <definedName name="CapIncP44" localSheetId="25">#REF!</definedName>
    <definedName name="CapIncP44" localSheetId="35">#REF!</definedName>
    <definedName name="CapIncP44" localSheetId="33">#REF!</definedName>
    <definedName name="CapIncP44">#REF!</definedName>
    <definedName name="CapIncP45" localSheetId="26">#REF!</definedName>
    <definedName name="CapIncP45" localSheetId="25">#REF!</definedName>
    <definedName name="CapIncP45" localSheetId="35">#REF!</definedName>
    <definedName name="CapIncP45" localSheetId="33">#REF!</definedName>
    <definedName name="CapIncP45">#REF!</definedName>
    <definedName name="CapIncP46" localSheetId="26">#REF!</definedName>
    <definedName name="CapIncP46" localSheetId="25">#REF!</definedName>
    <definedName name="CapIncP46" localSheetId="35">#REF!</definedName>
    <definedName name="CapIncP46" localSheetId="33">#REF!</definedName>
    <definedName name="CapIncP46">#REF!</definedName>
    <definedName name="CapIncP47" localSheetId="26">#REF!</definedName>
    <definedName name="CapIncP47" localSheetId="25">#REF!</definedName>
    <definedName name="CapIncP47" localSheetId="35">#REF!</definedName>
    <definedName name="CapIncP47" localSheetId="33">#REF!</definedName>
    <definedName name="CapIncP47">#REF!</definedName>
    <definedName name="CapIncP48" localSheetId="26">#REF!</definedName>
    <definedName name="CapIncP48" localSheetId="25">#REF!</definedName>
    <definedName name="CapIncP48" localSheetId="35">#REF!</definedName>
    <definedName name="CapIncP48" localSheetId="33">#REF!</definedName>
    <definedName name="CapIncP48">#REF!</definedName>
    <definedName name="CapIncP49" localSheetId="26">#REF!</definedName>
    <definedName name="CapIncP49" localSheetId="25">#REF!</definedName>
    <definedName name="CapIncP49" localSheetId="35">#REF!</definedName>
    <definedName name="CapIncP49" localSheetId="33">#REF!</definedName>
    <definedName name="CapIncP49">#REF!</definedName>
    <definedName name="CapIncP5" localSheetId="26">#REF!</definedName>
    <definedName name="CapIncP5" localSheetId="25">#REF!</definedName>
    <definedName name="CapIncP5" localSheetId="35">#REF!</definedName>
    <definedName name="CapIncP5" localSheetId="33">#REF!</definedName>
    <definedName name="CapIncP5">#REF!</definedName>
    <definedName name="CapIncP50" localSheetId="26">#REF!</definedName>
    <definedName name="CapIncP50" localSheetId="25">#REF!</definedName>
    <definedName name="CapIncP50" localSheetId="35">#REF!</definedName>
    <definedName name="CapIncP50" localSheetId="33">#REF!</definedName>
    <definedName name="CapIncP50">#REF!</definedName>
    <definedName name="CapIncP51" localSheetId="26">#REF!</definedName>
    <definedName name="CapIncP51" localSheetId="25">#REF!</definedName>
    <definedName name="CapIncP51" localSheetId="35">#REF!</definedName>
    <definedName name="CapIncP51" localSheetId="33">#REF!</definedName>
    <definedName name="CapIncP51">#REF!</definedName>
    <definedName name="CapIncP52" localSheetId="26">#REF!</definedName>
    <definedName name="CapIncP52" localSheetId="25">#REF!</definedName>
    <definedName name="CapIncP52" localSheetId="35">#REF!</definedName>
    <definedName name="CapIncP52" localSheetId="33">#REF!</definedName>
    <definedName name="CapIncP52">#REF!</definedName>
    <definedName name="CapIncP53" localSheetId="26">#REF!</definedName>
    <definedName name="CapIncP53" localSheetId="25">#REF!</definedName>
    <definedName name="CapIncP53" localSheetId="35">#REF!</definedName>
    <definedName name="CapIncP53" localSheetId="33">#REF!</definedName>
    <definedName name="CapIncP53">#REF!</definedName>
    <definedName name="CapIncP54" localSheetId="26">#REF!</definedName>
    <definedName name="CapIncP54" localSheetId="25">#REF!</definedName>
    <definedName name="CapIncP54" localSheetId="35">#REF!</definedName>
    <definedName name="CapIncP54" localSheetId="33">#REF!</definedName>
    <definedName name="CapIncP54">#REF!</definedName>
    <definedName name="CapIncP55" localSheetId="26">#REF!</definedName>
    <definedName name="CapIncP55" localSheetId="25">#REF!</definedName>
    <definedName name="CapIncP55" localSheetId="35">#REF!</definedName>
    <definedName name="CapIncP55" localSheetId="33">#REF!</definedName>
    <definedName name="CapIncP55">#REF!</definedName>
    <definedName name="CapIncP56" localSheetId="26">#REF!</definedName>
    <definedName name="CapIncP56" localSheetId="25">#REF!</definedName>
    <definedName name="CapIncP56" localSheetId="35">#REF!</definedName>
    <definedName name="CapIncP56" localSheetId="33">#REF!</definedName>
    <definedName name="CapIncP56">#REF!</definedName>
    <definedName name="CapIncP57" localSheetId="26">#REF!</definedName>
    <definedName name="CapIncP57" localSheetId="25">#REF!</definedName>
    <definedName name="CapIncP57" localSheetId="35">#REF!</definedName>
    <definedName name="CapIncP57" localSheetId="33">#REF!</definedName>
    <definedName name="CapIncP57">#REF!</definedName>
    <definedName name="CapIncP58" localSheetId="26">#REF!</definedName>
    <definedName name="CapIncP58" localSheetId="25">#REF!</definedName>
    <definedName name="CapIncP58" localSheetId="35">#REF!</definedName>
    <definedName name="CapIncP58" localSheetId="33">#REF!</definedName>
    <definedName name="CapIncP58">#REF!</definedName>
    <definedName name="CapIncP59" localSheetId="26">#REF!</definedName>
    <definedName name="CapIncP59" localSheetId="25">#REF!</definedName>
    <definedName name="CapIncP59" localSheetId="35">#REF!</definedName>
    <definedName name="CapIncP59" localSheetId="33">#REF!</definedName>
    <definedName name="CapIncP59">#REF!</definedName>
    <definedName name="CapIncP6" localSheetId="26">#REF!</definedName>
    <definedName name="CapIncP6" localSheetId="25">#REF!</definedName>
    <definedName name="CapIncP6" localSheetId="35">#REF!</definedName>
    <definedName name="CapIncP6" localSheetId="33">#REF!</definedName>
    <definedName name="CapIncP6">#REF!</definedName>
    <definedName name="CapIncP60" localSheetId="26">#REF!</definedName>
    <definedName name="CapIncP60" localSheetId="25">#REF!</definedName>
    <definedName name="CapIncP60" localSheetId="35">#REF!</definedName>
    <definedName name="CapIncP60" localSheetId="33">#REF!</definedName>
    <definedName name="CapIncP60">#REF!</definedName>
    <definedName name="CapIncP61" localSheetId="26">#REF!</definedName>
    <definedName name="CapIncP61" localSheetId="25">#REF!</definedName>
    <definedName name="CapIncP61" localSheetId="35">#REF!</definedName>
    <definedName name="CapIncP61" localSheetId="33">#REF!</definedName>
    <definedName name="CapIncP61">#REF!</definedName>
    <definedName name="CapIncP62" localSheetId="26">#REF!</definedName>
    <definedName name="CapIncP62" localSheetId="25">#REF!</definedName>
    <definedName name="CapIncP62" localSheetId="35">#REF!</definedName>
    <definedName name="CapIncP62" localSheetId="33">#REF!</definedName>
    <definedName name="CapIncP62">#REF!</definedName>
    <definedName name="CapIncP63" localSheetId="26">#REF!</definedName>
    <definedName name="CapIncP63" localSheetId="25">#REF!</definedName>
    <definedName name="CapIncP63" localSheetId="35">#REF!</definedName>
    <definedName name="CapIncP63" localSheetId="33">#REF!</definedName>
    <definedName name="CapIncP63">#REF!</definedName>
    <definedName name="CapIncP64" localSheetId="26">#REF!</definedName>
    <definedName name="CapIncP64" localSheetId="25">#REF!</definedName>
    <definedName name="CapIncP64" localSheetId="35">#REF!</definedName>
    <definedName name="CapIncP64" localSheetId="33">#REF!</definedName>
    <definedName name="CapIncP64">#REF!</definedName>
    <definedName name="CapIncP65" localSheetId="26">#REF!</definedName>
    <definedName name="CapIncP65" localSheetId="25">#REF!</definedName>
    <definedName name="CapIncP65" localSheetId="35">#REF!</definedName>
    <definedName name="CapIncP65" localSheetId="33">#REF!</definedName>
    <definedName name="CapIncP65">#REF!</definedName>
    <definedName name="CapIncP66" localSheetId="26">#REF!</definedName>
    <definedName name="CapIncP66" localSheetId="25">#REF!</definedName>
    <definedName name="CapIncP66" localSheetId="35">#REF!</definedName>
    <definedName name="CapIncP66" localSheetId="33">#REF!</definedName>
    <definedName name="CapIncP66">#REF!</definedName>
    <definedName name="CapIncP67" localSheetId="26">#REF!</definedName>
    <definedName name="CapIncP67" localSheetId="25">#REF!</definedName>
    <definedName name="CapIncP67" localSheetId="35">#REF!</definedName>
    <definedName name="CapIncP67" localSheetId="33">#REF!</definedName>
    <definedName name="CapIncP67">#REF!</definedName>
    <definedName name="CapIncP68" localSheetId="26">#REF!</definedName>
    <definedName name="CapIncP68" localSheetId="25">#REF!</definedName>
    <definedName name="CapIncP68" localSheetId="35">#REF!</definedName>
    <definedName name="CapIncP68" localSheetId="33">#REF!</definedName>
    <definedName name="CapIncP68">#REF!</definedName>
    <definedName name="CapIncP7" localSheetId="26">#REF!</definedName>
    <definedName name="CapIncP7" localSheetId="25">#REF!</definedName>
    <definedName name="CapIncP7" localSheetId="35">#REF!</definedName>
    <definedName name="CapIncP7" localSheetId="33">#REF!</definedName>
    <definedName name="CapIncP7">#REF!</definedName>
    <definedName name="CapIncP8" localSheetId="26">#REF!</definedName>
    <definedName name="CapIncP8" localSheetId="25">#REF!</definedName>
    <definedName name="CapIncP8" localSheetId="35">#REF!</definedName>
    <definedName name="CapIncP8" localSheetId="33">#REF!</definedName>
    <definedName name="CapIncP8">#REF!</definedName>
    <definedName name="CapIncP9" localSheetId="26">#REF!</definedName>
    <definedName name="CapIncP9" localSheetId="25">#REF!</definedName>
    <definedName name="CapIncP9" localSheetId="35">#REF!</definedName>
    <definedName name="CapIncP9" localSheetId="33">#REF!</definedName>
    <definedName name="CapIncP9">#REF!</definedName>
    <definedName name="Capital97Data" localSheetId="26">#REF!</definedName>
    <definedName name="Capital97Data" localSheetId="25">#REF!</definedName>
    <definedName name="Capital97Data" localSheetId="35">#REF!</definedName>
    <definedName name="Capital97Data" localSheetId="33">#REF!</definedName>
    <definedName name="Capital97Data" localSheetId="36">#REF!</definedName>
    <definedName name="Capital97Data">#REF!</definedName>
    <definedName name="capp1" localSheetId="26">#REF!</definedName>
    <definedName name="capp1" localSheetId="25">#REF!</definedName>
    <definedName name="capp1" localSheetId="35">#REF!</definedName>
    <definedName name="capp1" localSheetId="33">#REF!</definedName>
    <definedName name="capp1">#REF!</definedName>
    <definedName name="Capp10" localSheetId="26">#REF!</definedName>
    <definedName name="Capp10" localSheetId="25">#REF!</definedName>
    <definedName name="Capp10" localSheetId="35">#REF!</definedName>
    <definedName name="Capp10" localSheetId="33">#REF!</definedName>
    <definedName name="Capp10">#REF!</definedName>
    <definedName name="Capp11" localSheetId="26">#REF!</definedName>
    <definedName name="Capp11" localSheetId="25">#REF!</definedName>
    <definedName name="Capp11" localSheetId="35">#REF!</definedName>
    <definedName name="Capp11" localSheetId="33">#REF!</definedName>
    <definedName name="Capp11">#REF!</definedName>
    <definedName name="CapP12" localSheetId="26">#REF!</definedName>
    <definedName name="CapP12" localSheetId="25">#REF!</definedName>
    <definedName name="CapP12" localSheetId="35">#REF!</definedName>
    <definedName name="CapP12" localSheetId="33">#REF!</definedName>
    <definedName name="CapP12">#REF!</definedName>
    <definedName name="CapP13" localSheetId="26">#REF!</definedName>
    <definedName name="CapP13" localSheetId="25">#REF!</definedName>
    <definedName name="CapP13" localSheetId="35">#REF!</definedName>
    <definedName name="CapP13" localSheetId="33">#REF!</definedName>
    <definedName name="CapP13">#REF!</definedName>
    <definedName name="CapP14" localSheetId="26">#REF!</definedName>
    <definedName name="CapP14" localSheetId="25">#REF!</definedName>
    <definedName name="CapP14" localSheetId="35">#REF!</definedName>
    <definedName name="CapP14" localSheetId="33">#REF!</definedName>
    <definedName name="CapP14">#REF!</definedName>
    <definedName name="CapP15" localSheetId="26">#REF!</definedName>
    <definedName name="CapP15" localSheetId="25">#REF!</definedName>
    <definedName name="CapP15" localSheetId="35">#REF!</definedName>
    <definedName name="CapP15" localSheetId="33">#REF!</definedName>
    <definedName name="CapP15">#REF!</definedName>
    <definedName name="CapP16" localSheetId="26">#REF!</definedName>
    <definedName name="CapP16" localSheetId="25">#REF!</definedName>
    <definedName name="CapP16" localSheetId="35">#REF!</definedName>
    <definedName name="CapP16" localSheetId="33">#REF!</definedName>
    <definedName name="CapP16">#REF!</definedName>
    <definedName name="CapP17" localSheetId="26">#REF!</definedName>
    <definedName name="CapP17" localSheetId="25">#REF!</definedName>
    <definedName name="CapP17" localSheetId="35">#REF!</definedName>
    <definedName name="CapP17" localSheetId="33">#REF!</definedName>
    <definedName name="CapP17">#REF!</definedName>
    <definedName name="CapP18" localSheetId="26">#REF!</definedName>
    <definedName name="CapP18" localSheetId="25">#REF!</definedName>
    <definedName name="CapP18" localSheetId="35">#REF!</definedName>
    <definedName name="CapP18" localSheetId="33">#REF!</definedName>
    <definedName name="CapP18">#REF!</definedName>
    <definedName name="CapP19" localSheetId="26">#REF!</definedName>
    <definedName name="CapP19" localSheetId="25">#REF!</definedName>
    <definedName name="CapP19" localSheetId="35">#REF!</definedName>
    <definedName name="CapP19" localSheetId="33">#REF!</definedName>
    <definedName name="CapP19">#REF!</definedName>
    <definedName name="Capp2" localSheetId="26">#REF!</definedName>
    <definedName name="Capp2" localSheetId="25">#REF!</definedName>
    <definedName name="Capp2" localSheetId="35">#REF!</definedName>
    <definedName name="Capp2" localSheetId="33">#REF!</definedName>
    <definedName name="Capp2">#REF!</definedName>
    <definedName name="CapP20" localSheetId="26">#REF!</definedName>
    <definedName name="CapP20" localSheetId="25">#REF!</definedName>
    <definedName name="CapP20" localSheetId="35">#REF!</definedName>
    <definedName name="CapP20" localSheetId="33">#REF!</definedName>
    <definedName name="CapP20">#REF!</definedName>
    <definedName name="CapP21" localSheetId="26">#REF!</definedName>
    <definedName name="CapP21" localSheetId="25">#REF!</definedName>
    <definedName name="CapP21" localSheetId="35">#REF!</definedName>
    <definedName name="CapP21" localSheetId="33">#REF!</definedName>
    <definedName name="CapP21">#REF!</definedName>
    <definedName name="CapP22" localSheetId="26">#REF!</definedName>
    <definedName name="CapP22" localSheetId="25">#REF!</definedName>
    <definedName name="CapP22" localSheetId="35">#REF!</definedName>
    <definedName name="CapP22" localSheetId="33">#REF!</definedName>
    <definedName name="CapP22">#REF!</definedName>
    <definedName name="CapP23" localSheetId="26">#REF!</definedName>
    <definedName name="CapP23" localSheetId="25">#REF!</definedName>
    <definedName name="CapP23" localSheetId="35">#REF!</definedName>
    <definedName name="CapP23" localSheetId="33">#REF!</definedName>
    <definedName name="CapP23">#REF!</definedName>
    <definedName name="CapP24" localSheetId="26">#REF!</definedName>
    <definedName name="CapP24" localSheetId="25">#REF!</definedName>
    <definedName name="CapP24" localSheetId="35">#REF!</definedName>
    <definedName name="CapP24" localSheetId="33">#REF!</definedName>
    <definedName name="CapP24">#REF!</definedName>
    <definedName name="CapP25" localSheetId="26">#REF!</definedName>
    <definedName name="CapP25" localSheetId="25">#REF!</definedName>
    <definedName name="CapP25" localSheetId="35">#REF!</definedName>
    <definedName name="CapP25" localSheetId="33">#REF!</definedName>
    <definedName name="CapP25">#REF!</definedName>
    <definedName name="CapP26" localSheetId="26">#REF!</definedName>
    <definedName name="CapP26" localSheetId="25">#REF!</definedName>
    <definedName name="CapP26" localSheetId="35">#REF!</definedName>
    <definedName name="CapP26" localSheetId="33">#REF!</definedName>
    <definedName name="CapP26">#REF!</definedName>
    <definedName name="CapP27" localSheetId="26">#REF!</definedName>
    <definedName name="CapP27" localSheetId="25">#REF!</definedName>
    <definedName name="CapP27" localSheetId="35">#REF!</definedName>
    <definedName name="CapP27" localSheetId="33">#REF!</definedName>
    <definedName name="CapP27">#REF!</definedName>
    <definedName name="CapP28" localSheetId="26">#REF!</definedName>
    <definedName name="CapP28" localSheetId="25">#REF!</definedName>
    <definedName name="CapP28" localSheetId="35">#REF!</definedName>
    <definedName name="CapP28" localSheetId="33">#REF!</definedName>
    <definedName name="CapP28">#REF!</definedName>
    <definedName name="CapP29" localSheetId="26">#REF!</definedName>
    <definedName name="CapP29" localSheetId="25">#REF!</definedName>
    <definedName name="CapP29" localSheetId="35">#REF!</definedName>
    <definedName name="CapP29" localSheetId="33">#REF!</definedName>
    <definedName name="CapP29">#REF!</definedName>
    <definedName name="Capp3" localSheetId="26">#REF!</definedName>
    <definedName name="Capp3" localSheetId="25">#REF!</definedName>
    <definedName name="Capp3" localSheetId="35">#REF!</definedName>
    <definedName name="Capp3" localSheetId="33">#REF!</definedName>
    <definedName name="Capp3">#REF!</definedName>
    <definedName name="CapP30" localSheetId="26">#REF!</definedName>
    <definedName name="CapP30" localSheetId="25">#REF!</definedName>
    <definedName name="CapP30" localSheetId="35">#REF!</definedName>
    <definedName name="CapP30" localSheetId="33">#REF!</definedName>
    <definedName name="CapP30">#REF!</definedName>
    <definedName name="CapP31" localSheetId="26">#REF!</definedName>
    <definedName name="CapP31" localSheetId="25">#REF!</definedName>
    <definedName name="CapP31" localSheetId="35">#REF!</definedName>
    <definedName name="CapP31" localSheetId="33">#REF!</definedName>
    <definedName name="CapP31">#REF!</definedName>
    <definedName name="CapP32" localSheetId="26">#REF!</definedName>
    <definedName name="CapP32" localSheetId="25">#REF!</definedName>
    <definedName name="CapP32" localSheetId="35">#REF!</definedName>
    <definedName name="CapP32" localSheetId="33">#REF!</definedName>
    <definedName name="CapP32">#REF!</definedName>
    <definedName name="CapP33" localSheetId="26">#REF!</definedName>
    <definedName name="CapP33" localSheetId="25">#REF!</definedName>
    <definedName name="CapP33" localSheetId="35">#REF!</definedName>
    <definedName name="CapP33" localSheetId="33">#REF!</definedName>
    <definedName name="CapP33">#REF!</definedName>
    <definedName name="CapP34" localSheetId="26">#REF!</definedName>
    <definedName name="CapP34" localSheetId="25">#REF!</definedName>
    <definedName name="CapP34" localSheetId="35">#REF!</definedName>
    <definedName name="CapP34" localSheetId="33">#REF!</definedName>
    <definedName name="CapP34">#REF!</definedName>
    <definedName name="CAPP35" localSheetId="26">#REF!</definedName>
    <definedName name="CAPP35" localSheetId="25">#REF!</definedName>
    <definedName name="CAPP35" localSheetId="35">#REF!</definedName>
    <definedName name="CAPP35" localSheetId="33">#REF!</definedName>
    <definedName name="CAPP35">#REF!</definedName>
    <definedName name="CAPP36" localSheetId="26">#REF!</definedName>
    <definedName name="CAPP36" localSheetId="25">#REF!</definedName>
    <definedName name="CAPP36" localSheetId="35">#REF!</definedName>
    <definedName name="CAPP36" localSheetId="33">#REF!</definedName>
    <definedName name="CAPP36">#REF!</definedName>
    <definedName name="CAPP37" localSheetId="26">#REF!</definedName>
    <definedName name="CAPP37" localSheetId="25">#REF!</definedName>
    <definedName name="CAPP37" localSheetId="35">#REF!</definedName>
    <definedName name="CAPP37" localSheetId="33">#REF!</definedName>
    <definedName name="CAPP37">#REF!</definedName>
    <definedName name="CAPP38" localSheetId="26">#REF!</definedName>
    <definedName name="CAPP38" localSheetId="25">#REF!</definedName>
    <definedName name="CAPP38" localSheetId="35">#REF!</definedName>
    <definedName name="CAPP38" localSheetId="33">#REF!</definedName>
    <definedName name="CAPP38">#REF!</definedName>
    <definedName name="CAPP39" localSheetId="26">#REF!</definedName>
    <definedName name="CAPP39" localSheetId="25">#REF!</definedName>
    <definedName name="CAPP39" localSheetId="35">#REF!</definedName>
    <definedName name="CAPP39" localSheetId="33">#REF!</definedName>
    <definedName name="CAPP39">#REF!</definedName>
    <definedName name="Capp4" localSheetId="26">#REF!</definedName>
    <definedName name="Capp4" localSheetId="25">#REF!</definedName>
    <definedName name="Capp4" localSheetId="35">#REF!</definedName>
    <definedName name="Capp4" localSheetId="33">#REF!</definedName>
    <definedName name="Capp4">#REF!</definedName>
    <definedName name="CAPP40" localSheetId="26">#REF!</definedName>
    <definedName name="CAPP40" localSheetId="25">#REF!</definedName>
    <definedName name="CAPP40" localSheetId="35">#REF!</definedName>
    <definedName name="CAPP40" localSheetId="33">#REF!</definedName>
    <definedName name="CAPP40">#REF!</definedName>
    <definedName name="CAPP41" localSheetId="26">#REF!</definedName>
    <definedName name="CAPP41" localSheetId="25">#REF!</definedName>
    <definedName name="CAPP41" localSheetId="35">#REF!</definedName>
    <definedName name="CAPP41" localSheetId="33">#REF!</definedName>
    <definedName name="CAPP41">#REF!</definedName>
    <definedName name="CAPP42" localSheetId="26">#REF!</definedName>
    <definedName name="CAPP42" localSheetId="25">#REF!</definedName>
    <definedName name="CAPP42" localSheetId="35">#REF!</definedName>
    <definedName name="CAPP42" localSheetId="33">#REF!</definedName>
    <definedName name="CAPP42">#REF!</definedName>
    <definedName name="CAPP43" localSheetId="26">#REF!</definedName>
    <definedName name="CAPP43" localSheetId="25">#REF!</definedName>
    <definedName name="CAPP43" localSheetId="35">#REF!</definedName>
    <definedName name="CAPP43" localSheetId="33">#REF!</definedName>
    <definedName name="CAPP43">#REF!</definedName>
    <definedName name="CAPP44" localSheetId="26">#REF!</definedName>
    <definedName name="CAPP44" localSheetId="25">#REF!</definedName>
    <definedName name="CAPP44" localSheetId="35">#REF!</definedName>
    <definedName name="CAPP44" localSheetId="33">#REF!</definedName>
    <definedName name="CAPP44">#REF!</definedName>
    <definedName name="CAPP45" localSheetId="26">#REF!</definedName>
    <definedName name="CAPP45" localSheetId="25">#REF!</definedName>
    <definedName name="CAPP45" localSheetId="35">#REF!</definedName>
    <definedName name="CAPP45" localSheetId="33">#REF!</definedName>
    <definedName name="CAPP45">#REF!</definedName>
    <definedName name="CAPP46" localSheetId="26">#REF!</definedName>
    <definedName name="CAPP46" localSheetId="25">#REF!</definedName>
    <definedName name="CAPP46" localSheetId="35">#REF!</definedName>
    <definedName name="CAPP46" localSheetId="33">#REF!</definedName>
    <definedName name="CAPP46">#REF!</definedName>
    <definedName name="CAPP47" localSheetId="26">#REF!</definedName>
    <definedName name="CAPP47" localSheetId="25">#REF!</definedName>
    <definedName name="CAPP47" localSheetId="35">#REF!</definedName>
    <definedName name="CAPP47" localSheetId="33">#REF!</definedName>
    <definedName name="CAPP47">#REF!</definedName>
    <definedName name="CAPP48" localSheetId="26">#REF!</definedName>
    <definedName name="CAPP48" localSheetId="25">#REF!</definedName>
    <definedName name="CAPP48" localSheetId="35">#REF!</definedName>
    <definedName name="CAPP48" localSheetId="33">#REF!</definedName>
    <definedName name="CAPP48">#REF!</definedName>
    <definedName name="CAPP49" localSheetId="26">#REF!</definedName>
    <definedName name="CAPP49" localSheetId="25">#REF!</definedName>
    <definedName name="CAPP49" localSheetId="35">#REF!</definedName>
    <definedName name="CAPP49" localSheetId="33">#REF!</definedName>
    <definedName name="CAPP49">#REF!</definedName>
    <definedName name="Capp5" localSheetId="26">#REF!</definedName>
    <definedName name="Capp5" localSheetId="25">#REF!</definedName>
    <definedName name="Capp5" localSheetId="35">#REF!</definedName>
    <definedName name="Capp5" localSheetId="33">#REF!</definedName>
    <definedName name="Capp5">#REF!</definedName>
    <definedName name="CAPP50" localSheetId="26">#REF!</definedName>
    <definedName name="CAPP50" localSheetId="25">#REF!</definedName>
    <definedName name="CAPP50" localSheetId="35">#REF!</definedName>
    <definedName name="CAPP50" localSheetId="33">#REF!</definedName>
    <definedName name="CAPP50">#REF!</definedName>
    <definedName name="CAPP51" localSheetId="26">#REF!</definedName>
    <definedName name="CAPP51" localSheetId="25">#REF!</definedName>
    <definedName name="CAPP51" localSheetId="35">#REF!</definedName>
    <definedName name="CAPP51" localSheetId="33">#REF!</definedName>
    <definedName name="CAPP51">#REF!</definedName>
    <definedName name="CAPP52" localSheetId="26">#REF!</definedName>
    <definedName name="CAPP52" localSheetId="25">#REF!</definedName>
    <definedName name="CAPP52" localSheetId="35">#REF!</definedName>
    <definedName name="CAPP52" localSheetId="33">#REF!</definedName>
    <definedName name="CAPP52">#REF!</definedName>
    <definedName name="CAPP53" localSheetId="26">#REF!</definedName>
    <definedName name="CAPP53" localSheetId="25">#REF!</definedName>
    <definedName name="CAPP53" localSheetId="35">#REF!</definedName>
    <definedName name="CAPP53" localSheetId="33">#REF!</definedName>
    <definedName name="CAPP53">#REF!</definedName>
    <definedName name="CAPP54" localSheetId="26">#REF!</definedName>
    <definedName name="CAPP54" localSheetId="25">#REF!</definedName>
    <definedName name="CAPP54" localSheetId="35">#REF!</definedName>
    <definedName name="CAPP54" localSheetId="33">#REF!</definedName>
    <definedName name="CAPP54">#REF!</definedName>
    <definedName name="CAPP55" localSheetId="26">#REF!</definedName>
    <definedName name="CAPP55" localSheetId="25">#REF!</definedName>
    <definedName name="CAPP55" localSheetId="35">#REF!</definedName>
    <definedName name="CAPP55" localSheetId="33">#REF!</definedName>
    <definedName name="CAPP55">#REF!</definedName>
    <definedName name="CAPP56" localSheetId="26">#REF!</definedName>
    <definedName name="CAPP56" localSheetId="25">#REF!</definedName>
    <definedName name="CAPP56" localSheetId="35">#REF!</definedName>
    <definedName name="CAPP56" localSheetId="33">#REF!</definedName>
    <definedName name="CAPP56">#REF!</definedName>
    <definedName name="CAPP57" localSheetId="26">#REF!</definedName>
    <definedName name="CAPP57" localSheetId="25">#REF!</definedName>
    <definedName name="CAPP57" localSheetId="35">#REF!</definedName>
    <definedName name="CAPP57" localSheetId="33">#REF!</definedName>
    <definedName name="CAPP57">#REF!</definedName>
    <definedName name="CAPP58" localSheetId="26">#REF!</definedName>
    <definedName name="CAPP58" localSheetId="25">#REF!</definedName>
    <definedName name="CAPP58" localSheetId="35">#REF!</definedName>
    <definedName name="CAPP58" localSheetId="33">#REF!</definedName>
    <definedName name="CAPP58">#REF!</definedName>
    <definedName name="CAPP59" localSheetId="26">#REF!</definedName>
    <definedName name="CAPP59" localSheetId="25">#REF!</definedName>
    <definedName name="CAPP59" localSheetId="35">#REF!</definedName>
    <definedName name="CAPP59" localSheetId="33">#REF!</definedName>
    <definedName name="CAPP59">#REF!</definedName>
    <definedName name="Capp6" localSheetId="26">#REF!</definedName>
    <definedName name="Capp6" localSheetId="25">#REF!</definedName>
    <definedName name="Capp6" localSheetId="35">#REF!</definedName>
    <definedName name="Capp6" localSheetId="33">#REF!</definedName>
    <definedName name="Capp6">#REF!</definedName>
    <definedName name="CAPP60" localSheetId="26">#REF!</definedName>
    <definedName name="CAPP60" localSheetId="25">#REF!</definedName>
    <definedName name="CAPP60" localSheetId="35">#REF!</definedName>
    <definedName name="CAPP60" localSheetId="33">#REF!</definedName>
    <definedName name="CAPP60">#REF!</definedName>
    <definedName name="CAPP61" localSheetId="26">#REF!</definedName>
    <definedName name="CAPP61" localSheetId="25">#REF!</definedName>
    <definedName name="CAPP61" localSheetId="35">#REF!</definedName>
    <definedName name="CAPP61" localSheetId="33">#REF!</definedName>
    <definedName name="CAPP61">#REF!</definedName>
    <definedName name="CAPP62" localSheetId="26">#REF!</definedName>
    <definedName name="CAPP62" localSheetId="25">#REF!</definedName>
    <definedName name="CAPP62" localSheetId="35">#REF!</definedName>
    <definedName name="CAPP62" localSheetId="33">#REF!</definedName>
    <definedName name="CAPP62">#REF!</definedName>
    <definedName name="CAPP63" localSheetId="26">#REF!</definedName>
    <definedName name="CAPP63" localSheetId="25">#REF!</definedName>
    <definedName name="CAPP63" localSheetId="35">#REF!</definedName>
    <definedName name="CAPP63" localSheetId="33">#REF!</definedName>
    <definedName name="CAPP63">#REF!</definedName>
    <definedName name="CAPP64" localSheetId="26">#REF!</definedName>
    <definedName name="CAPP64" localSheetId="25">#REF!</definedName>
    <definedName name="CAPP64" localSheetId="35">#REF!</definedName>
    <definedName name="CAPP64" localSheetId="33">#REF!</definedName>
    <definedName name="CAPP64">#REF!</definedName>
    <definedName name="CAPP65" localSheetId="26">#REF!</definedName>
    <definedName name="CAPP65" localSheetId="25">#REF!</definedName>
    <definedName name="CAPP65" localSheetId="35">#REF!</definedName>
    <definedName name="CAPP65" localSheetId="33">#REF!</definedName>
    <definedName name="CAPP65">#REF!</definedName>
    <definedName name="CAPP66" localSheetId="26">#REF!</definedName>
    <definedName name="CAPP66" localSheetId="25">#REF!</definedName>
    <definedName name="CAPP66" localSheetId="35">#REF!</definedName>
    <definedName name="CAPP66" localSheetId="33">#REF!</definedName>
    <definedName name="CAPP66">#REF!</definedName>
    <definedName name="CAPP67" localSheetId="26">#REF!</definedName>
    <definedName name="CAPP67" localSheetId="25">#REF!</definedName>
    <definedName name="CAPP67" localSheetId="35">#REF!</definedName>
    <definedName name="CAPP67" localSheetId="33">#REF!</definedName>
    <definedName name="CAPP67">#REF!</definedName>
    <definedName name="CAPP68" localSheetId="26">#REF!</definedName>
    <definedName name="CAPP68" localSheetId="25">#REF!</definedName>
    <definedName name="CAPP68" localSheetId="35">#REF!</definedName>
    <definedName name="CAPP68" localSheetId="33">#REF!</definedName>
    <definedName name="CAPP68">#REF!</definedName>
    <definedName name="Capp7" localSheetId="26">#REF!</definedName>
    <definedName name="Capp7" localSheetId="25">#REF!</definedName>
    <definedName name="Capp7" localSheetId="35">#REF!</definedName>
    <definedName name="Capp7" localSheetId="33">#REF!</definedName>
    <definedName name="Capp7">#REF!</definedName>
    <definedName name="Capp8" localSheetId="26">#REF!</definedName>
    <definedName name="Capp8" localSheetId="25">#REF!</definedName>
    <definedName name="Capp8" localSheetId="35">#REF!</definedName>
    <definedName name="Capp8" localSheetId="33">#REF!</definedName>
    <definedName name="Capp8">#REF!</definedName>
    <definedName name="Capp9" localSheetId="26">#REF!</definedName>
    <definedName name="Capp9" localSheetId="25">#REF!</definedName>
    <definedName name="Capp9" localSheetId="35">#REF!</definedName>
    <definedName name="Capp9" localSheetId="33">#REF!</definedName>
    <definedName name="Capp9">#REF!</definedName>
    <definedName name="CapRate" localSheetId="26">#REF!</definedName>
    <definedName name="CapRate" localSheetId="25">#REF!</definedName>
    <definedName name="CapRate" localSheetId="35">#REF!</definedName>
    <definedName name="CapRate" localSheetId="33">#REF!</definedName>
    <definedName name="CapRate">#REF!</definedName>
    <definedName name="Case" localSheetId="26">#REF!</definedName>
    <definedName name="Case" localSheetId="25">#REF!</definedName>
    <definedName name="Case" localSheetId="35">#REF!</definedName>
    <definedName name="Case" localSheetId="33">#REF!</definedName>
    <definedName name="Case">#REF!</definedName>
    <definedName name="cash">#N/A</definedName>
    <definedName name="CashFlow_Button1_Click">#N/A</definedName>
    <definedName name="CASHM">#N/A</definedName>
    <definedName name="Category" localSheetId="26">#REF!</definedName>
    <definedName name="Category" localSheetId="25">#REF!</definedName>
    <definedName name="Category" localSheetId="35">#REF!</definedName>
    <definedName name="Category" localSheetId="33">#REF!</definedName>
    <definedName name="Category">#REF!</definedName>
    <definedName name="CBWorkbookPriority" hidden="1">-1306763243</definedName>
    <definedName name="cc"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localSheetId="28" hidden="1">{"cred comp",#N/A,FALSE,"Comparable Credit Analysis";"IS",#N/A,FALSE,"IS";"Sensitivity",#N/A,FALSE,"Sensitivity";"BS",#N/A,FALSE,"BS";"Bond Summary",#N/A,FALSE,"B Summary";"AD",#N/A,FALSE,"Accretion";"NAV",#N/A,FALSE,"NAV";"SU",#N/A,FALSE,"S&amp;U";"acq. study",#N/A,FALSE,"Acq. Study";"F Charges",#N/A,FALSE,"Fixed Charges"}</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localSheetId="28"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localSheetId="28"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localSheetId="28" hidden="1">{#N/A,#N/A,FALSE,"SUM";#N/A,#N/A,FALSE,"Holding Cost ";#N/A,#N/A,FALSE,"2000 &amp; C3D";#N/A,#N/A,FALSE,"Disposal Costs";#N/A,#N/A,FALSE,"WIP";#N/A,#N/A,FALSE,"Fin Goods"}</definedName>
    <definedName name="cccc" hidden="1">{#N/A,#N/A,FALSE,"SUM";#N/A,#N/A,FALSE,"Holding Cost ";#N/A,#N/A,FALSE,"2000 &amp; C3D";#N/A,#N/A,FALSE,"Disposal Costs";#N/A,#N/A,FALSE,"WIP";#N/A,#N/A,FALSE,"Fin Goods"}</definedName>
    <definedName name="cccc_1" localSheetId="28"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localSheetId="28"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localSheetId="28" hidden="1">{"revenue detail 1",#N/A,FALSE,"Revenue Detail";"revenue detail 2",#N/A,FALSE,"Revenue Detail";"revenue detail 3",#N/A,FALSE,"Revenue Detail";"revenue detail 4",#N/A,FALSE,"Revenue Detail"}</definedName>
    <definedName name="ccccc" hidden="1">{"revenue detail 1",#N/A,FALSE,"Revenue Detail";"revenue detail 2",#N/A,FALSE,"Revenue Detail";"revenue detail 3",#N/A,FALSE,"Revenue Detail";"revenue detail 4",#N/A,FALSE,"Revenue Detail"}</definedName>
    <definedName name="ccccc_1" localSheetId="28"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localSheetId="28"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localSheetId="28" hidden="1">{#N/A,#N/A,TRUE,"Falcons_Standalone";#N/A,#N/A,TRUE,"Target_Input";#N/A,#N/A,TRUE,"Target_Calendarized"}</definedName>
    <definedName name="cccccc" hidden="1">{#N/A,#N/A,TRUE,"Falcons_Standalone";#N/A,#N/A,TRUE,"Target_Input";#N/A,#N/A,TRUE,"Target_Calendarized"}</definedName>
    <definedName name="cccccc_1" localSheetId="28" hidden="1">{#N/A,#N/A,TRUE,"Falcons_Standalone";#N/A,#N/A,TRUE,"Target_Input";#N/A,#N/A,TRUE,"Target_Calendarized"}</definedName>
    <definedName name="cccccc_1" hidden="1">{#N/A,#N/A,TRUE,"Falcons_Standalone";#N/A,#N/A,TRUE,"Target_Input";#N/A,#N/A,TRUE,"Target_Calendarized"}</definedName>
    <definedName name="cccccc_1_1" localSheetId="28" hidden="1">{#N/A,#N/A,TRUE,"Falcons_Standalone";#N/A,#N/A,TRUE,"Target_Input";#N/A,#N/A,TRUE,"Target_Calendarized"}</definedName>
    <definedName name="cccccc_1_1" hidden="1">{#N/A,#N/A,TRUE,"Falcons_Standalone";#N/A,#N/A,TRUE,"Target_Input";#N/A,#N/A,TRUE,"Target_Calendarized"}</definedName>
    <definedName name="ccccccc" localSheetId="28" hidden="1">{"revenue graph",#N/A,FALSE,"Revenue Graph"}</definedName>
    <definedName name="ccccccc" hidden="1">{"revenue graph",#N/A,FALSE,"Revenue Graph"}</definedName>
    <definedName name="ccccccc_1" localSheetId="28" hidden="1">{"revenue graph",#N/A,FALSE,"Revenue Graph"}</definedName>
    <definedName name="ccccccc_1" hidden="1">{"revenue graph",#N/A,FALSE,"Revenue Graph"}</definedName>
    <definedName name="ccccccc_1_1" localSheetId="28" hidden="1">{"revenue graph",#N/A,FALSE,"Revenue Graph"}</definedName>
    <definedName name="ccccccc_1_1" hidden="1">{"revenue graph",#N/A,FALSE,"Revenue Graph"}</definedName>
    <definedName name="cccccccc" localSheetId="28" hidden="1">{"Total",#N/A,FALSE,"Six Fields";"PDP",#N/A,FALSE,"Six Fields";"PNP",#N/A,FALSE,"Six Fields";"PUD",#N/A,FALSE,"Six Fields";"Prob",#N/A,FALSE,"Six Fields"}</definedName>
    <definedName name="cccccccc" hidden="1">{"Total",#N/A,FALSE,"Six Fields";"PDP",#N/A,FALSE,"Six Fields";"PNP",#N/A,FALSE,"Six Fields";"PUD",#N/A,FALSE,"Six Fields";"Prob",#N/A,FALSE,"Six Fields"}</definedName>
    <definedName name="cccccccc_1" localSheetId="28"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localSheetId="28"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localSheetId="28" hidden="1">{"Sum1",#N/A,FALSE,"Reserve Report";"Sum2",#N/A,FALSE,"Reserve Report";"Sum3",#N/A,FALSE,"Reserve Report";"Sum4",#N/A,FALSE,"Reserve Report"}</definedName>
    <definedName name="ccccccccc" hidden="1">{"Sum1",#N/A,FALSE,"Reserve Report";"Sum2",#N/A,FALSE,"Reserve Report";"Sum3",#N/A,FALSE,"Reserve Report";"Sum4",#N/A,FALSE,"Reserve Report"}</definedName>
    <definedName name="ccccccccc_1" localSheetId="28"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localSheetId="28"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localSheetId="28" hidden="1">{#N/A,#N/A,FALSE,"资产负债表";#N/A,#N/A,FALSE,"资产负债表"}</definedName>
    <definedName name="cdew" hidden="1">{#N/A,#N/A,FALSE,"资产负债表";#N/A,#N/A,FALSE,"资产负债表"}</definedName>
    <definedName name="cew\" localSheetId="28" hidden="1">{#N/A,#N/A,FALSE,"COVER";#N/A,#N/A,FALSE,"0";#N/A,#N/A,FALSE,"1";#N/A,#N/A,FALSE,"2";#N/A,#N/A,FALSE,"3";#N/A,#N/A,FALSE,"4";#N/A,#N/A,FALSE,"5";#N/A,#N/A,FALSE,"6";#N/A,#N/A,FALSE,"7";#N/A,#N/A,FALSE,"8";#N/A,#N/A,FALSE,"9";#N/A,#N/A,FALSE,"10";#N/A,#N/A,FALSE,"11"}</definedName>
    <definedName name="cew\" hidden="1">{#N/A,#N/A,FALSE,"COVER";#N/A,#N/A,FALSE,"0";#N/A,#N/A,FALSE,"1";#N/A,#N/A,FALSE,"2";#N/A,#N/A,FALSE,"3";#N/A,#N/A,FALSE,"4";#N/A,#N/A,FALSE,"5";#N/A,#N/A,FALSE,"6";#N/A,#N/A,FALSE,"7";#N/A,#N/A,FALSE,"8";#N/A,#N/A,FALSE,"9";#N/A,#N/A,FALSE,"10";#N/A,#N/A,FALSE,"11"}</definedName>
    <definedName name="cf" localSheetId="28" hidden="1">{"toptrial",#N/A,TRUE,"toptrial";"adjustment",#N/A,TRUE,"toptrial";"voucher",#N/A,TRUE,"toptrial"}</definedName>
    <definedName name="cf" hidden="1">{"toptrial",#N/A,TRUE,"toptrial";"adjustment",#N/A,TRUE,"toptrial";"voucher",#N/A,TRUE,"toptrial"}</definedName>
    <definedName name="CFA" localSheetId="26">#REF!</definedName>
    <definedName name="CFA" localSheetId="25">#REF!</definedName>
    <definedName name="CFA" localSheetId="35">#REF!</definedName>
    <definedName name="CFA" localSheetId="33">#REF!</definedName>
    <definedName name="CFA">#REF!</definedName>
    <definedName name="ChAC" localSheetId="26">#REF!</definedName>
    <definedName name="ChAC" localSheetId="25">#REF!</definedName>
    <definedName name="ChAC" localSheetId="35">#REF!</definedName>
    <definedName name="ChAC" localSheetId="33">#REF!</definedName>
    <definedName name="ChAC">#REF!</definedName>
    <definedName name="ChangColor_With1" localSheetId="26">#REF!</definedName>
    <definedName name="ChangColor_With1" localSheetId="25">#REF!</definedName>
    <definedName name="ChangColor_With1" localSheetId="35">#REF!</definedName>
    <definedName name="ChangColor_With1" localSheetId="33">#REF!</definedName>
    <definedName name="ChangColor_With1">#REF!</definedName>
    <definedName name="Change" localSheetId="26">#REF!</definedName>
    <definedName name="Change" localSheetId="25">#REF!</definedName>
    <definedName name="Change" localSheetId="35">#REF!</definedName>
    <definedName name="Change" localSheetId="33">#REF!</definedName>
    <definedName name="Change">#REF!</definedName>
    <definedName name="CHANGSHA" localSheetId="26">#REF!</definedName>
    <definedName name="CHANGSHA" localSheetId="25">#REF!</definedName>
    <definedName name="CHANGSHA" localSheetId="35">#REF!</definedName>
    <definedName name="CHANGSHA" localSheetId="33">#REF!</definedName>
    <definedName name="CHANGSHA">#REF!</definedName>
    <definedName name="ChBV" localSheetId="26">#REF!</definedName>
    <definedName name="ChBV" localSheetId="25">#REF!</definedName>
    <definedName name="ChBV" localSheetId="35">#REF!</definedName>
    <definedName name="ChBV" localSheetId="33">#REF!</definedName>
    <definedName name="ChBV">#REF!</definedName>
    <definedName name="Chosen_Accounts" localSheetId="26">#REF!</definedName>
    <definedName name="Chosen_Accounts" localSheetId="25">#REF!</definedName>
    <definedName name="Chosen_Accounts" localSheetId="35">#REF!</definedName>
    <definedName name="Chosen_Accounts" localSheetId="33">#REF!</definedName>
    <definedName name="Chosen_Accounts" localSheetId="36">#REF!</definedName>
    <definedName name="Chosen_Accounts">#REF!</definedName>
    <definedName name="Chosen_Product_Houses" localSheetId="26">#REF!</definedName>
    <definedName name="Chosen_Product_Houses" localSheetId="25">#REF!</definedName>
    <definedName name="Chosen_Product_Houses" localSheetId="35">#REF!</definedName>
    <definedName name="Chosen_Product_Houses" localSheetId="33">#REF!</definedName>
    <definedName name="Chosen_Product_Houses" localSheetId="36">#REF!</definedName>
    <definedName name="Chosen_Product_Houses">#REF!</definedName>
    <definedName name="Chosen_Product_Lines" localSheetId="26">#REF!</definedName>
    <definedName name="Chosen_Product_Lines" localSheetId="25">#REF!</definedName>
    <definedName name="Chosen_Product_Lines" localSheetId="35">#REF!</definedName>
    <definedName name="Chosen_Product_Lines" localSheetId="33">#REF!</definedName>
    <definedName name="Chosen_Product_Lines" localSheetId="36">#REF!</definedName>
    <definedName name="Chosen_Product_Lines">#REF!</definedName>
    <definedName name="ChosenCountries" localSheetId="26">#REF!</definedName>
    <definedName name="ChosenCountries" localSheetId="25">#REF!</definedName>
    <definedName name="ChosenCountries" localSheetId="35">#REF!</definedName>
    <definedName name="ChosenCountries" localSheetId="33">#REF!</definedName>
    <definedName name="ChosenCountries" localSheetId="36">#REF!</definedName>
    <definedName name="ChosenCountries">#REF!</definedName>
    <definedName name="CIQWBGuid" hidden="1">"b05fee4e-74f5-403c-af92-1fa378d30124"</definedName>
    <definedName name="CLEAN_RPT" localSheetId="26">#REF!</definedName>
    <definedName name="CLEAN_RPT" localSheetId="25">#REF!</definedName>
    <definedName name="CLEAN_RPT" localSheetId="35">#REF!</definedName>
    <definedName name="CLEAN_RPT" localSheetId="33">#REF!</definedName>
    <definedName name="CLEAN_RPT" localSheetId="36">#REF!</definedName>
    <definedName name="CLEAN_RPT">#REF!</definedName>
    <definedName name="CMTGearing2003" localSheetId="26">#REF!</definedName>
    <definedName name="CMTGearing2003" localSheetId="25">#REF!</definedName>
    <definedName name="CMTGearing2003" localSheetId="35">#REF!</definedName>
    <definedName name="CMTGearing2003" localSheetId="33">#REF!</definedName>
    <definedName name="CMTGearing2003">#REF!</definedName>
    <definedName name="co">100</definedName>
    <definedName name="conlen" localSheetId="26">#REF!</definedName>
    <definedName name="conlen" localSheetId="25">#REF!</definedName>
    <definedName name="conlen" localSheetId="35">#REF!</definedName>
    <definedName name="conlen" localSheetId="33">#REF!</definedName>
    <definedName name="conlen">#REF!</definedName>
    <definedName name="Construction_Cost_Rate" localSheetId="26">#REF!</definedName>
    <definedName name="Construction_Cost_Rate" localSheetId="25">#REF!</definedName>
    <definedName name="Construction_Cost_Rate" localSheetId="35">#REF!</definedName>
    <definedName name="Construction_Cost_Rate" localSheetId="33">#REF!</definedName>
    <definedName name="Construction_Cost_Rate">#REF!</definedName>
    <definedName name="CONT">"B99"</definedName>
    <definedName name="CONTINUE" localSheetId="26">#REF!</definedName>
    <definedName name="CONTINUE" localSheetId="25">#REF!</definedName>
    <definedName name="CONTINUE" localSheetId="35">#REF!</definedName>
    <definedName name="CONTINUE" localSheetId="33">#REF!</definedName>
    <definedName name="CONTINUE" localSheetId="36">#REF!</definedName>
    <definedName name="CONTINUE">#REF!</definedName>
    <definedName name="ContractedColor" localSheetId="26">#REF!</definedName>
    <definedName name="ContractedColor" localSheetId="25">#REF!</definedName>
    <definedName name="ContractedColor" localSheetId="35">#REF!</definedName>
    <definedName name="ContractedColor" localSheetId="33">#REF!</definedName>
    <definedName name="ContractedColor" localSheetId="36">#REF!</definedName>
    <definedName name="ContractedColor">#REF!</definedName>
    <definedName name="ContractedLower" localSheetId="26">#REF!</definedName>
    <definedName name="ContractedLower" localSheetId="25">#REF!</definedName>
    <definedName name="ContractedLower" localSheetId="35">#REF!</definedName>
    <definedName name="ContractedLower" localSheetId="33">#REF!</definedName>
    <definedName name="ContractedLower" localSheetId="36">#REF!</definedName>
    <definedName name="ContractedLower">#REF!</definedName>
    <definedName name="ContractedUpper" localSheetId="26">#REF!</definedName>
    <definedName name="ContractedUpper" localSheetId="25">#REF!</definedName>
    <definedName name="ContractedUpper" localSheetId="35">#REF!</definedName>
    <definedName name="ContractedUpper" localSheetId="33">#REF!</definedName>
    <definedName name="ContractedUpper" localSheetId="36">#REF!</definedName>
    <definedName name="ContractedUpper">#REF!</definedName>
    <definedName name="Contracts" localSheetId="26">#REF!</definedName>
    <definedName name="Contracts" localSheetId="25">#REF!</definedName>
    <definedName name="Contracts" localSheetId="35">#REF!</definedName>
    <definedName name="Contracts" localSheetId="33">#REF!</definedName>
    <definedName name="Contracts">#REF!</definedName>
    <definedName name="CORPTAX" localSheetId="26">#REF!</definedName>
    <definedName name="CORPTAX" localSheetId="25">#REF!</definedName>
    <definedName name="CORPTAX" localSheetId="35">#REF!</definedName>
    <definedName name="CORPTAX" localSheetId="33">#REF!</definedName>
    <definedName name="CORPTAX">#REF!</definedName>
    <definedName name="cost" localSheetId="26">#REF!</definedName>
    <definedName name="cost" localSheetId="25">#REF!</definedName>
    <definedName name="cost" localSheetId="35">#REF!</definedName>
    <definedName name="cost" localSheetId="33">#REF!</definedName>
    <definedName name="cost">#REF!</definedName>
    <definedName name="COUNT" localSheetId="26">#REF!</definedName>
    <definedName name="COUNT" localSheetId="25">#REF!</definedName>
    <definedName name="COUNT" localSheetId="35">#REF!</definedName>
    <definedName name="COUNT" localSheetId="33">#REF!</definedName>
    <definedName name="COUNT" localSheetId="36">#REF!</definedName>
    <definedName name="COUNT">#REF!</definedName>
    <definedName name="COUNT_VAR" localSheetId="26">#REF!</definedName>
    <definedName name="COUNT_VAR" localSheetId="25">#REF!</definedName>
    <definedName name="COUNT_VAR" localSheetId="35">#REF!</definedName>
    <definedName name="COUNT_VAR" localSheetId="33">#REF!</definedName>
    <definedName name="COUNT_VAR" localSheetId="36">#REF!</definedName>
    <definedName name="COUNT_VAR">#REF!</definedName>
    <definedName name="COUPPCD" localSheetId="26">#REF!</definedName>
    <definedName name="COUPPCD" localSheetId="25">#REF!</definedName>
    <definedName name="COUPPCD" localSheetId="35">#REF!</definedName>
    <definedName name="COUPPCD" localSheetId="33">#REF!</definedName>
    <definedName name="COUPPCD">#REF!</definedName>
    <definedName name="CR" localSheetId="26">#REF!</definedName>
    <definedName name="CR" localSheetId="25">#REF!</definedName>
    <definedName name="CR" localSheetId="35">#REF!</definedName>
    <definedName name="CR" localSheetId="33">#REF!</definedName>
    <definedName name="CR">#REF!</definedName>
    <definedName name="CRb" localSheetId="26">#REF!</definedName>
    <definedName name="CRb" localSheetId="25">#REF!</definedName>
    <definedName name="CRb" localSheetId="35">#REF!</definedName>
    <definedName name="CRb" localSheetId="33">#REF!</definedName>
    <definedName name="CRb">#REF!</definedName>
    <definedName name="Credcard_Income_Growth" localSheetId="26">#REF!</definedName>
    <definedName name="Credcard_Income_Growth" localSheetId="25">#REF!</definedName>
    <definedName name="Credcard_Income_Growth" localSheetId="35">#REF!</definedName>
    <definedName name="Credcard_Income_Growth" localSheetId="33">#REF!</definedName>
    <definedName name="Credcard_Income_Growth">#REF!</definedName>
    <definedName name="Criteria_MI" localSheetId="26">#REF!</definedName>
    <definedName name="Criteria_MI" localSheetId="25">#REF!</definedName>
    <definedName name="Criteria_MI" localSheetId="35">#REF!</definedName>
    <definedName name="Criteria_MI" localSheetId="33">#REF!</definedName>
    <definedName name="Criteria_MI">#REF!</definedName>
    <definedName name="ctWB" localSheetId="26">#REF!</definedName>
    <definedName name="ctWB" localSheetId="25">#REF!</definedName>
    <definedName name="ctWB" localSheetId="35">#REF!</definedName>
    <definedName name="ctWB" localSheetId="33">#REF!</definedName>
    <definedName name="ctWB" localSheetId="36">#REF!</definedName>
    <definedName name="ctWB">#REF!</definedName>
    <definedName name="ctWB2" localSheetId="26">#REF!</definedName>
    <definedName name="ctWB2" localSheetId="25">#REF!</definedName>
    <definedName name="ctWB2" localSheetId="35">#REF!</definedName>
    <definedName name="ctWB2" localSheetId="33">#REF!</definedName>
    <definedName name="ctWB2" localSheetId="36">#REF!</definedName>
    <definedName name="ctWB2">#REF!</definedName>
    <definedName name="CUPPAGE_TERRACE" localSheetId="26">#REF!</definedName>
    <definedName name="CUPPAGE_TERRACE" localSheetId="25">#REF!</definedName>
    <definedName name="CUPPAGE_TERRACE" localSheetId="35">#REF!</definedName>
    <definedName name="CUPPAGE_TERRACE" localSheetId="33">#REF!</definedName>
    <definedName name="CUPPAGE_TERRACE">#REF!</definedName>
    <definedName name="CurrencySymbol" localSheetId="26">#REF!</definedName>
    <definedName name="CurrencySymbol" localSheetId="25">#REF!</definedName>
    <definedName name="CurrencySymbol" localSheetId="35">#REF!</definedName>
    <definedName name="CurrencySymbol" localSheetId="33">#REF!</definedName>
    <definedName name="CurrencySymbol" localSheetId="36">#REF!</definedName>
    <definedName name="CurrencySymbol">#REF!</definedName>
    <definedName name="Customer" localSheetId="26">#REF!</definedName>
    <definedName name="Customer" localSheetId="25">#REF!</definedName>
    <definedName name="Customer" localSheetId="35">#REF!</definedName>
    <definedName name="Customer" localSheetId="33">#REF!</definedName>
    <definedName name="Customer">#REF!</definedName>
    <definedName name="cw" localSheetId="28" hidden="1">{#N/A,#N/A,FALSE,"资产负债表";#N/A,#N/A,FALSE,"资产负债表"}</definedName>
    <definedName name="cw" hidden="1">{#N/A,#N/A,FALSE,"资产负债表";#N/A,#N/A,FALSE,"资产负债表"}</definedName>
    <definedName name="CWV" localSheetId="26">#REF!</definedName>
    <definedName name="CWV" localSheetId="25">#REF!</definedName>
    <definedName name="CWV" localSheetId="35">#REF!</definedName>
    <definedName name="CWV" localSheetId="33">#REF!</definedName>
    <definedName name="CWV" localSheetId="36">#REF!</definedName>
    <definedName name="CWV">#REF!</definedName>
    <definedName name="CWV_MultActual" localSheetId="26">#REF!</definedName>
    <definedName name="CWV_MultActual" localSheetId="25">#REF!</definedName>
    <definedName name="CWV_MultActual" localSheetId="35">#REF!</definedName>
    <definedName name="CWV_MultActual" localSheetId="33">#REF!</definedName>
    <definedName name="CWV_MultActual" localSheetId="36">#REF!</definedName>
    <definedName name="CWV_MultActual">#REF!</definedName>
    <definedName name="CWV_MultContracted" localSheetId="26">#REF!</definedName>
    <definedName name="CWV_MultContracted" localSheetId="25">#REF!</definedName>
    <definedName name="CWV_MultContracted" localSheetId="35">#REF!</definedName>
    <definedName name="CWV_MultContracted" localSheetId="33">#REF!</definedName>
    <definedName name="CWV_MultContracted" localSheetId="36">#REF!</definedName>
    <definedName name="CWV_MultContracted">#REF!</definedName>
    <definedName name="CWV_MultHigh" localSheetId="26">#REF!</definedName>
    <definedName name="CWV_MultHigh" localSheetId="25">#REF!</definedName>
    <definedName name="CWV_MultHigh" localSheetId="35">#REF!</definedName>
    <definedName name="CWV_MultHigh" localSheetId="33">#REF!</definedName>
    <definedName name="CWV_MultHigh" localSheetId="36">#REF!</definedName>
    <definedName name="CWV_MultHigh">#REF!</definedName>
    <definedName name="CWV_MultLow" localSheetId="26">#REF!</definedName>
    <definedName name="CWV_MultLow" localSheetId="25">#REF!</definedName>
    <definedName name="CWV_MultLow" localSheetId="35">#REF!</definedName>
    <definedName name="CWV_MultLow" localSheetId="33">#REF!</definedName>
    <definedName name="CWV_MultLow" localSheetId="36">#REF!</definedName>
    <definedName name="CWV_MultLow">#REF!</definedName>
    <definedName name="CWV_MultMedium" localSheetId="26">#REF!</definedName>
    <definedName name="CWV_MultMedium" localSheetId="25">#REF!</definedName>
    <definedName name="CWV_MultMedium" localSheetId="35">#REF!</definedName>
    <definedName name="CWV_MultMedium" localSheetId="33">#REF!</definedName>
    <definedName name="CWV_MultMedium" localSheetId="36">#REF!</definedName>
    <definedName name="CWV_MultMedium">#REF!</definedName>
    <definedName name="CWVColor" localSheetId="26">#REF!</definedName>
    <definedName name="CWVColor" localSheetId="25">#REF!</definedName>
    <definedName name="CWVColor" localSheetId="35">#REF!</definedName>
    <definedName name="CWVColor" localSheetId="33">#REF!</definedName>
    <definedName name="CWVColor" localSheetId="36">#REF!</definedName>
    <definedName name="CWVColor">#REF!</definedName>
    <definedName name="CWVTotal" localSheetId="26">#REF!</definedName>
    <definedName name="CWVTotal" localSheetId="25">#REF!</definedName>
    <definedName name="CWVTotal" localSheetId="35">#REF!</definedName>
    <definedName name="CWVTotal" localSheetId="33">#REF!</definedName>
    <definedName name="CWVTotal" localSheetId="36">#REF!</definedName>
    <definedName name="CWVTotal">#REF!</definedName>
    <definedName name="CWVTotalDetail" localSheetId="26">#REF!</definedName>
    <definedName name="CWVTotalDetail" localSheetId="25">#REF!</definedName>
    <definedName name="CWVTotalDetail" localSheetId="35">#REF!</definedName>
    <definedName name="CWVTotalDetail" localSheetId="33">#REF!</definedName>
    <definedName name="CWVTotalDetail" localSheetId="36">#REF!</definedName>
    <definedName name="CWVTotalDetail">#REF!</definedName>
    <definedName name="CWVTotalWeighted" localSheetId="26">#REF!</definedName>
    <definedName name="CWVTotalWeighted" localSheetId="25">#REF!</definedName>
    <definedName name="CWVTotalWeighted" localSheetId="35">#REF!</definedName>
    <definedName name="CWVTotalWeighted" localSheetId="33">#REF!</definedName>
    <definedName name="CWVTotalWeighted" localSheetId="36">#REF!</definedName>
    <definedName name="CWVTotalWeighted">#REF!</definedName>
    <definedName name="CX" localSheetId="28" hidden="1">{#N/A,#N/A,FALSE,"431"}</definedName>
    <definedName name="CX" hidden="1">{#N/A,#N/A,FALSE,"431"}</definedName>
    <definedName name="d" localSheetId="28" hidden="1">{#N/A,#N/A,TRUE,"Acquirer_Cases_Input";#N/A,#N/A,TRUE,"Acquirer_Input";#N/A,#N/A,TRUE,"Acquirer"}</definedName>
    <definedName name="d" hidden="1">{#N/A,#N/A,TRUE,"Acquirer_Cases_Input";#N/A,#N/A,TRUE,"Acquirer_Input";#N/A,#N/A,TRUE,"Acquirer"}</definedName>
    <definedName name="d_1" localSheetId="28" hidden="1">{#N/A,#N/A,TRUE,"Acquirer_Cases_Input";#N/A,#N/A,TRUE,"Acquirer_Input";#N/A,#N/A,TRUE,"Acquirer"}</definedName>
    <definedName name="d_1" hidden="1">{#N/A,#N/A,TRUE,"Acquirer_Cases_Input";#N/A,#N/A,TRUE,"Acquirer_Input";#N/A,#N/A,TRUE,"Acquirer"}</definedName>
    <definedName name="d_1_1" localSheetId="28" hidden="1">{#N/A,#N/A,TRUE,"Acquirer_Cases_Input";#N/A,#N/A,TRUE,"Acquirer_Input";#N/A,#N/A,TRUE,"Acquirer"}</definedName>
    <definedName name="d_1_1" hidden="1">{#N/A,#N/A,TRUE,"Acquirer_Cases_Input";#N/A,#N/A,TRUE,"Acquirer_Input";#N/A,#N/A,TRUE,"Acquirer"}</definedName>
    <definedName name="D_month" localSheetId="26">#REF!</definedName>
    <definedName name="D_month" localSheetId="25">#REF!</definedName>
    <definedName name="D_month" localSheetId="35">#REF!</definedName>
    <definedName name="D_month" localSheetId="33">#REF!</definedName>
    <definedName name="D_month">#REF!</definedName>
    <definedName name="daf" localSheetId="28" hidden="1">{"toptrial",#N/A,TRUE,"toptrial";"adjustment",#N/A,TRUE,"toptrial";"voucher",#N/A,TRUE,"toptrial"}</definedName>
    <definedName name="daf" hidden="1">{"toptrial",#N/A,TRUE,"toptrial";"adjustment",#N/A,TRUE,"toptrial";"voucher",#N/A,TRUE,"toptrial"}</definedName>
    <definedName name="data" localSheetId="26">#REF!</definedName>
    <definedName name="data" localSheetId="25">#REF!</definedName>
    <definedName name="data" localSheetId="35">#REF!</definedName>
    <definedName name="data" localSheetId="33">#REF!</definedName>
    <definedName name="data" localSheetId="36">#REF!</definedName>
    <definedName name="data">#REF!</definedName>
    <definedName name="Data___Borrower" localSheetId="26">#REF!</definedName>
    <definedName name="Data___Borrower" localSheetId="25">#REF!</definedName>
    <definedName name="Data___Borrower" localSheetId="35">#REF!</definedName>
    <definedName name="Data___Borrower" localSheetId="33">#REF!</definedName>
    <definedName name="Data___Borrower">#REF!</definedName>
    <definedName name="Data___Coll_Info" localSheetId="26">#REF!</definedName>
    <definedName name="Data___Coll_Info" localSheetId="25">#REF!</definedName>
    <definedName name="Data___Coll_Info" localSheetId="35">#REF!</definedName>
    <definedName name="Data___Coll_Info" localSheetId="33">#REF!</definedName>
    <definedName name="Data___Coll_Info">#REF!</definedName>
    <definedName name="Data___Coll_Scenario" localSheetId="26">#REF!</definedName>
    <definedName name="Data___Coll_Scenario" localSheetId="25">#REF!</definedName>
    <definedName name="Data___Coll_Scenario" localSheetId="35">#REF!</definedName>
    <definedName name="Data___Coll_Scenario" localSheetId="33">#REF!</definedName>
    <definedName name="Data___Coll_Scenario">#REF!</definedName>
    <definedName name="Data___Loan" localSheetId="26">#REF!</definedName>
    <definedName name="Data___Loan" localSheetId="25">#REF!</definedName>
    <definedName name="Data___Loan" localSheetId="35">#REF!</definedName>
    <definedName name="Data___Loan" localSheetId="33">#REF!</definedName>
    <definedName name="Data___Loan">#REF!</definedName>
    <definedName name="DATA1" localSheetId="26">#REF!</definedName>
    <definedName name="DATA1" localSheetId="25">#REF!</definedName>
    <definedName name="DATA1" localSheetId="35">#REF!</definedName>
    <definedName name="DATA1" localSheetId="33">#REF!</definedName>
    <definedName name="DATA1">#REF!</definedName>
    <definedName name="DATA10" localSheetId="26">#REF!</definedName>
    <definedName name="DATA10" localSheetId="25">#REF!</definedName>
    <definedName name="DATA10" localSheetId="35">#REF!</definedName>
    <definedName name="DATA10" localSheetId="33">#REF!</definedName>
    <definedName name="DATA10">#REF!</definedName>
    <definedName name="DATA11" localSheetId="26">#REF!</definedName>
    <definedName name="DATA11" localSheetId="25">#REF!</definedName>
    <definedName name="DATA11" localSheetId="35">#REF!</definedName>
    <definedName name="DATA11" localSheetId="33">#REF!</definedName>
    <definedName name="DATA11">#REF!</definedName>
    <definedName name="DATA12" localSheetId="26">#REF!</definedName>
    <definedName name="DATA12" localSheetId="25">#REF!</definedName>
    <definedName name="DATA12" localSheetId="35">#REF!</definedName>
    <definedName name="DATA12" localSheetId="33">#REF!</definedName>
    <definedName name="DATA12">#REF!</definedName>
    <definedName name="DATA13" localSheetId="26">#REF!</definedName>
    <definedName name="DATA13" localSheetId="25">#REF!</definedName>
    <definedName name="DATA13" localSheetId="35">#REF!</definedName>
    <definedName name="DATA13" localSheetId="33">#REF!</definedName>
    <definedName name="DATA13">#REF!</definedName>
    <definedName name="DATA14" localSheetId="26">#REF!</definedName>
    <definedName name="DATA14" localSheetId="25">#REF!</definedName>
    <definedName name="DATA14" localSheetId="35">#REF!</definedName>
    <definedName name="DATA14" localSheetId="33">#REF!</definedName>
    <definedName name="DATA14">#REF!</definedName>
    <definedName name="DATA2" localSheetId="26">#REF!</definedName>
    <definedName name="DATA2" localSheetId="25">#REF!</definedName>
    <definedName name="DATA2" localSheetId="35">#REF!</definedName>
    <definedName name="DATA2" localSheetId="33">#REF!</definedName>
    <definedName name="DATA2">#REF!</definedName>
    <definedName name="DATA3" localSheetId="26">#REF!</definedName>
    <definedName name="DATA3" localSheetId="25">#REF!</definedName>
    <definedName name="DATA3" localSheetId="35">#REF!</definedName>
    <definedName name="DATA3" localSheetId="33">#REF!</definedName>
    <definedName name="DATA3">#REF!</definedName>
    <definedName name="DATA4" localSheetId="26">#REF!</definedName>
    <definedName name="DATA4" localSheetId="25">#REF!</definedName>
    <definedName name="DATA4" localSheetId="35">#REF!</definedName>
    <definedName name="DATA4" localSheetId="33">#REF!</definedName>
    <definedName name="DATA4">#REF!</definedName>
    <definedName name="DATA5" localSheetId="26">#REF!</definedName>
    <definedName name="DATA5" localSheetId="25">#REF!</definedName>
    <definedName name="DATA5" localSheetId="35">#REF!</definedName>
    <definedName name="DATA5" localSheetId="33">#REF!</definedName>
    <definedName name="DATA5">#REF!</definedName>
    <definedName name="DATA6" localSheetId="26">#REF!</definedName>
    <definedName name="DATA6" localSheetId="25">#REF!</definedName>
    <definedName name="DATA6" localSheetId="35">#REF!</definedName>
    <definedName name="DATA6" localSheetId="33">#REF!</definedName>
    <definedName name="DATA6">#REF!</definedName>
    <definedName name="DATA7" localSheetId="26">#REF!</definedName>
    <definedName name="DATA7" localSheetId="25">#REF!</definedName>
    <definedName name="DATA7" localSheetId="35">#REF!</definedName>
    <definedName name="DATA7" localSheetId="33">#REF!</definedName>
    <definedName name="DATA7">#REF!</definedName>
    <definedName name="DATA8" localSheetId="26">#REF!</definedName>
    <definedName name="DATA8" localSheetId="25">#REF!</definedName>
    <definedName name="DATA8" localSheetId="35">#REF!</definedName>
    <definedName name="DATA8" localSheetId="33">#REF!</definedName>
    <definedName name="DATA8">#REF!</definedName>
    <definedName name="DATA9" localSheetId="26">#REF!</definedName>
    <definedName name="DATA9" localSheetId="25">#REF!</definedName>
    <definedName name="DATA9" localSheetId="35">#REF!</definedName>
    <definedName name="DATA9" localSheetId="33">#REF!</definedName>
    <definedName name="DATA9">#REF!</definedName>
    <definedName name="DataAccount" localSheetId="26">#REF!</definedName>
    <definedName name="DataAccount" localSheetId="25">#REF!</definedName>
    <definedName name="DataAccount" localSheetId="35">#REF!</definedName>
    <definedName name="DataAccount" localSheetId="33">#REF!</definedName>
    <definedName name="DataAccount" localSheetId="36">#REF!</definedName>
    <definedName name="DataAccount">#REF!</definedName>
    <definedName name="DataApr2001Rev" localSheetId="26">#REF!</definedName>
    <definedName name="DataApr2001Rev" localSheetId="25">#REF!</definedName>
    <definedName name="DataApr2001Rev" localSheetId="35">#REF!</definedName>
    <definedName name="DataApr2001Rev" localSheetId="33">#REF!</definedName>
    <definedName name="DataApr2001Rev" localSheetId="36">#REF!</definedName>
    <definedName name="DataApr2001Rev">#REF!</definedName>
    <definedName name="DataApr2001SGP" localSheetId="26">#REF!</definedName>
    <definedName name="DataApr2001SGP" localSheetId="25">#REF!</definedName>
    <definedName name="DataApr2001SGP" localSheetId="35">#REF!</definedName>
    <definedName name="DataApr2001SGP" localSheetId="33">#REF!</definedName>
    <definedName name="DataApr2001SGP" localSheetId="36">#REF!</definedName>
    <definedName name="DataApr2001SGP">#REF!</definedName>
    <definedName name="DataApr2002Rev" localSheetId="26">#REF!</definedName>
    <definedName name="DataApr2002Rev" localSheetId="25">#REF!</definedName>
    <definedName name="DataApr2002Rev" localSheetId="35">#REF!</definedName>
    <definedName name="DataApr2002Rev" localSheetId="33">#REF!</definedName>
    <definedName name="DataApr2002Rev" localSheetId="36">#REF!</definedName>
    <definedName name="DataApr2002Rev">#REF!</definedName>
    <definedName name="DataApr2002SGP" localSheetId="26">#REF!</definedName>
    <definedName name="DataApr2002SGP" localSheetId="25">#REF!</definedName>
    <definedName name="DataApr2002SGP" localSheetId="35">#REF!</definedName>
    <definedName name="DataApr2002SGP" localSheetId="33">#REF!</definedName>
    <definedName name="DataApr2002SGP" localSheetId="36">#REF!</definedName>
    <definedName name="DataApr2002SGP">#REF!</definedName>
    <definedName name="DataApr2003Rev" localSheetId="26">#REF!</definedName>
    <definedName name="DataApr2003Rev" localSheetId="25">#REF!</definedName>
    <definedName name="DataApr2003Rev" localSheetId="35">#REF!</definedName>
    <definedName name="DataApr2003Rev" localSheetId="33">#REF!</definedName>
    <definedName name="DataApr2003Rev" localSheetId="36">#REF!</definedName>
    <definedName name="DataApr2003Rev">#REF!</definedName>
    <definedName name="DataApr2003SGP" localSheetId="26">#REF!</definedName>
    <definedName name="DataApr2003SGP" localSheetId="25">#REF!</definedName>
    <definedName name="DataApr2003SGP" localSheetId="35">#REF!</definedName>
    <definedName name="DataApr2003SGP" localSheetId="33">#REF!</definedName>
    <definedName name="DataApr2003SGP" localSheetId="36">#REF!</definedName>
    <definedName name="DataApr2003SGP">#REF!</definedName>
    <definedName name="DataAug2001Rev" localSheetId="26">#REF!</definedName>
    <definedName name="DataAug2001Rev" localSheetId="25">#REF!</definedName>
    <definedName name="DataAug2001Rev" localSheetId="35">#REF!</definedName>
    <definedName name="DataAug2001Rev" localSheetId="33">#REF!</definedName>
    <definedName name="DataAug2001Rev" localSheetId="36">#REF!</definedName>
    <definedName name="DataAug2001Rev">#REF!</definedName>
    <definedName name="DataAug2001SGP" localSheetId="26">#REF!</definedName>
    <definedName name="DataAug2001SGP" localSheetId="25">#REF!</definedName>
    <definedName name="DataAug2001SGP" localSheetId="35">#REF!</definedName>
    <definedName name="DataAug2001SGP" localSheetId="33">#REF!</definedName>
    <definedName name="DataAug2001SGP" localSheetId="36">#REF!</definedName>
    <definedName name="DataAug2001SGP">#REF!</definedName>
    <definedName name="DataAug2002Rev" localSheetId="26">#REF!</definedName>
    <definedName name="DataAug2002Rev" localSheetId="25">#REF!</definedName>
    <definedName name="DataAug2002Rev" localSheetId="35">#REF!</definedName>
    <definedName name="DataAug2002Rev" localSheetId="33">#REF!</definedName>
    <definedName name="DataAug2002Rev" localSheetId="36">#REF!</definedName>
    <definedName name="DataAug2002Rev">#REF!</definedName>
    <definedName name="DataAug2002SGP" localSheetId="26">#REF!</definedName>
    <definedName name="DataAug2002SGP" localSheetId="25">#REF!</definedName>
    <definedName name="DataAug2002SGP" localSheetId="35">#REF!</definedName>
    <definedName name="DataAug2002SGP" localSheetId="33">#REF!</definedName>
    <definedName name="DataAug2002SGP" localSheetId="36">#REF!</definedName>
    <definedName name="DataAug2002SGP">#REF!</definedName>
    <definedName name="DataAug2003Rev" localSheetId="26">#REF!</definedName>
    <definedName name="DataAug2003Rev" localSheetId="25">#REF!</definedName>
    <definedName name="DataAug2003Rev" localSheetId="35">#REF!</definedName>
    <definedName name="DataAug2003Rev" localSheetId="33">#REF!</definedName>
    <definedName name="DataAug2003Rev" localSheetId="36">#REF!</definedName>
    <definedName name="DataAug2003Rev">#REF!</definedName>
    <definedName name="DataAug2003SGP" localSheetId="26">#REF!</definedName>
    <definedName name="DataAug2003SGP" localSheetId="25">#REF!</definedName>
    <definedName name="DataAug2003SGP" localSheetId="35">#REF!</definedName>
    <definedName name="DataAug2003SGP" localSheetId="33">#REF!</definedName>
    <definedName name="DataAug2003SGP" localSheetId="36">#REF!</definedName>
    <definedName name="DataAug2003SGP">#REF!</definedName>
    <definedName name="_xlnm.Database" localSheetId="26">#REF!</definedName>
    <definedName name="_xlnm.Database" localSheetId="25">#REF!</definedName>
    <definedName name="_xlnm.Database" localSheetId="35">#REF!</definedName>
    <definedName name="_xlnm.Database" localSheetId="33">#REF!</definedName>
    <definedName name="_xlnm.Database" localSheetId="36">#REF!</definedName>
    <definedName name="_xlnm.Database">#REF!</definedName>
    <definedName name="Database_MI" localSheetId="26">#REF!</definedName>
    <definedName name="Database_MI" localSheetId="25">#REF!</definedName>
    <definedName name="Database_MI" localSheetId="35">#REF!</definedName>
    <definedName name="Database_MI" localSheetId="33">#REF!</definedName>
    <definedName name="Database_MI" localSheetId="36">#REF!</definedName>
    <definedName name="Database_MI">#REF!</definedName>
    <definedName name="DataBLGCode" localSheetId="26">#REF!</definedName>
    <definedName name="DataBLGCode" localSheetId="25">#REF!</definedName>
    <definedName name="DataBLGCode" localSheetId="35">#REF!</definedName>
    <definedName name="DataBLGCode" localSheetId="33">#REF!</definedName>
    <definedName name="DataBLGCode" localSheetId="36">#REF!</definedName>
    <definedName name="DataBLGCode">#REF!</definedName>
    <definedName name="DataBLGDescription" localSheetId="26">#REF!</definedName>
    <definedName name="DataBLGDescription" localSheetId="25">#REF!</definedName>
    <definedName name="DataBLGDescription" localSheetId="35">#REF!</definedName>
    <definedName name="DataBLGDescription" localSheetId="33">#REF!</definedName>
    <definedName name="DataBLGDescription" localSheetId="36">#REF!</definedName>
    <definedName name="DataBLGDescription">#REF!</definedName>
    <definedName name="DataCloseDate" localSheetId="26">#REF!</definedName>
    <definedName name="DataCloseDate" localSheetId="25">#REF!</definedName>
    <definedName name="DataCloseDate" localSheetId="35">#REF!</definedName>
    <definedName name="DataCloseDate" localSheetId="33">#REF!</definedName>
    <definedName name="DataCloseDate" localSheetId="36">#REF!</definedName>
    <definedName name="DataCloseDate">#REF!</definedName>
    <definedName name="DataCountry" localSheetId="26">#REF!</definedName>
    <definedName name="DataCountry" localSheetId="25">#REF!</definedName>
    <definedName name="DataCountry" localSheetId="35">#REF!</definedName>
    <definedName name="DataCountry" localSheetId="33">#REF!</definedName>
    <definedName name="DataCountry" localSheetId="36">#REF!</definedName>
    <definedName name="DataCountry">#REF!</definedName>
    <definedName name="DataCriticalSuccessFactors" localSheetId="26">#REF!</definedName>
    <definedName name="DataCriticalSuccessFactors" localSheetId="25">#REF!</definedName>
    <definedName name="DataCriticalSuccessFactors" localSheetId="35">#REF!</definedName>
    <definedName name="DataCriticalSuccessFactors" localSheetId="33">#REF!</definedName>
    <definedName name="DataCriticalSuccessFactors" localSheetId="36">#REF!</definedName>
    <definedName name="DataCriticalSuccessFactors">#REF!</definedName>
    <definedName name="DataDec2000Rev" localSheetId="26">#REF!</definedName>
    <definedName name="DataDec2000Rev" localSheetId="25">#REF!</definedName>
    <definedName name="DataDec2000Rev" localSheetId="35">#REF!</definedName>
    <definedName name="DataDec2000Rev" localSheetId="33">#REF!</definedName>
    <definedName name="DataDec2000Rev" localSheetId="36">#REF!</definedName>
    <definedName name="DataDec2000Rev">#REF!</definedName>
    <definedName name="DataDec2000SGP" localSheetId="26">#REF!</definedName>
    <definedName name="DataDec2000SGP" localSheetId="25">#REF!</definedName>
    <definedName name="DataDec2000SGP" localSheetId="35">#REF!</definedName>
    <definedName name="DataDec2000SGP" localSheetId="33">#REF!</definedName>
    <definedName name="DataDec2000SGP" localSheetId="36">#REF!</definedName>
    <definedName name="DataDec2000SGP">#REF!</definedName>
    <definedName name="DataDec2001Rev" localSheetId="26">#REF!</definedName>
    <definedName name="DataDec2001Rev" localSheetId="25">#REF!</definedName>
    <definedName name="DataDec2001Rev" localSheetId="35">#REF!</definedName>
    <definedName name="DataDec2001Rev" localSheetId="33">#REF!</definedName>
    <definedName name="DataDec2001Rev" localSheetId="36">#REF!</definedName>
    <definedName name="DataDec2001Rev">#REF!</definedName>
    <definedName name="DataDec2001SGP" localSheetId="26">#REF!</definedName>
    <definedName name="DataDec2001SGP" localSheetId="25">#REF!</definedName>
    <definedName name="DataDec2001SGP" localSheetId="35">#REF!</definedName>
    <definedName name="DataDec2001SGP" localSheetId="33">#REF!</definedName>
    <definedName name="DataDec2001SGP" localSheetId="36">#REF!</definedName>
    <definedName name="DataDec2001SGP">#REF!</definedName>
    <definedName name="DataDec2002Rev" localSheetId="26">#REF!</definedName>
    <definedName name="DataDec2002Rev" localSheetId="25">#REF!</definedName>
    <definedName name="DataDec2002Rev" localSheetId="35">#REF!</definedName>
    <definedName name="DataDec2002Rev" localSheetId="33">#REF!</definedName>
    <definedName name="DataDec2002Rev" localSheetId="36">#REF!</definedName>
    <definedName name="DataDec2002Rev">#REF!</definedName>
    <definedName name="DataDec2002SGP" localSheetId="26">#REF!</definedName>
    <definedName name="DataDec2002SGP" localSheetId="25">#REF!</definedName>
    <definedName name="DataDec2002SGP" localSheetId="35">#REF!</definedName>
    <definedName name="DataDec2002SGP" localSheetId="33">#REF!</definedName>
    <definedName name="DataDec2002SGP" localSheetId="36">#REF!</definedName>
    <definedName name="DataDec2002SGP">#REF!</definedName>
    <definedName name="DataFeb2001Rev" localSheetId="26">#REF!</definedName>
    <definedName name="DataFeb2001Rev" localSheetId="25">#REF!</definedName>
    <definedName name="DataFeb2001Rev" localSheetId="35">#REF!</definedName>
    <definedName name="DataFeb2001Rev" localSheetId="33">#REF!</definedName>
    <definedName name="DataFeb2001Rev" localSheetId="36">#REF!</definedName>
    <definedName name="DataFeb2001Rev">#REF!</definedName>
    <definedName name="DataFeb2001SGP" localSheetId="26">#REF!</definedName>
    <definedName name="DataFeb2001SGP" localSheetId="25">#REF!</definedName>
    <definedName name="DataFeb2001SGP" localSheetId="35">#REF!</definedName>
    <definedName name="DataFeb2001SGP" localSheetId="33">#REF!</definedName>
    <definedName name="DataFeb2001SGP" localSheetId="36">#REF!</definedName>
    <definedName name="DataFeb2001SGP">#REF!</definedName>
    <definedName name="DataFeb2002Rev" localSheetId="26">#REF!</definedName>
    <definedName name="DataFeb2002Rev" localSheetId="25">#REF!</definedName>
    <definedName name="DataFeb2002Rev" localSheetId="35">#REF!</definedName>
    <definedName name="DataFeb2002Rev" localSheetId="33">#REF!</definedName>
    <definedName name="DataFeb2002Rev" localSheetId="36">#REF!</definedName>
    <definedName name="DataFeb2002Rev">#REF!</definedName>
    <definedName name="DataFeb2002SGP" localSheetId="26">#REF!</definedName>
    <definedName name="DataFeb2002SGP" localSheetId="25">#REF!</definedName>
    <definedName name="DataFeb2002SGP" localSheetId="35">#REF!</definedName>
    <definedName name="DataFeb2002SGP" localSheetId="33">#REF!</definedName>
    <definedName name="DataFeb2002SGP" localSheetId="36">#REF!</definedName>
    <definedName name="DataFeb2002SGP">#REF!</definedName>
    <definedName name="DataFeb2003Rev" localSheetId="26">#REF!</definedName>
    <definedName name="DataFeb2003Rev" localSheetId="25">#REF!</definedName>
    <definedName name="DataFeb2003Rev" localSheetId="35">#REF!</definedName>
    <definedName name="DataFeb2003Rev" localSheetId="33">#REF!</definedName>
    <definedName name="DataFeb2003Rev" localSheetId="36">#REF!</definedName>
    <definedName name="DataFeb2003Rev">#REF!</definedName>
    <definedName name="DataFeb2003SGP" localSheetId="26">#REF!</definedName>
    <definedName name="DataFeb2003SGP" localSheetId="25">#REF!</definedName>
    <definedName name="DataFeb2003SGP" localSheetId="35">#REF!</definedName>
    <definedName name="DataFeb2003SGP" localSheetId="33">#REF!</definedName>
    <definedName name="DataFeb2003SGP" localSheetId="36">#REF!</definedName>
    <definedName name="DataFeb2003SGP">#REF!</definedName>
    <definedName name="DataFinancingRequired" localSheetId="26">#REF!</definedName>
    <definedName name="DataFinancingRequired" localSheetId="25">#REF!</definedName>
    <definedName name="DataFinancingRequired" localSheetId="35">#REF!</definedName>
    <definedName name="DataFinancingRequired" localSheetId="33">#REF!</definedName>
    <definedName name="DataFinancingRequired" localSheetId="36">#REF!</definedName>
    <definedName name="DataFinancingRequired">#REF!</definedName>
    <definedName name="DataFPN" localSheetId="26">#REF!</definedName>
    <definedName name="DataFPN" localSheetId="25">#REF!</definedName>
    <definedName name="DataFPN" localSheetId="35">#REF!</definedName>
    <definedName name="DataFPN" localSheetId="33">#REF!</definedName>
    <definedName name="DataFPN" localSheetId="36">#REF!</definedName>
    <definedName name="DataFPN">#REF!</definedName>
    <definedName name="DataFQ12001Rev" localSheetId="26">#REF!</definedName>
    <definedName name="DataFQ12001Rev" localSheetId="25">#REF!</definedName>
    <definedName name="DataFQ12001Rev" localSheetId="35">#REF!</definedName>
    <definedName name="DataFQ12001Rev" localSheetId="33">#REF!</definedName>
    <definedName name="DataFQ12001Rev" localSheetId="36">#REF!</definedName>
    <definedName name="DataFQ12001Rev">#REF!</definedName>
    <definedName name="DataFQ12001SGP" localSheetId="26">#REF!</definedName>
    <definedName name="DataFQ12001SGP" localSheetId="25">#REF!</definedName>
    <definedName name="DataFQ12001SGP" localSheetId="35">#REF!</definedName>
    <definedName name="DataFQ12001SGP" localSheetId="33">#REF!</definedName>
    <definedName name="DataFQ12001SGP" localSheetId="36">#REF!</definedName>
    <definedName name="DataFQ12001SGP">#REF!</definedName>
    <definedName name="DataFQ12002Rev" localSheetId="26">#REF!</definedName>
    <definedName name="DataFQ12002Rev" localSheetId="25">#REF!</definedName>
    <definedName name="DataFQ12002Rev" localSheetId="35">#REF!</definedName>
    <definedName name="DataFQ12002Rev" localSheetId="33">#REF!</definedName>
    <definedName name="DataFQ12002Rev" localSheetId="36">#REF!</definedName>
    <definedName name="DataFQ12002Rev">#REF!</definedName>
    <definedName name="DataFQ12002SGP" localSheetId="26">#REF!</definedName>
    <definedName name="DataFQ12002SGP" localSheetId="25">#REF!</definedName>
    <definedName name="DataFQ12002SGP" localSheetId="35">#REF!</definedName>
    <definedName name="DataFQ12002SGP" localSheetId="33">#REF!</definedName>
    <definedName name="DataFQ12002SGP" localSheetId="36">#REF!</definedName>
    <definedName name="DataFQ12002SGP">#REF!</definedName>
    <definedName name="DataFQ12003Rev" localSheetId="26">#REF!</definedName>
    <definedName name="DataFQ12003Rev" localSheetId="25">#REF!</definedName>
    <definedName name="DataFQ12003Rev" localSheetId="35">#REF!</definedName>
    <definedName name="DataFQ12003Rev" localSheetId="33">#REF!</definedName>
    <definedName name="DataFQ12003Rev" localSheetId="36">#REF!</definedName>
    <definedName name="DataFQ12003Rev">#REF!</definedName>
    <definedName name="DataFQ12003SGP" localSheetId="26">#REF!</definedName>
    <definedName name="DataFQ12003SGP" localSheetId="25">#REF!</definedName>
    <definedName name="DataFQ12003SGP" localSheetId="35">#REF!</definedName>
    <definedName name="DataFQ12003SGP" localSheetId="33">#REF!</definedName>
    <definedName name="DataFQ12003SGP" localSheetId="36">#REF!</definedName>
    <definedName name="DataFQ12003SGP">#REF!</definedName>
    <definedName name="DataFQ22001Rev" localSheetId="26">#REF!</definedName>
    <definedName name="DataFQ22001Rev" localSheetId="25">#REF!</definedName>
    <definedName name="DataFQ22001Rev" localSheetId="35">#REF!</definedName>
    <definedName name="DataFQ22001Rev" localSheetId="33">#REF!</definedName>
    <definedName name="DataFQ22001Rev" localSheetId="36">#REF!</definedName>
    <definedName name="DataFQ22001Rev">#REF!</definedName>
    <definedName name="DataFQ22001SGP" localSheetId="26">#REF!</definedName>
    <definedName name="DataFQ22001SGP" localSheetId="25">#REF!</definedName>
    <definedName name="DataFQ22001SGP" localSheetId="35">#REF!</definedName>
    <definedName name="DataFQ22001SGP" localSheetId="33">#REF!</definedName>
    <definedName name="DataFQ22001SGP" localSheetId="36">#REF!</definedName>
    <definedName name="DataFQ22001SGP">#REF!</definedName>
    <definedName name="DataFQ22002Rev" localSheetId="26">#REF!</definedName>
    <definedName name="DataFQ22002Rev" localSheetId="25">#REF!</definedName>
    <definedName name="DataFQ22002Rev" localSheetId="35">#REF!</definedName>
    <definedName name="DataFQ22002Rev" localSheetId="33">#REF!</definedName>
    <definedName name="DataFQ22002Rev" localSheetId="36">#REF!</definedName>
    <definedName name="DataFQ22002Rev">#REF!</definedName>
    <definedName name="DataFQ22002SGP" localSheetId="26">#REF!</definedName>
    <definedName name="DataFQ22002SGP" localSheetId="25">#REF!</definedName>
    <definedName name="DataFQ22002SGP" localSheetId="35">#REF!</definedName>
    <definedName name="DataFQ22002SGP" localSheetId="33">#REF!</definedName>
    <definedName name="DataFQ22002SGP" localSheetId="36">#REF!</definedName>
    <definedName name="DataFQ22002SGP">#REF!</definedName>
    <definedName name="DataFQ22003Rev" localSheetId="26">#REF!</definedName>
    <definedName name="DataFQ22003Rev" localSheetId="25">#REF!</definedName>
    <definedName name="DataFQ22003Rev" localSheetId="35">#REF!</definedName>
    <definedName name="DataFQ22003Rev" localSheetId="33">#REF!</definedName>
    <definedName name="DataFQ22003Rev" localSheetId="36">#REF!</definedName>
    <definedName name="DataFQ22003Rev">#REF!</definedName>
    <definedName name="DataFQ22003SGP" localSheetId="26">#REF!</definedName>
    <definedName name="DataFQ22003SGP" localSheetId="25">#REF!</definedName>
    <definedName name="DataFQ22003SGP" localSheetId="35">#REF!</definedName>
    <definedName name="DataFQ22003SGP" localSheetId="33">#REF!</definedName>
    <definedName name="DataFQ22003SGP" localSheetId="36">#REF!</definedName>
    <definedName name="DataFQ22003SGP">#REF!</definedName>
    <definedName name="DataFQ32001Rev" localSheetId="26">#REF!</definedName>
    <definedName name="DataFQ32001Rev" localSheetId="25">#REF!</definedName>
    <definedName name="DataFQ32001Rev" localSheetId="35">#REF!</definedName>
    <definedName name="DataFQ32001Rev" localSheetId="33">#REF!</definedName>
    <definedName name="DataFQ32001Rev" localSheetId="36">#REF!</definedName>
    <definedName name="DataFQ32001Rev">#REF!</definedName>
    <definedName name="DataFQ32001SGP" localSheetId="26">#REF!</definedName>
    <definedName name="DataFQ32001SGP" localSheetId="25">#REF!</definedName>
    <definedName name="DataFQ32001SGP" localSheetId="35">#REF!</definedName>
    <definedName name="DataFQ32001SGP" localSheetId="33">#REF!</definedName>
    <definedName name="DataFQ32001SGP" localSheetId="36">#REF!</definedName>
    <definedName name="DataFQ32001SGP">#REF!</definedName>
    <definedName name="DataFQ32002Rev" localSheetId="26">#REF!</definedName>
    <definedName name="DataFQ32002Rev" localSheetId="25">#REF!</definedName>
    <definedName name="DataFQ32002Rev" localSheetId="35">#REF!</definedName>
    <definedName name="DataFQ32002Rev" localSheetId="33">#REF!</definedName>
    <definedName name="DataFQ32002Rev" localSheetId="36">#REF!</definedName>
    <definedName name="DataFQ32002Rev">#REF!</definedName>
    <definedName name="DataFQ32002SGP" localSheetId="26">#REF!</definedName>
    <definedName name="DataFQ32002SGP" localSheetId="25">#REF!</definedName>
    <definedName name="DataFQ32002SGP" localSheetId="35">#REF!</definedName>
    <definedName name="DataFQ32002SGP" localSheetId="33">#REF!</definedName>
    <definedName name="DataFQ32002SGP" localSheetId="36">#REF!</definedName>
    <definedName name="DataFQ32002SGP">#REF!</definedName>
    <definedName name="DataFQ32003Rev" localSheetId="26">#REF!</definedName>
    <definedName name="DataFQ32003Rev" localSheetId="25">#REF!</definedName>
    <definedName name="DataFQ32003Rev" localSheetId="35">#REF!</definedName>
    <definedName name="DataFQ32003Rev" localSheetId="33">#REF!</definedName>
    <definedName name="DataFQ32003Rev" localSheetId="36">#REF!</definedName>
    <definedName name="DataFQ32003Rev">#REF!</definedName>
    <definedName name="DataFQ32003SGP" localSheetId="26">#REF!</definedName>
    <definedName name="DataFQ32003SGP" localSheetId="25">#REF!</definedName>
    <definedName name="DataFQ32003SGP" localSheetId="35">#REF!</definedName>
    <definedName name="DataFQ32003SGP" localSheetId="33">#REF!</definedName>
    <definedName name="DataFQ32003SGP" localSheetId="36">#REF!</definedName>
    <definedName name="DataFQ32003SGP">#REF!</definedName>
    <definedName name="DataFQ42001Rev" localSheetId="26">#REF!</definedName>
    <definedName name="DataFQ42001Rev" localSheetId="25">#REF!</definedName>
    <definedName name="DataFQ42001Rev" localSheetId="35">#REF!</definedName>
    <definedName name="DataFQ42001Rev" localSheetId="33">#REF!</definedName>
    <definedName name="DataFQ42001Rev" localSheetId="36">#REF!</definedName>
    <definedName name="DataFQ42001Rev">#REF!</definedName>
    <definedName name="DataFQ42001SGP" localSheetId="26">#REF!</definedName>
    <definedName name="DataFQ42001SGP" localSheetId="25">#REF!</definedName>
    <definedName name="DataFQ42001SGP" localSheetId="35">#REF!</definedName>
    <definedName name="DataFQ42001SGP" localSheetId="33">#REF!</definedName>
    <definedName name="DataFQ42001SGP" localSheetId="36">#REF!</definedName>
    <definedName name="DataFQ42001SGP">#REF!</definedName>
    <definedName name="DataFQ42002Rev" localSheetId="26">#REF!</definedName>
    <definedName name="DataFQ42002Rev" localSheetId="25">#REF!</definedName>
    <definedName name="DataFQ42002Rev" localSheetId="35">#REF!</definedName>
    <definedName name="DataFQ42002Rev" localSheetId="33">#REF!</definedName>
    <definedName name="DataFQ42002Rev" localSheetId="36">#REF!</definedName>
    <definedName name="DataFQ42002Rev">#REF!</definedName>
    <definedName name="DataFQ42002SGP" localSheetId="26">#REF!</definedName>
    <definedName name="DataFQ42002SGP" localSheetId="25">#REF!</definedName>
    <definedName name="DataFQ42002SGP" localSheetId="35">#REF!</definedName>
    <definedName name="DataFQ42002SGP" localSheetId="33">#REF!</definedName>
    <definedName name="DataFQ42002SGP" localSheetId="36">#REF!</definedName>
    <definedName name="DataFQ42002SGP">#REF!</definedName>
    <definedName name="DataFQ42003Rev" localSheetId="26">#REF!</definedName>
    <definedName name="DataFQ42003Rev" localSheetId="25">#REF!</definedName>
    <definedName name="DataFQ42003Rev" localSheetId="35">#REF!</definedName>
    <definedName name="DataFQ42003Rev" localSheetId="33">#REF!</definedName>
    <definedName name="DataFQ42003Rev" localSheetId="36">#REF!</definedName>
    <definedName name="DataFQ42003Rev">#REF!</definedName>
    <definedName name="DataFQ42003SGP" localSheetId="26">#REF!</definedName>
    <definedName name="DataFQ42003SGP" localSheetId="25">#REF!</definedName>
    <definedName name="DataFQ42003SGP" localSheetId="35">#REF!</definedName>
    <definedName name="DataFQ42003SGP" localSheetId="33">#REF!</definedName>
    <definedName name="DataFQ42003SGP" localSheetId="36">#REF!</definedName>
    <definedName name="DataFQ42003SGP">#REF!</definedName>
    <definedName name="DataFY2001Rev" localSheetId="26">#REF!</definedName>
    <definedName name="DataFY2001Rev" localSheetId="25">#REF!</definedName>
    <definedName name="DataFY2001Rev" localSheetId="35">#REF!</definedName>
    <definedName name="DataFY2001Rev" localSheetId="33">#REF!</definedName>
    <definedName name="DataFY2001Rev" localSheetId="36">#REF!</definedName>
    <definedName name="DataFY2001Rev">#REF!</definedName>
    <definedName name="DataFY2001SGP" localSheetId="26">#REF!</definedName>
    <definedName name="DataFY2001SGP" localSheetId="25">#REF!</definedName>
    <definedName name="DataFY2001SGP" localSheetId="35">#REF!</definedName>
    <definedName name="DataFY2001SGP" localSheetId="33">#REF!</definedName>
    <definedName name="DataFY2001SGP" localSheetId="36">#REF!</definedName>
    <definedName name="DataFY2001SGP">#REF!</definedName>
    <definedName name="DataFY2001YTDActualRev" localSheetId="26">#REF!</definedName>
    <definedName name="DataFY2001YTDActualRev" localSheetId="25">#REF!</definedName>
    <definedName name="DataFY2001YTDActualRev" localSheetId="35">#REF!</definedName>
    <definedName name="DataFY2001YTDActualRev" localSheetId="33">#REF!</definedName>
    <definedName name="DataFY2001YTDActualRev" localSheetId="36">#REF!</definedName>
    <definedName name="DataFY2001YTDActualRev">#REF!</definedName>
    <definedName name="DataFY2001YTDActualSGP" localSheetId="26">#REF!</definedName>
    <definedName name="DataFY2001YTDActualSGP" localSheetId="25">#REF!</definedName>
    <definedName name="DataFY2001YTDActualSGP" localSheetId="35">#REF!</definedName>
    <definedName name="DataFY2001YTDActualSGP" localSheetId="33">#REF!</definedName>
    <definedName name="DataFY2001YTDActualSGP" localSheetId="36">#REF!</definedName>
    <definedName name="DataFY2001YTDActualSGP">#REF!</definedName>
    <definedName name="DataFY2002Rev" localSheetId="26">#REF!</definedName>
    <definedName name="DataFY2002Rev" localSheetId="25">#REF!</definedName>
    <definedName name="DataFY2002Rev" localSheetId="35">#REF!</definedName>
    <definedName name="DataFY2002Rev" localSheetId="33">#REF!</definedName>
    <definedName name="DataFY2002Rev" localSheetId="36">#REF!</definedName>
    <definedName name="DataFY2002Rev">#REF!</definedName>
    <definedName name="DataFY2002SGP" localSheetId="26">#REF!</definedName>
    <definedName name="DataFY2002SGP" localSheetId="25">#REF!</definedName>
    <definedName name="DataFY2002SGP" localSheetId="35">#REF!</definedName>
    <definedName name="DataFY2002SGP" localSheetId="33">#REF!</definedName>
    <definedName name="DataFY2002SGP" localSheetId="36">#REF!</definedName>
    <definedName name="DataFY2002SGP">#REF!</definedName>
    <definedName name="DataFY2003Rev" localSheetId="26">#REF!</definedName>
    <definedName name="DataFY2003Rev" localSheetId="25">#REF!</definedName>
    <definedName name="DataFY2003Rev" localSheetId="35">#REF!</definedName>
    <definedName name="DataFY2003Rev" localSheetId="33">#REF!</definedName>
    <definedName name="DataFY2003Rev" localSheetId="36">#REF!</definedName>
    <definedName name="DataFY2003Rev">#REF!</definedName>
    <definedName name="DataFY2003SGP" localSheetId="26">#REF!</definedName>
    <definedName name="DataFY2003SGP" localSheetId="25">#REF!</definedName>
    <definedName name="DataFY2003SGP" localSheetId="35">#REF!</definedName>
    <definedName name="DataFY2003SGP" localSheetId="33">#REF!</definedName>
    <definedName name="DataFY2003SGP" localSheetId="36">#REF!</definedName>
    <definedName name="DataFY2003SGP">#REF!</definedName>
    <definedName name="DataIOC" localSheetId="26">#REF!</definedName>
    <definedName name="DataIOC" localSheetId="25">#REF!</definedName>
    <definedName name="DataIOC" localSheetId="35">#REF!</definedName>
    <definedName name="DataIOC" localSheetId="33">#REF!</definedName>
    <definedName name="DataIOC" localSheetId="36">#REF!</definedName>
    <definedName name="DataIOC">#REF!</definedName>
    <definedName name="DataIOCCode" localSheetId="26">#REF!</definedName>
    <definedName name="DataIOCCode" localSheetId="25">#REF!</definedName>
    <definedName name="DataIOCCode" localSheetId="35">#REF!</definedName>
    <definedName name="DataIOCCode" localSheetId="33">#REF!</definedName>
    <definedName name="DataIOCCode" localSheetId="36">#REF!</definedName>
    <definedName name="DataIOCCode">#REF!</definedName>
    <definedName name="DataJan2001Rev" localSheetId="26">#REF!</definedName>
    <definedName name="DataJan2001Rev" localSheetId="25">#REF!</definedName>
    <definedName name="DataJan2001Rev" localSheetId="35">#REF!</definedName>
    <definedName name="DataJan2001Rev" localSheetId="33">#REF!</definedName>
    <definedName name="DataJan2001Rev" localSheetId="36">#REF!</definedName>
    <definedName name="DataJan2001Rev">#REF!</definedName>
    <definedName name="DataJan2001SGP" localSheetId="26">#REF!</definedName>
    <definedName name="DataJan2001SGP" localSheetId="25">#REF!</definedName>
    <definedName name="DataJan2001SGP" localSheetId="35">#REF!</definedName>
    <definedName name="DataJan2001SGP" localSheetId="33">#REF!</definedName>
    <definedName name="DataJan2001SGP" localSheetId="36">#REF!</definedName>
    <definedName name="DataJan2001SGP">#REF!</definedName>
    <definedName name="DataJan2002Rev" localSheetId="26">#REF!</definedName>
    <definedName name="DataJan2002Rev" localSheetId="25">#REF!</definedName>
    <definedName name="DataJan2002Rev" localSheetId="35">#REF!</definedName>
    <definedName name="DataJan2002Rev" localSheetId="33">#REF!</definedName>
    <definedName name="DataJan2002Rev" localSheetId="36">#REF!</definedName>
    <definedName name="DataJan2002Rev">#REF!</definedName>
    <definedName name="DataJan2002SGP" localSheetId="26">#REF!</definedName>
    <definedName name="DataJan2002SGP" localSheetId="25">#REF!</definedName>
    <definedName name="DataJan2002SGP" localSheetId="35">#REF!</definedName>
    <definedName name="DataJan2002SGP" localSheetId="33">#REF!</definedName>
    <definedName name="DataJan2002SGP" localSheetId="36">#REF!</definedName>
    <definedName name="DataJan2002SGP">#REF!</definedName>
    <definedName name="DataJan2003Rev" localSheetId="26">#REF!</definedName>
    <definedName name="DataJan2003Rev" localSheetId="25">#REF!</definedName>
    <definedName name="DataJan2003Rev" localSheetId="35">#REF!</definedName>
    <definedName name="DataJan2003Rev" localSheetId="33">#REF!</definedName>
    <definedName name="DataJan2003Rev" localSheetId="36">#REF!</definedName>
    <definedName name="DataJan2003Rev">#REF!</definedName>
    <definedName name="DataJan2003SGP" localSheetId="26">#REF!</definedName>
    <definedName name="DataJan2003SGP" localSheetId="25">#REF!</definedName>
    <definedName name="DataJan2003SGP" localSheetId="35">#REF!</definedName>
    <definedName name="DataJan2003SGP" localSheetId="33">#REF!</definedName>
    <definedName name="DataJan2003SGP" localSheetId="36">#REF!</definedName>
    <definedName name="DataJan2003SGP">#REF!</definedName>
    <definedName name="DataJul2001Rev" localSheetId="26">#REF!</definedName>
    <definedName name="DataJul2001Rev" localSheetId="25">#REF!</definedName>
    <definedName name="DataJul2001Rev" localSheetId="35">#REF!</definedName>
    <definedName name="DataJul2001Rev" localSheetId="33">#REF!</definedName>
    <definedName name="DataJul2001Rev" localSheetId="36">#REF!</definedName>
    <definedName name="DataJul2001Rev">#REF!</definedName>
    <definedName name="DataJul2001SGP" localSheetId="26">#REF!</definedName>
    <definedName name="DataJul2001SGP" localSheetId="25">#REF!</definedName>
    <definedName name="DataJul2001SGP" localSheetId="35">#REF!</definedName>
    <definedName name="DataJul2001SGP" localSheetId="33">#REF!</definedName>
    <definedName name="DataJul2001SGP" localSheetId="36">#REF!</definedName>
    <definedName name="DataJul2001SGP">#REF!</definedName>
    <definedName name="DataJul2002Rev" localSheetId="26">#REF!</definedName>
    <definedName name="DataJul2002Rev" localSheetId="25">#REF!</definedName>
    <definedName name="DataJul2002Rev" localSheetId="35">#REF!</definedName>
    <definedName name="DataJul2002Rev" localSheetId="33">#REF!</definedName>
    <definedName name="DataJul2002Rev" localSheetId="36">#REF!</definedName>
    <definedName name="DataJul2002Rev">#REF!</definedName>
    <definedName name="DataJul2002SGP" localSheetId="26">#REF!</definedName>
    <definedName name="DataJul2002SGP" localSheetId="25">#REF!</definedName>
    <definedName name="DataJul2002SGP" localSheetId="35">#REF!</definedName>
    <definedName name="DataJul2002SGP" localSheetId="33">#REF!</definedName>
    <definedName name="DataJul2002SGP" localSheetId="36">#REF!</definedName>
    <definedName name="DataJul2002SGP">#REF!</definedName>
    <definedName name="DataJul2003Rev" localSheetId="26">#REF!</definedName>
    <definedName name="DataJul2003Rev" localSheetId="25">#REF!</definedName>
    <definedName name="DataJul2003Rev" localSheetId="35">#REF!</definedName>
    <definedName name="DataJul2003Rev" localSheetId="33">#REF!</definedName>
    <definedName name="DataJul2003Rev" localSheetId="36">#REF!</definedName>
    <definedName name="DataJul2003Rev">#REF!</definedName>
    <definedName name="DataJul2003SGP" localSheetId="26">#REF!</definedName>
    <definedName name="DataJul2003SGP" localSheetId="25">#REF!</definedName>
    <definedName name="DataJul2003SGP" localSheetId="35">#REF!</definedName>
    <definedName name="DataJul2003SGP" localSheetId="33">#REF!</definedName>
    <definedName name="DataJul2003SGP" localSheetId="36">#REF!</definedName>
    <definedName name="DataJul2003SGP">#REF!</definedName>
    <definedName name="DataJun2001Rev" localSheetId="26">#REF!</definedName>
    <definedName name="DataJun2001Rev" localSheetId="25">#REF!</definedName>
    <definedName name="DataJun2001Rev" localSheetId="35">#REF!</definedName>
    <definedName name="DataJun2001Rev" localSheetId="33">#REF!</definedName>
    <definedName name="DataJun2001Rev" localSheetId="36">#REF!</definedName>
    <definedName name="DataJun2001Rev">#REF!</definedName>
    <definedName name="DataJun2001SGP" localSheetId="26">#REF!</definedName>
    <definedName name="DataJun2001SGP" localSheetId="25">#REF!</definedName>
    <definedName name="DataJun2001SGP" localSheetId="35">#REF!</definedName>
    <definedName name="DataJun2001SGP" localSheetId="33">#REF!</definedName>
    <definedName name="DataJun2001SGP" localSheetId="36">#REF!</definedName>
    <definedName name="DataJun2001SGP">#REF!</definedName>
    <definedName name="DataJun2002Rev" localSheetId="26">#REF!</definedName>
    <definedName name="DataJun2002Rev" localSheetId="25">#REF!</definedName>
    <definedName name="DataJun2002Rev" localSheetId="35">#REF!</definedName>
    <definedName name="DataJun2002Rev" localSheetId="33">#REF!</definedName>
    <definedName name="DataJun2002Rev" localSheetId="36">#REF!</definedName>
    <definedName name="DataJun2002Rev">#REF!</definedName>
    <definedName name="DataJun2002SGP" localSheetId="26">#REF!</definedName>
    <definedName name="DataJun2002SGP" localSheetId="25">#REF!</definedName>
    <definedName name="DataJun2002SGP" localSheetId="35">#REF!</definedName>
    <definedName name="DataJun2002SGP" localSheetId="33">#REF!</definedName>
    <definedName name="DataJun2002SGP" localSheetId="36">#REF!</definedName>
    <definedName name="DataJun2002SGP">#REF!</definedName>
    <definedName name="DataJun2003Rev" localSheetId="26">#REF!</definedName>
    <definedName name="DataJun2003Rev" localSheetId="25">#REF!</definedName>
    <definedName name="DataJun2003Rev" localSheetId="35">#REF!</definedName>
    <definedName name="DataJun2003Rev" localSheetId="33">#REF!</definedName>
    <definedName name="DataJun2003Rev" localSheetId="36">#REF!</definedName>
    <definedName name="DataJun2003Rev">#REF!</definedName>
    <definedName name="DataJun2003SGP" localSheetId="26">#REF!</definedName>
    <definedName name="DataJun2003SGP" localSheetId="25">#REF!</definedName>
    <definedName name="DataJun2003SGP" localSheetId="35">#REF!</definedName>
    <definedName name="DataJun2003SGP" localSheetId="33">#REF!</definedName>
    <definedName name="DataJun2003SGP" localSheetId="36">#REF!</definedName>
    <definedName name="DataJun2003SGP">#REF!</definedName>
    <definedName name="DataMar2001Rev" localSheetId="26">#REF!</definedName>
    <definedName name="DataMar2001Rev" localSheetId="25">#REF!</definedName>
    <definedName name="DataMar2001Rev" localSheetId="35">#REF!</definedName>
    <definedName name="DataMar2001Rev" localSheetId="33">#REF!</definedName>
    <definedName name="DataMar2001Rev" localSheetId="36">#REF!</definedName>
    <definedName name="DataMar2001Rev">#REF!</definedName>
    <definedName name="DataMar2001SGP" localSheetId="26">#REF!</definedName>
    <definedName name="DataMar2001SGP" localSheetId="25">#REF!</definedName>
    <definedName name="DataMar2001SGP" localSheetId="35">#REF!</definedName>
    <definedName name="DataMar2001SGP" localSheetId="33">#REF!</definedName>
    <definedName name="DataMar2001SGP" localSheetId="36">#REF!</definedName>
    <definedName name="DataMar2001SGP">#REF!</definedName>
    <definedName name="DataMar2002Rev" localSheetId="26">#REF!</definedName>
    <definedName name="DataMar2002Rev" localSheetId="25">#REF!</definedName>
    <definedName name="DataMar2002Rev" localSheetId="35">#REF!</definedName>
    <definedName name="DataMar2002Rev" localSheetId="33">#REF!</definedName>
    <definedName name="DataMar2002Rev" localSheetId="36">#REF!</definedName>
    <definedName name="DataMar2002Rev">#REF!</definedName>
    <definedName name="DataMar2002SGP" localSheetId="26">#REF!</definedName>
    <definedName name="DataMar2002SGP" localSheetId="25">#REF!</definedName>
    <definedName name="DataMar2002SGP" localSheetId="35">#REF!</definedName>
    <definedName name="DataMar2002SGP" localSheetId="33">#REF!</definedName>
    <definedName name="DataMar2002SGP" localSheetId="36">#REF!</definedName>
    <definedName name="DataMar2002SGP">#REF!</definedName>
    <definedName name="DataMar2003Rev" localSheetId="26">#REF!</definedName>
    <definedName name="DataMar2003Rev" localSheetId="25">#REF!</definedName>
    <definedName name="DataMar2003Rev" localSheetId="35">#REF!</definedName>
    <definedName name="DataMar2003Rev" localSheetId="33">#REF!</definedName>
    <definedName name="DataMar2003Rev" localSheetId="36">#REF!</definedName>
    <definedName name="DataMar2003Rev">#REF!</definedName>
    <definedName name="DataMar2003SGP" localSheetId="26">#REF!</definedName>
    <definedName name="DataMar2003SGP" localSheetId="25">#REF!</definedName>
    <definedName name="DataMar2003SGP" localSheetId="35">#REF!</definedName>
    <definedName name="DataMar2003SGP" localSheetId="33">#REF!</definedName>
    <definedName name="DataMar2003SGP" localSheetId="36">#REF!</definedName>
    <definedName name="DataMar2003SGP">#REF!</definedName>
    <definedName name="DataMay2001Rev" localSheetId="26">#REF!</definedName>
    <definedName name="DataMay2001Rev" localSheetId="25">#REF!</definedName>
    <definedName name="DataMay2001Rev" localSheetId="35">#REF!</definedName>
    <definedName name="DataMay2001Rev" localSheetId="33">#REF!</definedName>
    <definedName name="DataMay2001Rev" localSheetId="36">#REF!</definedName>
    <definedName name="DataMay2001Rev">#REF!</definedName>
    <definedName name="DataMay2001SGP" localSheetId="26">#REF!</definedName>
    <definedName name="DataMay2001SGP" localSheetId="25">#REF!</definedName>
    <definedName name="DataMay2001SGP" localSheetId="35">#REF!</definedName>
    <definedName name="DataMay2001SGP" localSheetId="33">#REF!</definedName>
    <definedName name="DataMay2001SGP" localSheetId="36">#REF!</definedName>
    <definedName name="DataMay2001SGP">#REF!</definedName>
    <definedName name="DataMay2002Rev" localSheetId="26">#REF!</definedName>
    <definedName name="DataMay2002Rev" localSheetId="25">#REF!</definedName>
    <definedName name="DataMay2002Rev" localSheetId="35">#REF!</definedName>
    <definedName name="DataMay2002Rev" localSheetId="33">#REF!</definedName>
    <definedName name="DataMay2002Rev" localSheetId="36">#REF!</definedName>
    <definedName name="DataMay2002Rev">#REF!</definedName>
    <definedName name="DataMay2002SGP" localSheetId="26">#REF!</definedName>
    <definedName name="DataMay2002SGP" localSheetId="25">#REF!</definedName>
    <definedName name="DataMay2002SGP" localSheetId="35">#REF!</definedName>
    <definedName name="DataMay2002SGP" localSheetId="33">#REF!</definedName>
    <definedName name="DataMay2002SGP" localSheetId="36">#REF!</definedName>
    <definedName name="DataMay2002SGP">#REF!</definedName>
    <definedName name="DataMay2003Rev" localSheetId="26">#REF!</definedName>
    <definedName name="DataMay2003Rev" localSheetId="25">#REF!</definedName>
    <definedName name="DataMay2003Rev" localSheetId="35">#REF!</definedName>
    <definedName name="DataMay2003Rev" localSheetId="33">#REF!</definedName>
    <definedName name="DataMay2003Rev" localSheetId="36">#REF!</definedName>
    <definedName name="DataMay2003Rev">#REF!</definedName>
    <definedName name="DataMay2003SGP" localSheetId="26">#REF!</definedName>
    <definedName name="DataMay2003SGP" localSheetId="25">#REF!</definedName>
    <definedName name="DataMay2003SGP" localSheetId="35">#REF!</definedName>
    <definedName name="DataMay2003SGP" localSheetId="33">#REF!</definedName>
    <definedName name="DataMay2003SGP" localSheetId="36">#REF!</definedName>
    <definedName name="DataMay2003SGP">#REF!</definedName>
    <definedName name="DataNov2000Rev" localSheetId="26">#REF!</definedName>
    <definedName name="DataNov2000Rev" localSheetId="25">#REF!</definedName>
    <definedName name="DataNov2000Rev" localSheetId="35">#REF!</definedName>
    <definedName name="DataNov2000Rev" localSheetId="33">#REF!</definedName>
    <definedName name="DataNov2000Rev" localSheetId="36">#REF!</definedName>
    <definedName name="DataNov2000Rev">#REF!</definedName>
    <definedName name="DataNov2000SGP" localSheetId="26">#REF!</definedName>
    <definedName name="DataNov2000SGP" localSheetId="25">#REF!</definedName>
    <definedName name="DataNov2000SGP" localSheetId="35">#REF!</definedName>
    <definedName name="DataNov2000SGP" localSheetId="33">#REF!</definedName>
    <definedName name="DataNov2000SGP" localSheetId="36">#REF!</definedName>
    <definedName name="DataNov2000SGP">#REF!</definedName>
    <definedName name="DataNov2001Rev" localSheetId="26">#REF!</definedName>
    <definedName name="DataNov2001Rev" localSheetId="25">#REF!</definedName>
    <definedName name="DataNov2001Rev" localSheetId="35">#REF!</definedName>
    <definedName name="DataNov2001Rev" localSheetId="33">#REF!</definedName>
    <definedName name="DataNov2001Rev" localSheetId="36">#REF!</definedName>
    <definedName name="DataNov2001Rev">#REF!</definedName>
    <definedName name="DataNov2001SGP" localSheetId="26">#REF!</definedName>
    <definedName name="DataNov2001SGP" localSheetId="25">#REF!</definedName>
    <definedName name="DataNov2001SGP" localSheetId="35">#REF!</definedName>
    <definedName name="DataNov2001SGP" localSheetId="33">#REF!</definedName>
    <definedName name="DataNov2001SGP" localSheetId="36">#REF!</definedName>
    <definedName name="DataNov2001SGP">#REF!</definedName>
    <definedName name="DataNov2002Rev" localSheetId="26">#REF!</definedName>
    <definedName name="DataNov2002Rev" localSheetId="25">#REF!</definedName>
    <definedName name="DataNov2002Rev" localSheetId="35">#REF!</definedName>
    <definedName name="DataNov2002Rev" localSheetId="33">#REF!</definedName>
    <definedName name="DataNov2002Rev" localSheetId="36">#REF!</definedName>
    <definedName name="DataNov2002Rev">#REF!</definedName>
    <definedName name="DataNov2002SGP" localSheetId="26">#REF!</definedName>
    <definedName name="DataNov2002SGP" localSheetId="25">#REF!</definedName>
    <definedName name="DataNov2002SGP" localSheetId="35">#REF!</definedName>
    <definedName name="DataNov2002SGP" localSheetId="33">#REF!</definedName>
    <definedName name="DataNov2002SGP" localSheetId="36">#REF!</definedName>
    <definedName name="DataNov2002SGP">#REF!</definedName>
    <definedName name="DataOct2000Rev" localSheetId="26">#REF!</definedName>
    <definedName name="DataOct2000Rev" localSheetId="25">#REF!</definedName>
    <definedName name="DataOct2000Rev" localSheetId="35">#REF!</definedName>
    <definedName name="DataOct2000Rev" localSheetId="33">#REF!</definedName>
    <definedName name="DataOct2000Rev" localSheetId="36">#REF!</definedName>
    <definedName name="DataOct2000Rev">#REF!</definedName>
    <definedName name="DataOct2000SGP" localSheetId="26">#REF!</definedName>
    <definedName name="DataOct2000SGP" localSheetId="25">#REF!</definedName>
    <definedName name="DataOct2000SGP" localSheetId="35">#REF!</definedName>
    <definedName name="DataOct2000SGP" localSheetId="33">#REF!</definedName>
    <definedName name="DataOct2000SGP" localSheetId="36">#REF!</definedName>
    <definedName name="DataOct2000SGP">#REF!</definedName>
    <definedName name="DataOct2001Rev" localSheetId="26">#REF!</definedName>
    <definedName name="DataOct2001Rev" localSheetId="25">#REF!</definedName>
    <definedName name="DataOct2001Rev" localSheetId="35">#REF!</definedName>
    <definedName name="DataOct2001Rev" localSheetId="33">#REF!</definedName>
    <definedName name="DataOct2001Rev" localSheetId="36">#REF!</definedName>
    <definedName name="DataOct2001Rev">#REF!</definedName>
    <definedName name="DataOct2001SGP" localSheetId="26">#REF!</definedName>
    <definedName name="DataOct2001SGP" localSheetId="25">#REF!</definedName>
    <definedName name="DataOct2001SGP" localSheetId="35">#REF!</definedName>
    <definedName name="DataOct2001SGP" localSheetId="33">#REF!</definedName>
    <definedName name="DataOct2001SGP" localSheetId="36">#REF!</definedName>
    <definedName name="DataOct2001SGP">#REF!</definedName>
    <definedName name="DataOct2002Rev" localSheetId="26">#REF!</definedName>
    <definedName name="DataOct2002Rev" localSheetId="25">#REF!</definedName>
    <definedName name="DataOct2002Rev" localSheetId="35">#REF!</definedName>
    <definedName name="DataOct2002Rev" localSheetId="33">#REF!</definedName>
    <definedName name="DataOct2002Rev" localSheetId="36">#REF!</definedName>
    <definedName name="DataOct2002Rev">#REF!</definedName>
    <definedName name="DataOct2002SGP" localSheetId="26">#REF!</definedName>
    <definedName name="DataOct2002SGP" localSheetId="25">#REF!</definedName>
    <definedName name="DataOct2002SGP" localSheetId="35">#REF!</definedName>
    <definedName name="DataOct2002SGP" localSheetId="33">#REF!</definedName>
    <definedName name="DataOct2002SGP" localSheetId="36">#REF!</definedName>
    <definedName name="DataOct2002SGP">#REF!</definedName>
    <definedName name="DataOpportunity" localSheetId="26">#REF!</definedName>
    <definedName name="DataOpportunity" localSheetId="25">#REF!</definedName>
    <definedName name="DataOpportunity" localSheetId="35">#REF!</definedName>
    <definedName name="DataOpportunity" localSheetId="33">#REF!</definedName>
    <definedName name="DataOpportunity" localSheetId="36">#REF!</definedName>
    <definedName name="DataOpportunity">#REF!</definedName>
    <definedName name="DataOpportunityDescription" localSheetId="26">#REF!</definedName>
    <definedName name="DataOpportunityDescription" localSheetId="25">#REF!</definedName>
    <definedName name="DataOpportunityDescription" localSheetId="35">#REF!</definedName>
    <definedName name="DataOpportunityDescription" localSheetId="33">#REF!</definedName>
    <definedName name="DataOpportunityDescription" localSheetId="36">#REF!</definedName>
    <definedName name="DataOpportunityDescription">#REF!</definedName>
    <definedName name="DataOpptyRevenue" localSheetId="26">#REF!</definedName>
    <definedName name="DataOpptyRevenue" localSheetId="25">#REF!</definedName>
    <definedName name="DataOpptyRevenue" localSheetId="35">#REF!</definedName>
    <definedName name="DataOpptyRevenue" localSheetId="33">#REF!</definedName>
    <definedName name="DataOpptyRevenue" localSheetId="36">#REF!</definedName>
    <definedName name="DataOpptyRevenue">#REF!</definedName>
    <definedName name="DataOpptySGP" localSheetId="26">#REF!</definedName>
    <definedName name="DataOpptySGP" localSheetId="25">#REF!</definedName>
    <definedName name="DataOpptySGP" localSheetId="35">#REF!</definedName>
    <definedName name="DataOpptySGP" localSheetId="33">#REF!</definedName>
    <definedName name="DataOpptySGP" localSheetId="36">#REF!</definedName>
    <definedName name="DataOpptySGP">#REF!</definedName>
    <definedName name="DataParentOppty" localSheetId="26">#REF!</definedName>
    <definedName name="DataParentOppty" localSheetId="25">#REF!</definedName>
    <definedName name="DataParentOppty" localSheetId="35">#REF!</definedName>
    <definedName name="DataParentOppty" localSheetId="33">#REF!</definedName>
    <definedName name="DataParentOppty" localSheetId="36">#REF!</definedName>
    <definedName name="DataParentOppty">#REF!</definedName>
    <definedName name="DataProbGrouping" localSheetId="26">#REF!</definedName>
    <definedName name="DataProbGrouping" localSheetId="25">#REF!</definedName>
    <definedName name="DataProbGrouping" localSheetId="35">#REF!</definedName>
    <definedName name="DataProbGrouping" localSheetId="33">#REF!</definedName>
    <definedName name="DataProbGrouping" localSheetId="36">#REF!</definedName>
    <definedName name="DataProbGrouping">#REF!</definedName>
    <definedName name="DataRequestedDelivery" localSheetId="26">#REF!</definedName>
    <definedName name="DataRequestedDelivery" localSheetId="25">#REF!</definedName>
    <definedName name="DataRequestedDelivery" localSheetId="35">#REF!</definedName>
    <definedName name="DataRequestedDelivery" localSheetId="33">#REF!</definedName>
    <definedName name="DataRequestedDelivery" localSheetId="36">#REF!</definedName>
    <definedName name="DataRequestedDelivery">#REF!</definedName>
    <definedName name="DataSalesStage" localSheetId="26">#REF!</definedName>
    <definedName name="DataSalesStage" localSheetId="25">#REF!</definedName>
    <definedName name="DataSalesStage" localSheetId="35">#REF!</definedName>
    <definedName name="DataSalesStage" localSheetId="33">#REF!</definedName>
    <definedName name="DataSalesStage" localSheetId="36">#REF!</definedName>
    <definedName name="DataSalesStage">#REF!</definedName>
    <definedName name="DataSep2001Rev" localSheetId="26">#REF!</definedName>
    <definedName name="DataSep2001Rev" localSheetId="25">#REF!</definedName>
    <definedName name="DataSep2001Rev" localSheetId="35">#REF!</definedName>
    <definedName name="DataSep2001Rev" localSheetId="33">#REF!</definedName>
    <definedName name="DataSep2001Rev" localSheetId="36">#REF!</definedName>
    <definedName name="DataSep2001Rev">#REF!</definedName>
    <definedName name="DataSep2001SGP" localSheetId="26">#REF!</definedName>
    <definedName name="DataSep2001SGP" localSheetId="25">#REF!</definedName>
    <definedName name="DataSep2001SGP" localSheetId="35">#REF!</definedName>
    <definedName name="DataSep2001SGP" localSheetId="33">#REF!</definedName>
    <definedName name="DataSep2001SGP" localSheetId="36">#REF!</definedName>
    <definedName name="DataSep2001SGP">#REF!</definedName>
    <definedName name="DataSep2002Rev" localSheetId="26">#REF!</definedName>
    <definedName name="DataSep2002Rev" localSheetId="25">#REF!</definedName>
    <definedName name="DataSep2002Rev" localSheetId="35">#REF!</definedName>
    <definedName name="DataSep2002Rev" localSheetId="33">#REF!</definedName>
    <definedName name="DataSep2002Rev" localSheetId="36">#REF!</definedName>
    <definedName name="DataSep2002Rev">#REF!</definedName>
    <definedName name="DataSep2002Rev1" localSheetId="26">#REF!</definedName>
    <definedName name="DataSep2002Rev1" localSheetId="25">#REF!</definedName>
    <definedName name="DataSep2002Rev1" localSheetId="35">#REF!</definedName>
    <definedName name="DataSep2002Rev1" localSheetId="33">#REF!</definedName>
    <definedName name="DataSep2002Rev1" localSheetId="36">#REF!</definedName>
    <definedName name="DataSep2002Rev1">#REF!</definedName>
    <definedName name="DataSep2002SGP" localSheetId="26">#REF!</definedName>
    <definedName name="DataSep2002SGP" localSheetId="25">#REF!</definedName>
    <definedName name="DataSep2002SGP" localSheetId="35">#REF!</definedName>
    <definedName name="DataSep2002SGP" localSheetId="33">#REF!</definedName>
    <definedName name="DataSep2002SGP" localSheetId="36">#REF!</definedName>
    <definedName name="DataSep2002SGP">#REF!</definedName>
    <definedName name="DataSep2003Rev" localSheetId="26">#REF!</definedName>
    <definedName name="DataSep2003Rev" localSheetId="25">#REF!</definedName>
    <definedName name="DataSep2003Rev" localSheetId="35">#REF!</definedName>
    <definedName name="DataSep2003Rev" localSheetId="33">#REF!</definedName>
    <definedName name="DataSep2003Rev" localSheetId="36">#REF!</definedName>
    <definedName name="DataSep2003Rev">#REF!</definedName>
    <definedName name="DataSep2003SGP" localSheetId="26">#REF!</definedName>
    <definedName name="DataSep2003SGP" localSheetId="25">#REF!</definedName>
    <definedName name="DataSep2003SGP" localSheetId="35">#REF!</definedName>
    <definedName name="DataSep2003SGP" localSheetId="33">#REF!</definedName>
    <definedName name="DataSep2003SGP" localSheetId="36">#REF!</definedName>
    <definedName name="DataSep2003SGP">#REF!</definedName>
    <definedName name="DataTotalFinancingRequired" localSheetId="26">#REF!</definedName>
    <definedName name="DataTotalFinancingRequired" localSheetId="25">#REF!</definedName>
    <definedName name="DataTotalFinancingRequired" localSheetId="35">#REF!</definedName>
    <definedName name="DataTotalFinancingRequired" localSheetId="33">#REF!</definedName>
    <definedName name="DataTotalFinancingRequired" localSheetId="36">#REF!</definedName>
    <definedName name="DataTotalFinancingRequired">#REF!</definedName>
    <definedName name="DCF" localSheetId="28" hidden="1">{#N/A,#N/A,FALSE,"DCF Summary";#N/A,#N/A,FALSE,"Casema";#N/A,#N/A,FALSE,"Casema NoTel";#N/A,#N/A,FALSE,"UK";#N/A,#N/A,FALSE,"RCF";#N/A,#N/A,FALSE,"Intercable CZ";#N/A,#N/A,FALSE,"Interkabel P"}</definedName>
    <definedName name="DCF" hidden="1">{#N/A,#N/A,FALSE,"DCF Summary";#N/A,#N/A,FALSE,"Casema";#N/A,#N/A,FALSE,"Casema NoTel";#N/A,#N/A,FALSE,"UK";#N/A,#N/A,FALSE,"RCF";#N/A,#N/A,FALSE,"Intercable CZ";#N/A,#N/A,FALSE,"Interkabel P"}</definedName>
    <definedName name="dd" localSheetId="28" hidden="1">{"Multiple view",#N/A,FALSE,"GS Update Valuation";"NLG Merger view",#N/A,FALSE,"GS Update Valuation";"Dollar Merger view",#N/A,FALSE,"GS Update Valuation"}</definedName>
    <definedName name="dd" hidden="1">{"Multiple view",#N/A,FALSE,"GS Update Valuation";"NLG Merger view",#N/A,FALSE,"GS Update Valuation";"Dollar Merger view",#N/A,FALSE,"GS Update Valuation"}</definedName>
    <definedName name="dd_1" localSheetId="28" hidden="1">{#N/A,#N/A,FALSE,"AD_Purch";#N/A,#N/A,FALSE,"Projections";#N/A,#N/A,FALSE,"DCF";#N/A,#N/A,FALSE,"Mkt Val"}</definedName>
    <definedName name="dd_1" hidden="1">{#N/A,#N/A,FALSE,"AD_Purch";#N/A,#N/A,FALSE,"Projections";#N/A,#N/A,FALSE,"DCF";#N/A,#N/A,FALSE,"Mkt Val"}</definedName>
    <definedName name="dd_1_1" localSheetId="28" hidden="1">{#N/A,#N/A,FALSE,"AD_Purch";#N/A,#N/A,FALSE,"Projections";#N/A,#N/A,FALSE,"DCF";#N/A,#N/A,FALSE,"Mkt Val"}</definedName>
    <definedName name="dd_1_1" hidden="1">{#N/A,#N/A,FALSE,"AD_Purch";#N/A,#N/A,FALSE,"Projections";#N/A,#N/A,FALSE,"DCF";#N/A,#N/A,FALSE,"Mkt Val"}</definedName>
    <definedName name="ddbb" localSheetId="26">#REF!</definedName>
    <definedName name="ddbb" localSheetId="25">#REF!</definedName>
    <definedName name="ddbb" localSheetId="35">#REF!</definedName>
    <definedName name="ddbb" localSheetId="33">#REF!</definedName>
    <definedName name="ddbb">#REF!</definedName>
    <definedName name="ddd" localSheetId="28" hidden="1">{#N/A,#N/A,FALSE,"TS";#N/A,#N/A,FALSE,"Combo";#N/A,#N/A,FALSE,"FAIR";#N/A,#N/A,FALSE,"RBC";#N/A,#N/A,FALSE,"xxxx";#N/A,#N/A,FALSE,"A_D";#N/A,#N/A,FALSE,"WACC";#N/A,#N/A,FALSE,"DCF";#N/A,#N/A,FALSE,"LBO";#N/A,#N/A,FALSE,"AcqMults";#N/A,#N/A,FALSE,"CompMults"}</definedName>
    <definedName name="ddd" hidden="1">{#N/A,#N/A,FALSE,"TS";#N/A,#N/A,FALSE,"Combo";#N/A,#N/A,FALSE,"FAIR";#N/A,#N/A,FALSE,"RBC";#N/A,#N/A,FALSE,"xxxx";#N/A,#N/A,FALSE,"A_D";#N/A,#N/A,FALSE,"WACC";#N/A,#N/A,FALSE,"DCF";#N/A,#N/A,FALSE,"LBO";#N/A,#N/A,FALSE,"AcqMults";#N/A,#N/A,FALSE,"CompMults"}</definedName>
    <definedName name="ddd_1" localSheetId="28"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localSheetId="28"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localSheetId="28" hidden="1">{#N/A,#N/A,TRUE,"FOC_Product_Assumptions"}</definedName>
    <definedName name="dddd" hidden="1">{#N/A,#N/A,TRUE,"FOC_Product_Assumptions"}</definedName>
    <definedName name="dddd_1" localSheetId="28" hidden="1">{#N/A,#N/A,TRUE,"FOC_Product_Assumptions"}</definedName>
    <definedName name="dddd_1" hidden="1">{#N/A,#N/A,TRUE,"FOC_Product_Assumptions"}</definedName>
    <definedName name="dddd_1_1" localSheetId="28" hidden="1">{#N/A,#N/A,TRUE,"FOC_Product_Assumptions"}</definedName>
    <definedName name="dddd_1_1" hidden="1">{#N/A,#N/A,TRUE,"FOC_Product_Assumptions"}</definedName>
    <definedName name="DDDDD" localSheetId="26">#REF!</definedName>
    <definedName name="DDDDD" localSheetId="25">#REF!</definedName>
    <definedName name="DDDDD" localSheetId="35">#REF!</definedName>
    <definedName name="DDDDD" localSheetId="33">#REF!</definedName>
    <definedName name="DDDDD">#REF!</definedName>
    <definedName name="DDDDDD" localSheetId="28" hidden="1">{#N/A,#N/A,FALSE,"Virgin Flightdeck"}</definedName>
    <definedName name="DDDDDD" hidden="1">{#N/A,#N/A,FALSE,"Virgin Flightdeck"}</definedName>
    <definedName name="DDDDDD_1" localSheetId="28" hidden="1">{#N/A,#N/A,FALSE,"Virgin Flightdeck"}</definedName>
    <definedName name="DDDDDD_1" hidden="1">{#N/A,#N/A,FALSE,"Virgin Flightdeck"}</definedName>
    <definedName name="DDDDDD_1_1" localSheetId="28" hidden="1">{#N/A,#N/A,FALSE,"Virgin Flightdeck"}</definedName>
    <definedName name="DDDDDD_1_1" hidden="1">{#N/A,#N/A,FALSE,"Virgin Flightdeck"}</definedName>
    <definedName name="DDDDDDDDDDDDDDDDDDDDD" localSheetId="28" hidden="1">{#N/A,#N/A,FALSE,"Aging Summary";#N/A,#N/A,FALSE,"Ratio Analysis";#N/A,#N/A,FALSE,"Test 120 Day Accts";#N/A,#N/A,FALSE,"Tickmarks"}</definedName>
    <definedName name="DDDDDDDDDDDDDDDDDDDDD" hidden="1">{#N/A,#N/A,FALSE,"Aging Summary";#N/A,#N/A,FALSE,"Ratio Analysis";#N/A,#N/A,FALSE,"Test 120 Day Accts";#N/A,#N/A,FALSE,"Tickmarks"}</definedName>
    <definedName name="de" localSheetId="28" hidden="1">{#N/A,#N/A,FALSE,"资产负债表";#N/A,#N/A,FALSE,"资产负债表"}</definedName>
    <definedName name="de" hidden="1">{#N/A,#N/A,FALSE,"资产负债表";#N/A,#N/A,FALSE,"资产负债表"}</definedName>
    <definedName name="DebtRepaid" localSheetId="26">#REF!</definedName>
    <definedName name="DebtRepaid" localSheetId="25">#REF!</definedName>
    <definedName name="DebtRepaid" localSheetId="35">#REF!</definedName>
    <definedName name="DebtRepaid" localSheetId="33">#REF!</definedName>
    <definedName name="DebtRepaid">#REF!</definedName>
    <definedName name="December" localSheetId="26">#REF!</definedName>
    <definedName name="December" localSheetId="25">#REF!</definedName>
    <definedName name="December" localSheetId="35">#REF!</definedName>
    <definedName name="December" localSheetId="33">#REF!</definedName>
    <definedName name="December">#REF!</definedName>
    <definedName name="deee" localSheetId="28" hidden="1">{#N/A,#N/A,FALSE,"资产负债表";#N/A,#N/A,FALSE,"资产负债表"}</definedName>
    <definedName name="deee" hidden="1">{#N/A,#N/A,FALSE,"资产负债表";#N/A,#N/A,FALSE,"资产负债表"}</definedName>
    <definedName name="deli" localSheetId="26">#REF!</definedName>
    <definedName name="deli" localSheetId="25">#REF!</definedName>
    <definedName name="deli" localSheetId="35">#REF!</definedName>
    <definedName name="deli" localSheetId="33">#REF!</definedName>
    <definedName name="deli">#REF!</definedName>
    <definedName name="DEMeXToEUR" localSheetId="28" hidden="1">1/EUReXToDEM</definedName>
    <definedName name="DEMeXToEUR" localSheetId="26" hidden="1">1/EUReXToDEM</definedName>
    <definedName name="DEMeXToEUR" localSheetId="25" hidden="1">1/EUReXToDEM</definedName>
    <definedName name="DEMeXToEUR" localSheetId="35" hidden="1">1/EUReXToDEM</definedName>
    <definedName name="DEMeXToEUR" localSheetId="33" hidden="1">1/EUReXToDEM</definedName>
    <definedName name="DEMeXToEUR" localSheetId="36" hidden="1">1/EUReXToDEM</definedName>
    <definedName name="DEMeXToEUR" hidden="1">1/EUReXToDEM</definedName>
    <definedName name="Detailed_Lay_out_Budget" localSheetId="26">#REF!</definedName>
    <definedName name="Detailed_Lay_out_Budget" localSheetId="25">#REF!</definedName>
    <definedName name="Detailed_Lay_out_Budget" localSheetId="35">#REF!</definedName>
    <definedName name="Detailed_Lay_out_Budget" localSheetId="33">#REF!</definedName>
    <definedName name="Detailed_Lay_out_Budget">#REF!</definedName>
    <definedName name="Detailed_Lay_out_Prev_Yr" localSheetId="26">#REF!</definedName>
    <definedName name="Detailed_Lay_out_Prev_Yr" localSheetId="25">#REF!</definedName>
    <definedName name="Detailed_Lay_out_Prev_Yr" localSheetId="35">#REF!</definedName>
    <definedName name="Detailed_Lay_out_Prev_Yr" localSheetId="33">#REF!</definedName>
    <definedName name="Detailed_Lay_out_Prev_Yr">#REF!</definedName>
    <definedName name="dew" localSheetId="28" hidden="1">{#N/A,#N/A,FALSE,"资产负债表";#N/A,#N/A,FALSE,"资产负债表"}</definedName>
    <definedName name="dew" hidden="1">{#N/A,#N/A,FALSE,"资产负债表";#N/A,#N/A,FALSE,"资产负债表"}</definedName>
    <definedName name="DF" localSheetId="28" hidden="1">{#N/A,#N/A,FALSE,"Aging Summary";#N/A,#N/A,FALSE,"Ratio Analysis";#N/A,#N/A,FALSE,"Test 120 Day Accts";#N/A,#N/A,FALSE,"Tickmarks"}</definedName>
    <definedName name="DF" hidden="1">{#N/A,#N/A,FALSE,"Aging Summary";#N/A,#N/A,FALSE,"Ratio Analysis";#N/A,#N/A,FALSE,"Test 120 Day Accts";#N/A,#N/A,FALSE,"Tickmarks"}</definedName>
    <definedName name="DFDF" localSheetId="28" hidden="1">{#N/A,#N/A,FALSE,"Aging Summary";#N/A,#N/A,FALSE,"Ratio Analysis";#N/A,#N/A,FALSE,"Test 120 Day Accts";#N/A,#N/A,FALSE,"Tickmarks"}</definedName>
    <definedName name="DFDF" hidden="1">{#N/A,#N/A,FALSE,"Aging Summary";#N/A,#N/A,FALSE,"Ratio Analysis";#N/A,#N/A,FALSE,"Test 120 Day Accts";#N/A,#N/A,FALSE,"Tickmarks"}</definedName>
    <definedName name="dfdfd" localSheetId="28"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localSheetId="28" hidden="1">{#N/A,#N/A,FALSE,"AD_Purchase";#N/A,#N/A,FALSE,"Credit";#N/A,#N/A,FALSE,"PF Acquisition";#N/A,#N/A,FALSE,"PF Offering"}</definedName>
    <definedName name="dfdfdfd" hidden="1">{#N/A,#N/A,FALSE,"AD_Purchase";#N/A,#N/A,FALSE,"Credit";#N/A,#N/A,FALSE,"PF Acquisition";#N/A,#N/A,FALSE,"PF Offering"}</definedName>
    <definedName name="dfdfdfd_1" localSheetId="28" hidden="1">{#N/A,#N/A,FALSE,"AD_Purchase";#N/A,#N/A,FALSE,"Credit";#N/A,#N/A,FALSE,"PF Acquisition";#N/A,#N/A,FALSE,"PF Offering"}</definedName>
    <definedName name="dfdfdfd_1" hidden="1">{#N/A,#N/A,FALSE,"AD_Purchase";#N/A,#N/A,FALSE,"Credit";#N/A,#N/A,FALSE,"PF Acquisition";#N/A,#N/A,FALSE,"PF Offering"}</definedName>
    <definedName name="dfdfdfd_1_1" localSheetId="28" hidden="1">{#N/A,#N/A,FALSE,"AD_Purchase";#N/A,#N/A,FALSE,"Credit";#N/A,#N/A,FALSE,"PF Acquisition";#N/A,#N/A,FALSE,"PF Offering"}</definedName>
    <definedName name="dfdfdfd_1_1" hidden="1">{#N/A,#N/A,FALSE,"AD_Purchase";#N/A,#N/A,FALSE,"Credit";#N/A,#N/A,FALSE,"PF Acquisition";#N/A,#N/A,FALSE,"PF Offering"}</definedName>
    <definedName name="dfsfa"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localSheetId="28" hidden="1">{#N/A,#N/A,FALSE,"ORIX CSC"}</definedName>
    <definedName name="dgfhgf" hidden="1">{#N/A,#N/A,FALSE,"ORIX CSC"}</definedName>
    <definedName name="dgfhgf_1" localSheetId="28" hidden="1">{#N/A,#N/A,FALSE,"ORIX CSC"}</definedName>
    <definedName name="dgfhgf_1" hidden="1">{#N/A,#N/A,FALSE,"ORIX CSC"}</definedName>
    <definedName name="dgfhgf_1_1" localSheetId="28" hidden="1">{#N/A,#N/A,FALSE,"ORIX CSC"}</definedName>
    <definedName name="dgfhgf_1_1" hidden="1">{#N/A,#N/A,FALSE,"ORIX CSC"}</definedName>
    <definedName name="dhgdh" localSheetId="28" hidden="1">{"mgmt forecast",#N/A,FALSE,"Mgmt Forecast";"dcf table",#N/A,FALSE,"Mgmt Forecast";"sensitivity",#N/A,FALSE,"Mgmt Forecast";"table inputs",#N/A,FALSE,"Mgmt Forecast";"calculations",#N/A,FALSE,"Mgmt Forecast"}</definedName>
    <definedName name="dhgdh" hidden="1">{"mgmt forecast",#N/A,FALSE,"Mgmt Forecast";"dcf table",#N/A,FALSE,"Mgmt Forecast";"sensitivity",#N/A,FALSE,"Mgmt Forecast";"table inputs",#N/A,FALSE,"Mgmt Forecast";"calculations",#N/A,FALSE,"Mgmt Forecast"}</definedName>
    <definedName name="dhgdh_1" localSheetId="28"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localSheetId="28"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6" hidden="1">#REF!</definedName>
    <definedName name="dhgdjhgdjdghjdhn" localSheetId="25" hidden="1">#REF!</definedName>
    <definedName name="dhgdjhgdjdghjdhn" localSheetId="35" hidden="1">#REF!</definedName>
    <definedName name="dhgdjhgdjdghjdhn" localSheetId="33" hidden="1">#REF!</definedName>
    <definedName name="dhgdjhgdjdghjdhn" localSheetId="36" hidden="1">#REF!</definedName>
    <definedName name="dhgdjhgdjdghjdhn" hidden="1">#REF!</definedName>
    <definedName name="Differences" localSheetId="28" hidden="1">{"Operating Data",#N/A,TRUE,"Sheet1";"Valuation Matrix",#N/A,TRUE,"Sheet1";"Sales Analysis",#N/A,TRUE,"Sheet1";"Closed Remodelled New",#N/A,TRUE,"Sheet1";"Competitive and FSP",#N/A,TRUE,"Sheet1";"Working Capital and Capex",#N/A,TRUE,"Sheet1";"depreciation",#N/A,TRUE,"Sheet1"}</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localSheetId="28"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localSheetId="28"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6">#REF!</definedName>
    <definedName name="Discount_rate_I" localSheetId="25">#REF!</definedName>
    <definedName name="Discount_rate_I" localSheetId="35">#REF!</definedName>
    <definedName name="Discount_rate_I" localSheetId="33">#REF!</definedName>
    <definedName name="Discount_rate_I">#REF!</definedName>
    <definedName name="Discount_rate_II" localSheetId="26">#REF!</definedName>
    <definedName name="Discount_rate_II" localSheetId="25">#REF!</definedName>
    <definedName name="Discount_rate_II" localSheetId="35">#REF!</definedName>
    <definedName name="Discount_rate_II" localSheetId="33">#REF!</definedName>
    <definedName name="Discount_rate_II">#REF!</definedName>
    <definedName name="DiscountRate" localSheetId="26">#REF!</definedName>
    <definedName name="DiscountRate" localSheetId="25">#REF!</definedName>
    <definedName name="DiscountRate" localSheetId="35">#REF!</definedName>
    <definedName name="DiscountRate" localSheetId="33">#REF!</definedName>
    <definedName name="DiscountRate">#REF!</definedName>
    <definedName name="Discountrates" localSheetId="26">#REF!</definedName>
    <definedName name="Discountrates" localSheetId="25">#REF!</definedName>
    <definedName name="Discountrates" localSheetId="35">#REF!</definedName>
    <definedName name="Discountrates" localSheetId="33">#REF!</definedName>
    <definedName name="Discountrates">#REF!</definedName>
    <definedName name="DisplaySelectedSheetsMacroButton" localSheetId="26">#REF!</definedName>
    <definedName name="DisplaySelectedSheetsMacroButton" localSheetId="25">#REF!</definedName>
    <definedName name="DisplaySelectedSheetsMacroButton" localSheetId="35">#REF!</definedName>
    <definedName name="DisplaySelectedSheetsMacroButton" localSheetId="33">#REF!</definedName>
    <definedName name="DisplaySelectedSheetsMacroButton">#REF!</definedName>
    <definedName name="DispoStrategy" localSheetId="26">#REF!</definedName>
    <definedName name="DispoStrategy" localSheetId="25">#REF!</definedName>
    <definedName name="DispoStrategy" localSheetId="35">#REF!</definedName>
    <definedName name="DispoStrategy" localSheetId="33">#REF!</definedName>
    <definedName name="DispoStrategy">#REF!</definedName>
    <definedName name="DistPU2003" localSheetId="26">#REF!</definedName>
    <definedName name="DistPU2003" localSheetId="25">#REF!</definedName>
    <definedName name="DistPU2003" localSheetId="35">#REF!</definedName>
    <definedName name="DistPU2003" localSheetId="33">#REF!</definedName>
    <definedName name="DistPU2003">#REF!</definedName>
    <definedName name="DistPU2004" localSheetId="26">#REF!</definedName>
    <definedName name="DistPU2004" localSheetId="25">#REF!</definedName>
    <definedName name="DistPU2004" localSheetId="35">#REF!</definedName>
    <definedName name="DistPU2004" localSheetId="33">#REF!</definedName>
    <definedName name="DistPU2004">#REF!</definedName>
    <definedName name="DistPU2005" localSheetId="26">#REF!</definedName>
    <definedName name="DistPU2005" localSheetId="25">#REF!</definedName>
    <definedName name="DistPU2005" localSheetId="35">#REF!</definedName>
    <definedName name="DistPU2005" localSheetId="33">#REF!</definedName>
    <definedName name="DistPU2005">#REF!</definedName>
    <definedName name="DistPU2006" localSheetId="26">#REF!</definedName>
    <definedName name="DistPU2006" localSheetId="25">#REF!</definedName>
    <definedName name="DistPU2006" localSheetId="35">#REF!</definedName>
    <definedName name="DistPU2006" localSheetId="33">#REF!</definedName>
    <definedName name="DistPU2006">#REF!</definedName>
    <definedName name="Div_Yield2003" localSheetId="26">#REF!</definedName>
    <definedName name="Div_Yield2003" localSheetId="25">#REF!</definedName>
    <definedName name="Div_Yield2003" localSheetId="35">#REF!</definedName>
    <definedName name="Div_Yield2003" localSheetId="33">#REF!</definedName>
    <definedName name="Div_Yield2003">#REF!</definedName>
    <definedName name="Div_Yield2004" localSheetId="26">#REF!</definedName>
    <definedName name="Div_Yield2004" localSheetId="25">#REF!</definedName>
    <definedName name="Div_Yield2004" localSheetId="35">#REF!</definedName>
    <definedName name="Div_Yield2004" localSheetId="33">#REF!</definedName>
    <definedName name="Div_Yield2004">#REF!</definedName>
    <definedName name="Div_Yield2005" localSheetId="26">#REF!</definedName>
    <definedName name="Div_Yield2005" localSheetId="25">#REF!</definedName>
    <definedName name="Div_Yield2005" localSheetId="35">#REF!</definedName>
    <definedName name="Div_Yield2005" localSheetId="33">#REF!</definedName>
    <definedName name="Div_Yield2005">#REF!</definedName>
    <definedName name="Div_Yield2006" localSheetId="26">#REF!</definedName>
    <definedName name="Div_Yield2006" localSheetId="25">#REF!</definedName>
    <definedName name="Div_Yield2006" localSheetId="35">#REF!</definedName>
    <definedName name="Div_Yield2006" localSheetId="33">#REF!</definedName>
    <definedName name="Div_Yield2006">#REF!</definedName>
    <definedName name="Div_Yield2007" localSheetId="26">#REF!</definedName>
    <definedName name="Div_Yield2007" localSheetId="25">#REF!</definedName>
    <definedName name="Div_Yield2007" localSheetId="35">#REF!</definedName>
    <definedName name="Div_Yield2007" localSheetId="33">#REF!</definedName>
    <definedName name="Div_Yield2007">#REF!</definedName>
    <definedName name="Div_Yield2008" localSheetId="26">#REF!</definedName>
    <definedName name="Div_Yield2008" localSheetId="25">#REF!</definedName>
    <definedName name="Div_Yield2008" localSheetId="35">#REF!</definedName>
    <definedName name="Div_Yield2008" localSheetId="33">#REF!</definedName>
    <definedName name="Div_Yield2008">#REF!</definedName>
    <definedName name="Div_Yield2009" localSheetId="26">#REF!</definedName>
    <definedName name="Div_Yield2009" localSheetId="25">#REF!</definedName>
    <definedName name="Div_Yield2009" localSheetId="35">#REF!</definedName>
    <definedName name="Div_Yield2009" localSheetId="33">#REF!</definedName>
    <definedName name="Div_Yield2009">#REF!</definedName>
    <definedName name="Div_Yield2010" localSheetId="26">#REF!</definedName>
    <definedName name="Div_Yield2010" localSheetId="25">#REF!</definedName>
    <definedName name="Div_Yield2010" localSheetId="35">#REF!</definedName>
    <definedName name="Div_Yield2010" localSheetId="33">#REF!</definedName>
    <definedName name="Div_Yield2010">#REF!</definedName>
    <definedName name="Div_Yield2011" localSheetId="26">#REF!</definedName>
    <definedName name="Div_Yield2011" localSheetId="25">#REF!</definedName>
    <definedName name="Div_Yield2011" localSheetId="35">#REF!</definedName>
    <definedName name="Div_Yield2011" localSheetId="33">#REF!</definedName>
    <definedName name="Div_Yield2011">#REF!</definedName>
    <definedName name="Dividend_2003" localSheetId="26">#REF!</definedName>
    <definedName name="Dividend_2003" localSheetId="25">#REF!</definedName>
    <definedName name="Dividend_2003" localSheetId="35">#REF!</definedName>
    <definedName name="Dividend_2003" localSheetId="33">#REF!</definedName>
    <definedName name="Dividend_2003">#REF!</definedName>
    <definedName name="Dividend_2004" localSheetId="26">#REF!</definedName>
    <definedName name="Dividend_2004" localSheetId="25">#REF!</definedName>
    <definedName name="Dividend_2004" localSheetId="35">#REF!</definedName>
    <definedName name="Dividend_2004" localSheetId="33">#REF!</definedName>
    <definedName name="Dividend_2004">#REF!</definedName>
    <definedName name="Dividend_2005" localSheetId="26">#REF!</definedName>
    <definedName name="Dividend_2005" localSheetId="25">#REF!</definedName>
    <definedName name="Dividend_2005" localSheetId="35">#REF!</definedName>
    <definedName name="Dividend_2005" localSheetId="33">#REF!</definedName>
    <definedName name="Dividend_2005">#REF!</definedName>
    <definedName name="Dividend_2006" localSheetId="26">#REF!</definedName>
    <definedName name="Dividend_2006" localSheetId="25">#REF!</definedName>
    <definedName name="Dividend_2006" localSheetId="35">#REF!</definedName>
    <definedName name="Dividend_2006" localSheetId="33">#REF!</definedName>
    <definedName name="Dividend_2006">#REF!</definedName>
    <definedName name="Dividend_2007" localSheetId="26">#REF!</definedName>
    <definedName name="Dividend_2007" localSheetId="25">#REF!</definedName>
    <definedName name="Dividend_2007" localSheetId="35">#REF!</definedName>
    <definedName name="Dividend_2007" localSheetId="33">#REF!</definedName>
    <definedName name="Dividend_2007">#REF!</definedName>
    <definedName name="Dividend_2008" localSheetId="26">#REF!</definedName>
    <definedName name="Dividend_2008" localSheetId="25">#REF!</definedName>
    <definedName name="Dividend_2008" localSheetId="35">#REF!</definedName>
    <definedName name="Dividend_2008" localSheetId="33">#REF!</definedName>
    <definedName name="Dividend_2008">#REF!</definedName>
    <definedName name="Dividend_2009" localSheetId="26">#REF!</definedName>
    <definedName name="Dividend_2009" localSheetId="25">#REF!</definedName>
    <definedName name="Dividend_2009" localSheetId="35">#REF!</definedName>
    <definedName name="Dividend_2009" localSheetId="33">#REF!</definedName>
    <definedName name="Dividend_2009">#REF!</definedName>
    <definedName name="Dividend_2010" localSheetId="26">#REF!</definedName>
    <definedName name="Dividend_2010" localSheetId="25">#REF!</definedName>
    <definedName name="Dividend_2010" localSheetId="35">#REF!</definedName>
    <definedName name="Dividend_2010" localSheetId="33">#REF!</definedName>
    <definedName name="Dividend_2010">#REF!</definedName>
    <definedName name="Dividend_2011" localSheetId="26">#REF!</definedName>
    <definedName name="Dividend_2011" localSheetId="25">#REF!</definedName>
    <definedName name="Dividend_2011" localSheetId="35">#REF!</definedName>
    <definedName name="Dividend_2011" localSheetId="33">#REF!</definedName>
    <definedName name="Dividend_2011">#REF!</definedName>
    <definedName name="Dividend2003" localSheetId="26">#REF!</definedName>
    <definedName name="Dividend2003" localSheetId="25">#REF!</definedName>
    <definedName name="Dividend2003" localSheetId="35">#REF!</definedName>
    <definedName name="Dividend2003" localSheetId="33">#REF!</definedName>
    <definedName name="Dividend2003">#REF!</definedName>
    <definedName name="Dividend2004" localSheetId="26">#REF!</definedName>
    <definedName name="Dividend2004" localSheetId="25">#REF!</definedName>
    <definedName name="Dividend2004" localSheetId="35">#REF!</definedName>
    <definedName name="Dividend2004" localSheetId="33">#REF!</definedName>
    <definedName name="Dividend2004">#REF!</definedName>
    <definedName name="Dividend2005" localSheetId="26">#REF!</definedName>
    <definedName name="Dividend2005" localSheetId="25">#REF!</definedName>
    <definedName name="Dividend2005" localSheetId="35">#REF!</definedName>
    <definedName name="Dividend2005" localSheetId="33">#REF!</definedName>
    <definedName name="Dividend2005">#REF!</definedName>
    <definedName name="Dividend2006" localSheetId="26">#REF!</definedName>
    <definedName name="Dividend2006" localSheetId="25">#REF!</definedName>
    <definedName name="Dividend2006" localSheetId="35">#REF!</definedName>
    <definedName name="Dividend2006" localSheetId="33">#REF!</definedName>
    <definedName name="Dividend2006">#REF!</definedName>
    <definedName name="Dividend2007" localSheetId="26">#REF!</definedName>
    <definedName name="Dividend2007" localSheetId="25">#REF!</definedName>
    <definedName name="Dividend2007" localSheetId="35">#REF!</definedName>
    <definedName name="Dividend2007" localSheetId="33">#REF!</definedName>
    <definedName name="Dividend2007">#REF!</definedName>
    <definedName name="Dividend2008" localSheetId="26">#REF!</definedName>
    <definedName name="Dividend2008" localSheetId="25">#REF!</definedName>
    <definedName name="Dividend2008" localSheetId="35">#REF!</definedName>
    <definedName name="Dividend2008" localSheetId="33">#REF!</definedName>
    <definedName name="Dividend2008">#REF!</definedName>
    <definedName name="Dividend2009" localSheetId="26">#REF!</definedName>
    <definedName name="Dividend2009" localSheetId="25">#REF!</definedName>
    <definedName name="Dividend2009" localSheetId="35">#REF!</definedName>
    <definedName name="Dividend2009" localSheetId="33">#REF!</definedName>
    <definedName name="Dividend2009">#REF!</definedName>
    <definedName name="Dividend2010" localSheetId="26">#REF!</definedName>
    <definedName name="Dividend2010" localSheetId="25">#REF!</definedName>
    <definedName name="Dividend2010" localSheetId="35">#REF!</definedName>
    <definedName name="Dividend2010" localSheetId="33">#REF!</definedName>
    <definedName name="Dividend2010">#REF!</definedName>
    <definedName name="Dividend2011" localSheetId="26">#REF!</definedName>
    <definedName name="Dividend2011" localSheetId="25">#REF!</definedName>
    <definedName name="Dividend2011" localSheetId="35">#REF!</definedName>
    <definedName name="Dividend2011" localSheetId="33">#REF!</definedName>
    <definedName name="Dividend2011">#REF!</definedName>
    <definedName name="DividYld2003" localSheetId="26">#REF!</definedName>
    <definedName name="DividYld2003" localSheetId="25">#REF!</definedName>
    <definedName name="DividYld2003" localSheetId="35">#REF!</definedName>
    <definedName name="DividYld2003" localSheetId="33">#REF!</definedName>
    <definedName name="DividYld2003">#REF!</definedName>
    <definedName name="DividYld2004" localSheetId="26">#REF!</definedName>
    <definedName name="DividYld2004" localSheetId="25">#REF!</definedName>
    <definedName name="DividYld2004" localSheetId="35">#REF!</definedName>
    <definedName name="DividYld2004" localSheetId="33">#REF!</definedName>
    <definedName name="DividYld2004">#REF!</definedName>
    <definedName name="DividYld2005" localSheetId="26">#REF!</definedName>
    <definedName name="DividYld2005" localSheetId="25">#REF!</definedName>
    <definedName name="DividYld2005" localSheetId="35">#REF!</definedName>
    <definedName name="DividYld2005" localSheetId="33">#REF!</definedName>
    <definedName name="DividYld2005">#REF!</definedName>
    <definedName name="DividYld2006" localSheetId="26">#REF!</definedName>
    <definedName name="DividYld2006" localSheetId="25">#REF!</definedName>
    <definedName name="DividYld2006" localSheetId="35">#REF!</definedName>
    <definedName name="DividYld2006" localSheetId="33">#REF!</definedName>
    <definedName name="DividYld2006">#REF!</definedName>
    <definedName name="DividYld2007" localSheetId="26">#REF!</definedName>
    <definedName name="DividYld2007" localSheetId="25">#REF!</definedName>
    <definedName name="DividYld2007" localSheetId="35">#REF!</definedName>
    <definedName name="DividYld2007" localSheetId="33">#REF!</definedName>
    <definedName name="DividYld2007">#REF!</definedName>
    <definedName name="DivYield2003" localSheetId="26">#REF!</definedName>
    <definedName name="DivYield2003" localSheetId="25">#REF!</definedName>
    <definedName name="DivYield2003" localSheetId="35">#REF!</definedName>
    <definedName name="DivYield2003" localSheetId="33">#REF!</definedName>
    <definedName name="DivYield2003">#REF!</definedName>
    <definedName name="DivYield2004" localSheetId="26">#REF!</definedName>
    <definedName name="DivYield2004" localSheetId="25">#REF!</definedName>
    <definedName name="DivYield2004" localSheetId="35">#REF!</definedName>
    <definedName name="DivYield2004" localSheetId="33">#REF!</definedName>
    <definedName name="DivYield2004">#REF!</definedName>
    <definedName name="DivYield2005" localSheetId="26">#REF!</definedName>
    <definedName name="DivYield2005" localSheetId="25">#REF!</definedName>
    <definedName name="DivYield2005" localSheetId="35">#REF!</definedName>
    <definedName name="DivYield2005" localSheetId="33">#REF!</definedName>
    <definedName name="DivYield2005">#REF!</definedName>
    <definedName name="DivYield2006" localSheetId="26">#REF!</definedName>
    <definedName name="DivYield2006" localSheetId="25">#REF!</definedName>
    <definedName name="DivYield2006" localSheetId="35">#REF!</definedName>
    <definedName name="DivYield2006" localSheetId="33">#REF!</definedName>
    <definedName name="DivYield2006">#REF!</definedName>
    <definedName name="DivYield2007" localSheetId="26">#REF!</definedName>
    <definedName name="DivYield2007" localSheetId="25">#REF!</definedName>
    <definedName name="DivYield2007" localSheetId="35">#REF!</definedName>
    <definedName name="DivYield2007" localSheetId="33">#REF!</definedName>
    <definedName name="DivYield2007">#REF!</definedName>
    <definedName name="DivYield2008" localSheetId="26">#REF!</definedName>
    <definedName name="DivYield2008" localSheetId="25">#REF!</definedName>
    <definedName name="DivYield2008" localSheetId="35">#REF!</definedName>
    <definedName name="DivYield2008" localSheetId="33">#REF!</definedName>
    <definedName name="DivYield2008">#REF!</definedName>
    <definedName name="DivYield2009" localSheetId="26">#REF!</definedName>
    <definedName name="DivYield2009" localSheetId="25">#REF!</definedName>
    <definedName name="DivYield2009" localSheetId="35">#REF!</definedName>
    <definedName name="DivYield2009" localSheetId="33">#REF!</definedName>
    <definedName name="DivYield2009">#REF!</definedName>
    <definedName name="DivYield2010" localSheetId="26">#REF!</definedName>
    <definedName name="DivYield2010" localSheetId="25">#REF!</definedName>
    <definedName name="DivYield2010" localSheetId="35">#REF!</definedName>
    <definedName name="DivYield2010" localSheetId="33">#REF!</definedName>
    <definedName name="DivYield2010">#REF!</definedName>
    <definedName name="DivYield2011" localSheetId="26">#REF!</definedName>
    <definedName name="DivYield2011" localSheetId="25">#REF!</definedName>
    <definedName name="DivYield2011" localSheetId="35">#REF!</definedName>
    <definedName name="DivYield2011" localSheetId="33">#REF!</definedName>
    <definedName name="DivYield2011">#REF!</definedName>
    <definedName name="DivYld2003" localSheetId="26">#REF!</definedName>
    <definedName name="DivYld2003" localSheetId="25">#REF!</definedName>
    <definedName name="DivYld2003" localSheetId="35">#REF!</definedName>
    <definedName name="DivYld2003" localSheetId="33">#REF!</definedName>
    <definedName name="DivYld2003">#REF!</definedName>
    <definedName name="DivYld2004" localSheetId="26">#REF!</definedName>
    <definedName name="DivYld2004" localSheetId="25">#REF!</definedName>
    <definedName name="DivYld2004" localSheetId="35">#REF!</definedName>
    <definedName name="DivYld2004" localSheetId="33">#REF!</definedName>
    <definedName name="DivYld2004">#REF!</definedName>
    <definedName name="DivYld2005" localSheetId="26">#REF!</definedName>
    <definedName name="DivYld2005" localSheetId="25">#REF!</definedName>
    <definedName name="DivYld2005" localSheetId="35">#REF!</definedName>
    <definedName name="DivYld2005" localSheetId="33">#REF!</definedName>
    <definedName name="DivYld2005">#REF!</definedName>
    <definedName name="DivYld2006" localSheetId="26">#REF!</definedName>
    <definedName name="DivYld2006" localSheetId="25">#REF!</definedName>
    <definedName name="DivYld2006" localSheetId="35">#REF!</definedName>
    <definedName name="DivYld2006" localSheetId="33">#REF!</definedName>
    <definedName name="DivYld2006">#REF!</definedName>
    <definedName name="DivYld2007" localSheetId="26">#REF!</definedName>
    <definedName name="DivYld2007" localSheetId="25">#REF!</definedName>
    <definedName name="DivYld2007" localSheetId="35">#REF!</definedName>
    <definedName name="DivYld2007" localSheetId="33">#REF!</definedName>
    <definedName name="DivYld2007">#REF!</definedName>
    <definedName name="DivYld2008" localSheetId="26">#REF!</definedName>
    <definedName name="DivYld2008" localSheetId="25">#REF!</definedName>
    <definedName name="DivYld2008" localSheetId="35">#REF!</definedName>
    <definedName name="DivYld2008" localSheetId="33">#REF!</definedName>
    <definedName name="DivYld2008">#REF!</definedName>
    <definedName name="DivYld2009" localSheetId="26">#REF!</definedName>
    <definedName name="DivYld2009" localSheetId="25">#REF!</definedName>
    <definedName name="DivYld2009" localSheetId="35">#REF!</definedName>
    <definedName name="DivYld2009" localSheetId="33">#REF!</definedName>
    <definedName name="DivYld2009">#REF!</definedName>
    <definedName name="DivYld2010" localSheetId="26">#REF!</definedName>
    <definedName name="DivYld2010" localSheetId="25">#REF!</definedName>
    <definedName name="DivYld2010" localSheetId="35">#REF!</definedName>
    <definedName name="DivYld2010" localSheetId="33">#REF!</definedName>
    <definedName name="DivYld2010">#REF!</definedName>
    <definedName name="DivYld2011" localSheetId="26">#REF!</definedName>
    <definedName name="DivYld2011" localSheetId="25">#REF!</definedName>
    <definedName name="DivYld2011" localSheetId="35">#REF!</definedName>
    <definedName name="DivYld2011" localSheetId="33">#REF!</definedName>
    <definedName name="DivYld2011">#REF!</definedName>
    <definedName name="dldmldjd" localSheetId="26">#REF!</definedName>
    <definedName name="dldmldjd" localSheetId="25">#REF!</definedName>
    <definedName name="dldmldjd" localSheetId="35">#REF!</definedName>
    <definedName name="dldmldjd" localSheetId="33">#REF!</definedName>
    <definedName name="dldmldjd">#REF!</definedName>
    <definedName name="DocType" localSheetId="28">Word</definedName>
    <definedName name="DocType" localSheetId="26">Word</definedName>
    <definedName name="DocType" localSheetId="25">Word</definedName>
    <definedName name="DocType" localSheetId="35">Word</definedName>
    <definedName name="DocType" localSheetId="33">Word</definedName>
    <definedName name="DocType">Word</definedName>
    <definedName name="doh" localSheetId="28" hidden="1">{#N/A,#N/A,FALSE,"TS";#N/A,#N/A,FALSE,"Combo";#N/A,#N/A,FALSE,"FAIR";#N/A,#N/A,FALSE,"RBC";#N/A,#N/A,FALSE,"xxxx";#N/A,#N/A,FALSE,"A_D";#N/A,#N/A,FALSE,"WACC";#N/A,#N/A,FALSE,"DCF";#N/A,#N/A,FALSE,"LBO";#N/A,#N/A,FALSE,"AcqMults";#N/A,#N/A,FALSE,"CompMults"}</definedName>
    <definedName name="doh" hidden="1">{#N/A,#N/A,FALSE,"TS";#N/A,#N/A,FALSE,"Combo";#N/A,#N/A,FALSE,"FAIR";#N/A,#N/A,FALSE,"RBC";#N/A,#N/A,FALSE,"xxxx";#N/A,#N/A,FALSE,"A_D";#N/A,#N/A,FALSE,"WACC";#N/A,#N/A,FALSE,"DCF";#N/A,#N/A,FALSE,"LBO";#N/A,#N/A,FALSE,"AcqMults";#N/A,#N/A,FALSE,"CompMults"}</definedName>
    <definedName name="doh_1" localSheetId="28"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localSheetId="28"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6">#REF!</definedName>
    <definedName name="DPUnit2003" localSheetId="25">#REF!</definedName>
    <definedName name="DPUnit2003" localSheetId="35">#REF!</definedName>
    <definedName name="DPUnit2003" localSheetId="33">#REF!</definedName>
    <definedName name="DPUnit2003">#REF!</definedName>
    <definedName name="DPUnit2004" localSheetId="26">#REF!</definedName>
    <definedName name="DPUnit2004" localSheetId="25">#REF!</definedName>
    <definedName name="DPUnit2004" localSheetId="35">#REF!</definedName>
    <definedName name="DPUnit2004" localSheetId="33">#REF!</definedName>
    <definedName name="DPUnit2004">#REF!</definedName>
    <definedName name="DPUnit2005" localSheetId="26">#REF!</definedName>
    <definedName name="DPUnit2005" localSheetId="25">#REF!</definedName>
    <definedName name="DPUnit2005" localSheetId="35">#REF!</definedName>
    <definedName name="DPUnit2005" localSheetId="33">#REF!</definedName>
    <definedName name="DPUnit2005">#REF!</definedName>
    <definedName name="DPUnit2006" localSheetId="26">#REF!</definedName>
    <definedName name="DPUnit2006" localSheetId="25">#REF!</definedName>
    <definedName name="DPUnit2006" localSheetId="35">#REF!</definedName>
    <definedName name="DPUnit2006" localSheetId="33">#REF!</definedName>
    <definedName name="DPUnit2006">#REF!</definedName>
    <definedName name="ds"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6">#REF!</definedName>
    <definedName name="DSADSADSADSA" localSheetId="25">#REF!</definedName>
    <definedName name="DSADSADSADSA" localSheetId="35">#REF!</definedName>
    <definedName name="DSADSADSADSA" localSheetId="33">#REF!</definedName>
    <definedName name="DSADSADSADSA">#REF!</definedName>
    <definedName name="dsaf" localSheetId="28" hidden="1">{"mgmt forecast",#N/A,FALSE,"Mgmt Forecast";"dcf table",#N/A,FALSE,"Mgmt Forecast";"sensitivity",#N/A,FALSE,"Mgmt Forecast";"table inputs",#N/A,FALSE,"Mgmt Forecast";"calculations",#N/A,FALSE,"Mgmt Forecast"}</definedName>
    <definedName name="dsaf" hidden="1">{"mgmt forecast",#N/A,FALSE,"Mgmt Forecast";"dcf table",#N/A,FALSE,"Mgmt Forecast";"sensitivity",#N/A,FALSE,"Mgmt Forecast";"table inputs",#N/A,FALSE,"Mgmt Forecast";"calculations",#N/A,FALSE,"Mgmt Forecast"}</definedName>
    <definedName name="dsaf_1" localSheetId="28"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localSheetId="28"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6">#REF!</definedName>
    <definedName name="dsfasfdsfdsf" localSheetId="25">#REF!</definedName>
    <definedName name="dsfasfdsfdsf" localSheetId="35">#REF!</definedName>
    <definedName name="dsfasfdsfdsf" localSheetId="33">#REF!</definedName>
    <definedName name="dsfasfdsfdsf">#REF!</definedName>
    <definedName name="dsfhfdsstfghgffh" localSheetId="26" hidden="1">#REF!</definedName>
    <definedName name="dsfhfdsstfghgffh" localSheetId="25" hidden="1">#REF!</definedName>
    <definedName name="dsfhfdsstfghgffh" localSheetId="35" hidden="1">#REF!</definedName>
    <definedName name="dsfhfdsstfghgffh" localSheetId="33" hidden="1">#REF!</definedName>
    <definedName name="dsfhfdsstfghgffh" localSheetId="36" hidden="1">#REF!</definedName>
    <definedName name="dsfhfdsstfghgffh" hidden="1">#REF!</definedName>
    <definedName name="dsfs" localSheetId="26">#REF!</definedName>
    <definedName name="dsfs" localSheetId="25">#REF!</definedName>
    <definedName name="dsfs" localSheetId="35">#REF!</definedName>
    <definedName name="dsfs" localSheetId="33">#REF!</definedName>
    <definedName name="dsfs" localSheetId="36">#REF!</definedName>
    <definedName name="dsfs">#REF!</definedName>
    <definedName name="dummy" localSheetId="26">#REF!</definedName>
    <definedName name="dummy" localSheetId="25">#REF!</definedName>
    <definedName name="dummy" localSheetId="35">#REF!</definedName>
    <definedName name="dummy" localSheetId="33">#REF!</definedName>
    <definedName name="dummy">#REF!</definedName>
    <definedName name="dvdgrgr" localSheetId="26" hidden="1">#REF!</definedName>
    <definedName name="dvdgrgr" localSheetId="25" hidden="1">#REF!</definedName>
    <definedName name="dvdgrgr" localSheetId="35" hidden="1">#REF!</definedName>
    <definedName name="dvdgrgr" localSheetId="33" hidden="1">#REF!</definedName>
    <definedName name="dvdgrgr" localSheetId="36" hidden="1">#REF!</definedName>
    <definedName name="dvdgrgr" hidden="1">#REF!</definedName>
    <definedName name="dwed" localSheetId="28" hidden="1">{#N/A,#N/A,FALSE,"资产负债表";#N/A,#N/A,FALSE,"资产负债表"}</definedName>
    <definedName name="dwed" hidden="1">{#N/A,#N/A,FALSE,"资产负债表";#N/A,#N/A,FALSE,"资产负债表"}</definedName>
    <definedName name="DYield2003" localSheetId="26">#REF!</definedName>
    <definedName name="DYield2003" localSheetId="25">#REF!</definedName>
    <definedName name="DYield2003" localSheetId="35">#REF!</definedName>
    <definedName name="DYield2003" localSheetId="33">#REF!</definedName>
    <definedName name="DYield2003">#REF!</definedName>
    <definedName name="DYield2004" localSheetId="26">#REF!</definedName>
    <definedName name="DYield2004" localSheetId="25">#REF!</definedName>
    <definedName name="DYield2004" localSheetId="35">#REF!</definedName>
    <definedName name="DYield2004" localSheetId="33">#REF!</definedName>
    <definedName name="DYield2004">#REF!</definedName>
    <definedName name="DYield2005" localSheetId="26">#REF!</definedName>
    <definedName name="DYield2005" localSheetId="25">#REF!</definedName>
    <definedName name="DYield2005" localSheetId="35">#REF!</definedName>
    <definedName name="DYield2005" localSheetId="33">#REF!</definedName>
    <definedName name="DYield2005">#REF!</definedName>
    <definedName name="DYield2006" localSheetId="26">#REF!</definedName>
    <definedName name="DYield2006" localSheetId="25">#REF!</definedName>
    <definedName name="DYield2006" localSheetId="35">#REF!</definedName>
    <definedName name="DYield2006" localSheetId="33">#REF!</definedName>
    <definedName name="DYield2006">#REF!</definedName>
    <definedName name="DYield2007" localSheetId="26">#REF!</definedName>
    <definedName name="DYield2007" localSheetId="25">#REF!</definedName>
    <definedName name="DYield2007" localSheetId="35">#REF!</definedName>
    <definedName name="DYield2007" localSheetId="33">#REF!</definedName>
    <definedName name="DYield2007">#REF!</definedName>
    <definedName name="DYield2008" localSheetId="26">#REF!</definedName>
    <definedName name="DYield2008" localSheetId="25">#REF!</definedName>
    <definedName name="DYield2008" localSheetId="35">#REF!</definedName>
    <definedName name="DYield2008" localSheetId="33">#REF!</definedName>
    <definedName name="DYield2008">#REF!</definedName>
    <definedName name="DYield2009" localSheetId="26">#REF!</definedName>
    <definedName name="DYield2009" localSheetId="25">#REF!</definedName>
    <definedName name="DYield2009" localSheetId="35">#REF!</definedName>
    <definedName name="DYield2009" localSheetId="33">#REF!</definedName>
    <definedName name="DYield2009">#REF!</definedName>
    <definedName name="DYield2010" localSheetId="26">#REF!</definedName>
    <definedName name="DYield2010" localSheetId="25">#REF!</definedName>
    <definedName name="DYield2010" localSheetId="35">#REF!</definedName>
    <definedName name="DYield2010" localSheetId="33">#REF!</definedName>
    <definedName name="DYield2010">#REF!</definedName>
    <definedName name="DYield2011" localSheetId="26">#REF!</definedName>
    <definedName name="DYield2011" localSheetId="25">#REF!</definedName>
    <definedName name="DYield2011" localSheetId="35">#REF!</definedName>
    <definedName name="DYield2011" localSheetId="33">#REF!</definedName>
    <definedName name="DYield2011">#REF!</definedName>
    <definedName name="dzfsdf" localSheetId="28" hidden="1">{#N/A,#N/A,TRUE,"FOC_Product_Assumptions"}</definedName>
    <definedName name="dzfsdf" hidden="1">{#N/A,#N/A,TRUE,"FOC_Product_Assumptions"}</definedName>
    <definedName name="dzfsdf_1" localSheetId="28" hidden="1">{#N/A,#N/A,TRUE,"FOC_Product_Assumptions"}</definedName>
    <definedName name="dzfsdf_1" hidden="1">{#N/A,#N/A,TRUE,"FOC_Product_Assumptions"}</definedName>
    <definedName name="dzfsdf_1_1" localSheetId="28" hidden="1">{#N/A,#N/A,TRUE,"FOC_Product_Assumptions"}</definedName>
    <definedName name="dzfsdf_1_1" hidden="1">{#N/A,#N/A,TRUE,"FOC_Product_Assumptions"}</definedName>
    <definedName name="e" localSheetId="28" hidden="1">{"mgmt forecast",#N/A,FALSE,"Mgmt Forecast";"dcf table",#N/A,FALSE,"Mgmt Forecast";"sensitivity",#N/A,FALSE,"Mgmt Forecast";"table inputs",#N/A,FALSE,"Mgmt Forecast";"calculations",#N/A,FALSE,"Mgmt Forecast"}</definedName>
    <definedName name="e" hidden="1">{"mgmt forecast",#N/A,FALSE,"Mgmt Forecast";"dcf table",#N/A,FALSE,"Mgmt Forecast";"sensitivity",#N/A,FALSE,"Mgmt Forecast";"table inputs",#N/A,FALSE,"Mgmt Forecast";"calculations",#N/A,FALSE,"Mgmt Forecast"}</definedName>
    <definedName name="e_1" localSheetId="28"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localSheetId="28"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6">#REF!</definedName>
    <definedName name="E23GFA" localSheetId="25">#REF!</definedName>
    <definedName name="E23GFA" localSheetId="35">#REF!</definedName>
    <definedName name="E23GFA" localSheetId="33">#REF!</definedName>
    <definedName name="E23GFA">#REF!</definedName>
    <definedName name="E23P" localSheetId="26">#REF!</definedName>
    <definedName name="E23P" localSheetId="25">#REF!</definedName>
    <definedName name="E23P" localSheetId="35">#REF!</definedName>
    <definedName name="E23P" localSheetId="33">#REF!</definedName>
    <definedName name="E23P">#REF!</definedName>
    <definedName name="EEEEEEEEEEEEEEEEEEEEEEEEEEEE" localSheetId="28" hidden="1">{#N/A,#N/A,FALSE,"Aging Summary";#N/A,#N/A,FALSE,"Ratio Analysis";#N/A,#N/A,FALSE,"Test 120 Day Accts";#N/A,#N/A,FALSE,"Tickmarks"}</definedName>
    <definedName name="EEEEEEEEEEEEEEEEEEEEEEEEEEEE" hidden="1">{#N/A,#N/A,FALSE,"Aging Summary";#N/A,#N/A,FALSE,"Ratio Analysis";#N/A,#N/A,FALSE,"Test 120 Day Accts";#N/A,#N/A,FALSE,"Tickmarks"}</definedName>
    <definedName name="EEEEEEEEEEEEEEEEEEEEEEEEEEEEEEEEEEE" localSheetId="28"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6" hidden="1">#REF!</definedName>
    <definedName name="ekejjjyyjtyy" localSheetId="25" hidden="1">#REF!</definedName>
    <definedName name="ekejjjyyjtyy" localSheetId="35" hidden="1">#REF!</definedName>
    <definedName name="ekejjjyyjtyy" localSheetId="33" hidden="1">#REF!</definedName>
    <definedName name="ekejjjyyjtyy" localSheetId="36" hidden="1">#REF!</definedName>
    <definedName name="ekejjjyyjtyy" hidden="1">#REF!</definedName>
    <definedName name="ENT_LONG_NAME" localSheetId="26">#REF!</definedName>
    <definedName name="ENT_LONG_NAME" localSheetId="25">#REF!</definedName>
    <definedName name="ENT_LONG_NAME" localSheetId="35">#REF!</definedName>
    <definedName name="ENT_LONG_NAME" localSheetId="33">#REF!</definedName>
    <definedName name="ENT_LONG_NAME" localSheetId="36">#REF!</definedName>
    <definedName name="ENT_LONG_NAME">#REF!</definedName>
    <definedName name="ENT_NAME" localSheetId="26">#REF!</definedName>
    <definedName name="ENT_NAME" localSheetId="25">#REF!</definedName>
    <definedName name="ENT_NAME" localSheetId="35">#REF!</definedName>
    <definedName name="ENT_NAME" localSheetId="33">#REF!</definedName>
    <definedName name="ENT_NAME" localSheetId="36">#REF!</definedName>
    <definedName name="ENT_NAME">#REF!</definedName>
    <definedName name="ENT_TABLE" localSheetId="26">#REF!</definedName>
    <definedName name="ENT_TABLE" localSheetId="25">#REF!</definedName>
    <definedName name="ENT_TABLE" localSheetId="35">#REF!</definedName>
    <definedName name="ENT_TABLE" localSheetId="33">#REF!</definedName>
    <definedName name="ENT_TABLE" localSheetId="36">#REF!</definedName>
    <definedName name="ENT_TABLE">#REF!</definedName>
    <definedName name="eq2r4" localSheetId="28" hidden="1">{#N/A,#N/A,FALSE,"COVER";#N/A,#N/A,FALSE,"0";#N/A,#N/A,FALSE,"1";#N/A,#N/A,FALSE,"2";#N/A,#N/A,FALSE,"3";#N/A,#N/A,FALSE,"4";#N/A,#N/A,FALSE,"5";#N/A,#N/A,FALSE,"6";#N/A,#N/A,FALSE,"7";#N/A,#N/A,FALSE,"8";#N/A,#N/A,FALSE,"9";#N/A,#N/A,FALSE,"10";#N/A,#N/A,FALSE,"11"}</definedName>
    <definedName name="eq2r4" hidden="1">{#N/A,#N/A,FALSE,"COVER";#N/A,#N/A,FALSE,"0";#N/A,#N/A,FALSE,"1";#N/A,#N/A,FALSE,"2";#N/A,#N/A,FALSE,"3";#N/A,#N/A,FALSE,"4";#N/A,#N/A,FALSE,"5";#N/A,#N/A,FALSE,"6";#N/A,#N/A,FALSE,"7";#N/A,#N/A,FALSE,"8";#N/A,#N/A,FALSE,"9";#N/A,#N/A,FALSE,"10";#N/A,#N/A,FALSE,"11"}</definedName>
    <definedName name="ere" localSheetId="28" hidden="1">{"orixcsc",#N/A,FALSE,"ORIX CSC";"orixcsc2",#N/A,FALSE,"ORIX CSC"}</definedName>
    <definedName name="ere" hidden="1">{"orixcsc",#N/A,FALSE,"ORIX CSC";"orixcsc2",#N/A,FALSE,"ORIX CSC"}</definedName>
    <definedName name="ere_1" localSheetId="28" hidden="1">{"orixcsc",#N/A,FALSE,"ORIX CSC";"orixcsc2",#N/A,FALSE,"ORIX CSC"}</definedName>
    <definedName name="ere_1" hidden="1">{"orixcsc",#N/A,FALSE,"ORIX CSC";"orixcsc2",#N/A,FALSE,"ORIX CSC"}</definedName>
    <definedName name="ere_1_1" localSheetId="28" hidden="1">{"orixcsc",#N/A,FALSE,"ORIX CSC";"orixcsc2",#N/A,FALSE,"ORIX CSC"}</definedName>
    <definedName name="ere_1_1" hidden="1">{"orixcsc",#N/A,FALSE,"ORIX CSC";"orixcsc2",#N/A,FALSE,"ORIX CSC"}</definedName>
    <definedName name="ERR_MSG" localSheetId="26">#REF!</definedName>
    <definedName name="ERR_MSG" localSheetId="25">#REF!</definedName>
    <definedName name="ERR_MSG" localSheetId="35">#REF!</definedName>
    <definedName name="ERR_MSG" localSheetId="33">#REF!</definedName>
    <definedName name="ERR_MSG" localSheetId="36">#REF!</definedName>
    <definedName name="ERR_MSG">#REF!</definedName>
    <definedName name="ert" localSheetId="28" hidden="1">{"'Z3-1'!$B$9:$I$29"}</definedName>
    <definedName name="ert" hidden="1">{"'Z3-1'!$B$9:$I$29"}</definedName>
    <definedName name="ESPeXToEUR" localSheetId="28" hidden="1">1/EUReXToESP</definedName>
    <definedName name="ESPeXToEUR" localSheetId="26" hidden="1">1/EUReXToESP</definedName>
    <definedName name="ESPeXToEUR" localSheetId="25" hidden="1">1/EUReXToESP</definedName>
    <definedName name="ESPeXToEUR" localSheetId="35" hidden="1">1/EUReXToESP</definedName>
    <definedName name="ESPeXToEUR" localSheetId="33" hidden="1">1/EUReXToESP</definedName>
    <definedName name="ESPeXToEUR" localSheetId="36" hidden="1">1/EUReXToESP</definedName>
    <definedName name="ESPeXToEUR" hidden="1">1/EUReXToESP</definedName>
    <definedName name="EUR" localSheetId="26">#REF!</definedName>
    <definedName name="EUR" localSheetId="25">#REF!</definedName>
    <definedName name="EUR" localSheetId="35">#REF!</definedName>
    <definedName name="EUR" localSheetId="33">#REF!</definedName>
    <definedName name="EUR">#REF!</definedName>
    <definedName name="ev.Calculation">-4105</definedName>
    <definedName name="ev.Initialized">FALSE</definedName>
    <definedName name="ewqdfewqfeq" localSheetId="28" hidden="1">{#N/A,#N/A,FALSE,"资产负债表";#N/A,#N/A,FALSE,"资产负债表"}</definedName>
    <definedName name="ewqdfewqfeq" hidden="1">{#N/A,#N/A,FALSE,"资产负债表";#N/A,#N/A,FALSE,"资产负债表"}</definedName>
    <definedName name="ewrwer" localSheetId="28" hidden="1">{#N/A,#N/A,FALSE,"ORIX CSC"}</definedName>
    <definedName name="ewrwer" hidden="1">{#N/A,#N/A,FALSE,"ORIX CSC"}</definedName>
    <definedName name="ewrwer_1" localSheetId="28" hidden="1">{#N/A,#N/A,FALSE,"ORIX CSC"}</definedName>
    <definedName name="ewrwer_1" hidden="1">{#N/A,#N/A,FALSE,"ORIX CSC"}</definedName>
    <definedName name="ewrwer_1_1" localSheetId="28"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6">#REF!</definedName>
    <definedName name="Excel_BuiltIn__FilterDatabase" localSheetId="25">#REF!</definedName>
    <definedName name="Excel_BuiltIn__FilterDatabase" localSheetId="35">#REF!</definedName>
    <definedName name="Excel_BuiltIn__FilterDatabase" localSheetId="33">#REF!</definedName>
    <definedName name="Excel_BuiltIn__FilterDatabase">#REF!</definedName>
    <definedName name="Excel_BuiltIn_Criteria_3_1" localSheetId="26">#REF!</definedName>
    <definedName name="Excel_BuiltIn_Criteria_3_1" localSheetId="25">#REF!</definedName>
    <definedName name="Excel_BuiltIn_Criteria_3_1" localSheetId="35">#REF!</definedName>
    <definedName name="Excel_BuiltIn_Criteria_3_1" localSheetId="33">#REF!</definedName>
    <definedName name="Excel_BuiltIn_Criteria_3_1">#REF!</definedName>
    <definedName name="Excel_BuiltIn_Print_Area" localSheetId="26">#REF!</definedName>
    <definedName name="Excel_BuiltIn_Print_Area" localSheetId="25">#REF!</definedName>
    <definedName name="Excel_BuiltIn_Print_Area" localSheetId="35">#REF!</definedName>
    <definedName name="Excel_BuiltIn_Print_Area" localSheetId="33">#REF!</definedName>
    <definedName name="Excel_BuiltIn_Print_Area">#REF!</definedName>
    <definedName name="Excel_BuiltIn_Print_Area_0">"$#REF!.$A$1:$C$491"</definedName>
    <definedName name="Excel_BuiltIn_Print_Area_0___0">"$#REF!.$A$1:$H$604"</definedName>
    <definedName name="Excel_BuiltIn_Print_Titles_3" localSheetId="26">#REF!</definedName>
    <definedName name="Excel_BuiltIn_Print_Titles_3" localSheetId="25">#REF!</definedName>
    <definedName name="Excel_BuiltIn_Print_Titles_3" localSheetId="35">#REF!</definedName>
    <definedName name="Excel_BuiltIn_Print_Titles_3" localSheetId="33">#REF!</definedName>
    <definedName name="Excel_BuiltIn_Print_Titles_3">#REF!</definedName>
    <definedName name="EXCEPT_FILE" localSheetId="26">#REF!</definedName>
    <definedName name="EXCEPT_FILE" localSheetId="25">#REF!</definedName>
    <definedName name="EXCEPT_FILE" localSheetId="35">#REF!</definedName>
    <definedName name="EXCEPT_FILE" localSheetId="33">#REF!</definedName>
    <definedName name="EXCEPT_FILE" localSheetId="36">#REF!</definedName>
    <definedName name="EXCEPT_FILE">#REF!</definedName>
    <definedName name="EXCEPT_REP" localSheetId="26">#REF!</definedName>
    <definedName name="EXCEPT_REP" localSheetId="25">#REF!</definedName>
    <definedName name="EXCEPT_REP" localSheetId="35">#REF!</definedName>
    <definedName name="EXCEPT_REP" localSheetId="33">#REF!</definedName>
    <definedName name="EXCEPT_REP" localSheetId="36">#REF!</definedName>
    <definedName name="EXCEPT_REP">#REF!</definedName>
    <definedName name="exchangerate" localSheetId="26">#REF!</definedName>
    <definedName name="exchangerate" localSheetId="25">#REF!</definedName>
    <definedName name="exchangerate" localSheetId="35">#REF!</definedName>
    <definedName name="exchangerate" localSheetId="33">#REF!</definedName>
    <definedName name="exchangerate">#REF!</definedName>
    <definedName name="Existing_Maint" localSheetId="26">#REF!</definedName>
    <definedName name="Existing_Maint" localSheetId="25">#REF!</definedName>
    <definedName name="Existing_Maint" localSheetId="35">#REF!</definedName>
    <definedName name="Existing_Maint" localSheetId="33">#REF!</definedName>
    <definedName name="Existing_Maint">#REF!</definedName>
    <definedName name="ExistLoanMat" localSheetId="26">#REF!</definedName>
    <definedName name="ExistLoanMat" localSheetId="25">#REF!</definedName>
    <definedName name="ExistLoanMat" localSheetId="35">#REF!</definedName>
    <definedName name="ExistLoanMat" localSheetId="33">#REF!</definedName>
    <definedName name="ExistLoanMat">#REF!</definedName>
    <definedName name="ExistLoanOPB" localSheetId="26">#REF!</definedName>
    <definedName name="ExistLoanOPB" localSheetId="25">#REF!</definedName>
    <definedName name="ExistLoanOPB" localSheetId="35">#REF!</definedName>
    <definedName name="ExistLoanOPB" localSheetId="33">#REF!</definedName>
    <definedName name="ExistLoanOPB">#REF!</definedName>
    <definedName name="ExistLoanOrig" localSheetId="26">#REF!</definedName>
    <definedName name="ExistLoanOrig" localSheetId="25">#REF!</definedName>
    <definedName name="ExistLoanOrig" localSheetId="35">#REF!</definedName>
    <definedName name="ExistLoanOrig" localSheetId="33">#REF!</definedName>
    <definedName name="ExistLoanOrig">#REF!</definedName>
    <definedName name="ExistLoanRate" localSheetId="26">#REF!</definedName>
    <definedName name="ExistLoanRate" localSheetId="25">#REF!</definedName>
    <definedName name="ExistLoanRate" localSheetId="35">#REF!</definedName>
    <definedName name="ExistLoanRate" localSheetId="33">#REF!</definedName>
    <definedName name="ExistLoanRate">#REF!</definedName>
    <definedName name="ExistLoanRateA" localSheetId="26">#REF!</definedName>
    <definedName name="ExistLoanRateA" localSheetId="25">#REF!</definedName>
    <definedName name="ExistLoanRateA" localSheetId="35">#REF!</definedName>
    <definedName name="ExistLoanRateA" localSheetId="33">#REF!</definedName>
    <definedName name="ExistLoanRateA">#REF!</definedName>
    <definedName name="exp_sh" localSheetId="26">#REF!</definedName>
    <definedName name="exp_sh" localSheetId="25">#REF!</definedName>
    <definedName name="exp_sh" localSheetId="35">#REF!</definedName>
    <definedName name="exp_sh" localSheetId="33">#REF!</definedName>
    <definedName name="exp_sh" localSheetId="36">#REF!</definedName>
    <definedName name="exp_sh">#REF!</definedName>
    <definedName name="ExpandOutputs">#N/A</definedName>
    <definedName name="ExpandVPeriods">#N/A</definedName>
    <definedName name="ExportDir" localSheetId="26">#REF!</definedName>
    <definedName name="ExportDir" localSheetId="25">#REF!</definedName>
    <definedName name="ExportDir" localSheetId="35">#REF!</definedName>
    <definedName name="ExportDir" localSheetId="33">#REF!</definedName>
    <definedName name="ExportDir" localSheetId="36">#REF!</definedName>
    <definedName name="ExportDir">#REF!</definedName>
    <definedName name="ExportFile">#N/A</definedName>
    <definedName name="extr" localSheetId="28" hidden="1">{"P&amp;L",#N/A,TRUE,"HC";"P&amp;L Percents",#N/A,TRUE,"P&amp;L";"M&amp;A3 P&amp;L",#N/A,TRUE,"HC";"M&amp;A3 Pipeline",#N/A,TRUE,"HC";"Franchises",#N/A,TRUE,"HC";"CF&amp;BS",#N/A,TRUE,"HC"}</definedName>
    <definedName name="extr" hidden="1">{"P&amp;L",#N/A,TRUE,"HC";"P&amp;L Percents",#N/A,TRUE,"P&amp;L";"M&amp;A3 P&amp;L",#N/A,TRUE,"HC";"M&amp;A3 Pipeline",#N/A,TRUE,"HC";"Franchises",#N/A,TRUE,"HC";"CF&amp;BS",#N/A,TRUE,"HC"}</definedName>
    <definedName name="extr_1" localSheetId="28"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localSheetId="28"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localSheetId="28"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localSheetId="28"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localSheetId="28"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localSheetId="28" hidden="1">{#N/A,#N/A,FALSE,"资产负债表";#N/A,#N/A,FALSE,"资产负债表"}</definedName>
    <definedName name="f2qr32qfr" hidden="1">{#N/A,#N/A,FALSE,"资产负债表";#N/A,#N/A,FALSE,"资产负债表"}</definedName>
    <definedName name="F6.8xxx" localSheetId="28" hidden="1">{#N/A,#N/A,FALSE,"431"}</definedName>
    <definedName name="F6.8xxx" hidden="1">{#N/A,#N/A,FALSE,"431"}</definedName>
    <definedName name="FAF" localSheetId="28">[0]!JEPUMS*!H14:XEY1048565</definedName>
    <definedName name="FAF" localSheetId="26">[0]!JEPUMS*!H14:XEY1048565</definedName>
    <definedName name="FAF" localSheetId="25">[0]!JEPUMS*!H14:XEY1048565</definedName>
    <definedName name="FAF" localSheetId="35">[0]!JEPUMS*!H14:XEY1048565</definedName>
    <definedName name="FAF" localSheetId="33">[0]!JEPUMS*!H14:XEY1048565</definedName>
    <definedName name="FAF">[0]!JEPUMS*!H14:XEY1048565</definedName>
    <definedName name="faif" localSheetId="28" hidden="1">{#N/A,#N/A,FALSE,"资产负债表";#N/A,#N/A,FALSE,"资产负债表"}</definedName>
    <definedName name="faif" hidden="1">{#N/A,#N/A,FALSE,"资产负债表";#N/A,#N/A,FALSE,"资产负债表"}</definedName>
    <definedName name="fangan" localSheetId="26">#REF!</definedName>
    <definedName name="fangan" localSheetId="25">#REF!</definedName>
    <definedName name="fangan" localSheetId="35">#REF!</definedName>
    <definedName name="fangan" localSheetId="33">#REF!</definedName>
    <definedName name="fangan">#REF!</definedName>
    <definedName name="FAS" localSheetId="26">#REF!</definedName>
    <definedName name="FAS" localSheetId="25">#REF!</definedName>
    <definedName name="FAS" localSheetId="35">#REF!</definedName>
    <definedName name="FAS" localSheetId="33">#REF!</definedName>
    <definedName name="FAS">#REF!</definedName>
    <definedName name="FBLOCAL" localSheetId="26">#REF!</definedName>
    <definedName name="FBLOCAL" localSheetId="25">#REF!</definedName>
    <definedName name="FBLOCAL" localSheetId="35">#REF!</definedName>
    <definedName name="FBLOCAL" localSheetId="33">#REF!</definedName>
    <definedName name="FBLOCAL">#REF!</definedName>
    <definedName name="fceqd" localSheetId="28" hidden="1">{#N/A,#N/A,FALSE,"资产负债表";#N/A,#N/A,FALSE,"资产负债表"}</definedName>
    <definedName name="fceqd" hidden="1">{#N/A,#N/A,FALSE,"资产负债表";#N/A,#N/A,FALSE,"资产负债表"}</definedName>
    <definedName name="FCF" localSheetId="2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6">#REF!</definedName>
    <definedName name="FCSTFAS1" localSheetId="25">#REF!</definedName>
    <definedName name="FCSTFAS1" localSheetId="35">#REF!</definedName>
    <definedName name="FCSTFAS1" localSheetId="33">#REF!</definedName>
    <definedName name="FCSTFAS1">#REF!</definedName>
    <definedName name="FCSTFAS2" localSheetId="26">#REF!</definedName>
    <definedName name="FCSTFAS2" localSheetId="25">#REF!</definedName>
    <definedName name="FCSTFAS2" localSheetId="35">#REF!</definedName>
    <definedName name="FCSTFAS2" localSheetId="33">#REF!</definedName>
    <definedName name="FCSTFAS2">#REF!</definedName>
    <definedName name="FCSTFAS3" localSheetId="26">#REF!</definedName>
    <definedName name="FCSTFAS3" localSheetId="25">#REF!</definedName>
    <definedName name="FCSTFAS3" localSheetId="35">#REF!</definedName>
    <definedName name="FCSTFAS3" localSheetId="33">#REF!</definedName>
    <definedName name="FCSTFAS3">#REF!</definedName>
    <definedName name="FCSTFAS4" localSheetId="26">#REF!</definedName>
    <definedName name="FCSTFAS4" localSheetId="25">#REF!</definedName>
    <definedName name="FCSTFAS4" localSheetId="35">#REF!</definedName>
    <definedName name="FCSTFAS4" localSheetId="33">#REF!</definedName>
    <definedName name="FCSTFAS4">#REF!</definedName>
    <definedName name="FCSTFAS5" localSheetId="26">#REF!</definedName>
    <definedName name="FCSTFAS5" localSheetId="25">#REF!</definedName>
    <definedName name="FCSTFAS5" localSheetId="35">#REF!</definedName>
    <definedName name="FCSTFAS5" localSheetId="33">#REF!</definedName>
    <definedName name="FCSTFAS5">#REF!</definedName>
    <definedName name="FCSTSTAT" localSheetId="26">#REF!</definedName>
    <definedName name="FCSTSTAT" localSheetId="25">#REF!</definedName>
    <definedName name="FCSTSTAT" localSheetId="35">#REF!</definedName>
    <definedName name="FCSTSTAT" localSheetId="33">#REF!</definedName>
    <definedName name="FCSTSTAT">#REF!</definedName>
    <definedName name="FD" localSheetId="28" hidden="1">{#N/A,#N/A,FALSE,"Aging Summary";#N/A,#N/A,FALSE,"Ratio Analysis";#N/A,#N/A,FALSE,"Test 120 Day Accts";#N/A,#N/A,FALSE,"Tickmarks"}</definedName>
    <definedName name="FD" hidden="1">{#N/A,#N/A,FALSE,"Aging Summary";#N/A,#N/A,FALSE,"Ratio Analysis";#N/A,#N/A,FALSE,"Test 120 Day Accts";#N/A,#N/A,FALSE,"Tickmarks"}</definedName>
    <definedName name="fda" localSheetId="28" hidden="1">{"toptrial",#N/A,TRUE,"toptrial";"adjustment",#N/A,TRUE,"toptrial";"voucher",#N/A,TRUE,"toptrial"}</definedName>
    <definedName name="fda" hidden="1">{"toptrial",#N/A,TRUE,"toptrial";"adjustment",#N/A,TRUE,"toptrial";"voucher",#N/A,TRUE,"toptrial"}</definedName>
    <definedName name="fdadaf" localSheetId="28" hidden="1">{"toptrial",#N/A,TRUE,"toptrial";"adjustment",#N/A,TRUE,"toptrial";"voucher",#N/A,TRUE,"toptrial"}</definedName>
    <definedName name="fdadaf" hidden="1">{"toptrial",#N/A,TRUE,"toptrial";"adjustment",#N/A,TRUE,"toptrial";"voucher",#N/A,TRUE,"toptrial"}</definedName>
    <definedName name="fdaddsa" localSheetId="28" hidden="1">{"toptrial",#N/A,TRUE,"toptrial";"adjustment",#N/A,TRUE,"toptrial";"voucher",#N/A,TRUE,"toptrial"}</definedName>
    <definedName name="fdaddsa" hidden="1">{"toptrial",#N/A,TRUE,"toptrial";"adjustment",#N/A,TRUE,"toptrial";"voucher",#N/A,TRUE,"toptrial"}</definedName>
    <definedName name="fdaf" localSheetId="28" hidden="1">{"toptrial",#N/A,TRUE,"toptrial";"adjustment",#N/A,TRUE,"toptrial";"voucher",#N/A,TRUE,"toptrial"}</definedName>
    <definedName name="fdaf" hidden="1">{"toptrial",#N/A,TRUE,"toptrial";"adjustment",#N/A,TRUE,"toptrial";"voucher",#N/A,TRUE,"toptrial"}</definedName>
    <definedName name="fdafd" localSheetId="28" hidden="1">{"toptrial",#N/A,TRUE,"toptrial";"adjustment",#N/A,TRUE,"toptrial";"voucher",#N/A,TRUE,"toptrial"}</definedName>
    <definedName name="fdafd" hidden="1">{"toptrial",#N/A,TRUE,"toptrial";"adjustment",#N/A,TRUE,"toptrial";"voucher",#N/A,TRUE,"toptrial"}</definedName>
    <definedName name="FDFD" localSheetId="2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6" hidden="1">#REF!</definedName>
    <definedName name="fdgjsgfhjsrtarts" localSheetId="25" hidden="1">#REF!</definedName>
    <definedName name="fdgjsgfhjsrtarts" localSheetId="35" hidden="1">#REF!</definedName>
    <definedName name="fdgjsgfhjsrtarts" localSheetId="33" hidden="1">#REF!</definedName>
    <definedName name="fdgjsgfhjsrtarts" localSheetId="36" hidden="1">#REF!</definedName>
    <definedName name="fdgjsgfhjsrtarts" hidden="1">#REF!</definedName>
    <definedName name="fdhgfjhgjgh" localSheetId="26" hidden="1">#REF!</definedName>
    <definedName name="fdhgfjhgjgh" localSheetId="25" hidden="1">#REF!</definedName>
    <definedName name="fdhgfjhgjgh" localSheetId="35" hidden="1">#REF!</definedName>
    <definedName name="fdhgfjhgjgh" localSheetId="33" hidden="1">#REF!</definedName>
    <definedName name="fdhgfjhgjgh" localSheetId="36" hidden="1">#REF!</definedName>
    <definedName name="fdhgfjhgjgh" hidden="1">#REF!</definedName>
    <definedName name="FDI" localSheetId="26">#REF!</definedName>
    <definedName name="FDI" localSheetId="25">#REF!</definedName>
    <definedName name="FDI" localSheetId="35">#REF!</definedName>
    <definedName name="FDI" localSheetId="33">#REF!</definedName>
    <definedName name="FDI">#REF!</definedName>
    <definedName name="February" localSheetId="26">#REF!</definedName>
    <definedName name="February" localSheetId="25">#REF!</definedName>
    <definedName name="February" localSheetId="35">#REF!</definedName>
    <definedName name="February" localSheetId="33">#REF!</definedName>
    <definedName name="February">#REF!</definedName>
    <definedName name="fefefefefed" localSheetId="26" hidden="1">#REF!</definedName>
    <definedName name="fefefefefed" localSheetId="25" hidden="1">#REF!</definedName>
    <definedName name="fefefefefed" localSheetId="35" hidden="1">#REF!</definedName>
    <definedName name="fefefefefed" localSheetId="33" hidden="1">#REF!</definedName>
    <definedName name="fefefefefed" localSheetId="36" hidden="1">#REF!</definedName>
    <definedName name="fefefefefed" hidden="1">#REF!</definedName>
    <definedName name="ff" localSheetId="28" hidden="1">{#N/A,#N/A,FALSE,"资产负债表";#N/A,#N/A,FALSE,"资产负债表"}</definedName>
    <definedName name="ff" hidden="1">{#N/A,#N/A,FALSE,"资产负债表";#N/A,#N/A,FALSE,"资产负债表"}</definedName>
    <definedName name="fff" localSheetId="28" hidden="1">{"mgmt forecast",#N/A,FALSE,"Mgmt Forecast";"dcf table",#N/A,FALSE,"Mgmt Forecast";"sensitivity",#N/A,FALSE,"Mgmt Forecast";"table inputs",#N/A,FALSE,"Mgmt Forecast";"calculations",#N/A,FALSE,"Mgmt Forecast"}</definedName>
    <definedName name="fff" hidden="1">{"mgmt forecast",#N/A,FALSE,"Mgmt Forecast";"dcf table",#N/A,FALSE,"Mgmt Forecast";"sensitivity",#N/A,FALSE,"Mgmt Forecast";"table inputs",#N/A,FALSE,"Mgmt Forecast";"calculations",#N/A,FALSE,"Mgmt Forecast"}</definedName>
    <definedName name="fff_1" localSheetId="28"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localSheetId="28"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localSheetId="28" hidden="1">{#N/A,#N/A,FALSE,"ORIX CSC"}</definedName>
    <definedName name="fffffffffffffffg" hidden="1">{#N/A,#N/A,FALSE,"ORIX CSC"}</definedName>
    <definedName name="fghsfhvbxcc" localSheetId="26" hidden="1">#REF!</definedName>
    <definedName name="fghsfhvbxcc" localSheetId="25" hidden="1">#REF!</definedName>
    <definedName name="fghsfhvbxcc" localSheetId="35" hidden="1">#REF!</definedName>
    <definedName name="fghsfhvbxcc" localSheetId="33" hidden="1">#REF!</definedName>
    <definedName name="fghsfhvbxcc" localSheetId="36" hidden="1">#REF!</definedName>
    <definedName name="fghsfhvbxcc" hidden="1">#REF!</definedName>
    <definedName name="fgsfg" localSheetId="28" hidden="1">{"HOMEPAGE",#N/A,FALSE,"HOME";"Report1_Q1",#N/A,FALSE,"REPORT1"}</definedName>
    <definedName name="fgsfg" hidden="1">{"HOMEPAGE",#N/A,FALSE,"HOME";"Report1_Q1",#N/A,FALSE,"REPORT1"}</definedName>
    <definedName name="FiAcq" localSheetId="26">#REF!</definedName>
    <definedName name="FiAcq" localSheetId="25">#REF!</definedName>
    <definedName name="FiAcq" localSheetId="35">#REF!</definedName>
    <definedName name="FiAcq" localSheetId="33">#REF!</definedName>
    <definedName name="FiAcq">#REF!</definedName>
    <definedName name="FIMeXToEUR" localSheetId="28" hidden="1">1/EUReXToFIM</definedName>
    <definedName name="FIMeXToEUR" localSheetId="26" hidden="1">1/EUReXToFIM</definedName>
    <definedName name="FIMeXToEUR" localSheetId="25" hidden="1">1/EUReXToFIM</definedName>
    <definedName name="FIMeXToEUR" localSheetId="35" hidden="1">1/EUReXToFIM</definedName>
    <definedName name="FIMeXToEUR" localSheetId="33" hidden="1">1/EUReXToFIM</definedName>
    <definedName name="FIMeXToEUR" localSheetId="36" hidden="1">1/EUReXToFIM</definedName>
    <definedName name="FIMeXToEUR" hidden="1">1/EUReXToFIM</definedName>
    <definedName name="FINAL_FS">#N/A</definedName>
    <definedName name="finalReport">#N/A</definedName>
    <definedName name="FirstYear" localSheetId="26">#REF!</definedName>
    <definedName name="FirstYear" localSheetId="25">#REF!</definedName>
    <definedName name="FirstYear" localSheetId="35">#REF!</definedName>
    <definedName name="FirstYear" localSheetId="33">#REF!</definedName>
    <definedName name="FirstYear" localSheetId="36">#REF!</definedName>
    <definedName name="FirstYear">#REF!</definedName>
    <definedName name="FK_YSCBBH_2">#N/A</definedName>
    <definedName name="FK_YSCBBH_3">#N/A</definedName>
    <definedName name="FK_YSCBBH_5">#N/A</definedName>
    <definedName name="ForecastDate" localSheetId="26">#REF!</definedName>
    <definedName name="ForecastDate" localSheetId="25">#REF!</definedName>
    <definedName name="ForecastDate" localSheetId="35">#REF!</definedName>
    <definedName name="ForecastDate" localSheetId="33">#REF!</definedName>
    <definedName name="ForecastDate" localSheetId="36">#REF!</definedName>
    <definedName name="ForecastDate">#REF!</definedName>
    <definedName name="FQ" localSheetId="26">#REF!</definedName>
    <definedName name="FQ" localSheetId="25">#REF!</definedName>
    <definedName name="FQ" localSheetId="35">#REF!</definedName>
    <definedName name="FQ" localSheetId="33">#REF!</definedName>
    <definedName name="FQ" localSheetId="36">#REF!</definedName>
    <definedName name="FQ">#REF!</definedName>
    <definedName name="FqOutSumSpecialColCount" localSheetId="26">#REF!</definedName>
    <definedName name="FqOutSumSpecialColCount" localSheetId="25">#REF!</definedName>
    <definedName name="FqOutSumSpecialColCount" localSheetId="35">#REF!</definedName>
    <definedName name="FqOutSumSpecialColCount" localSheetId="33">#REF!</definedName>
    <definedName name="FqOutSumSpecialColCount" localSheetId="36">#REF!</definedName>
    <definedName name="FqOutSumSpecialColCount">#REF!</definedName>
    <definedName name="FRCST" localSheetId="26">#REF!</definedName>
    <definedName name="FRCST" localSheetId="25">#REF!</definedName>
    <definedName name="FRCST" localSheetId="35">#REF!</definedName>
    <definedName name="FRCST" localSheetId="33">#REF!</definedName>
    <definedName name="FRCST">#REF!</definedName>
    <definedName name="FRCST1" localSheetId="26">#REF!</definedName>
    <definedName name="FRCST1" localSheetId="25">#REF!</definedName>
    <definedName name="FRCST1" localSheetId="35">#REF!</definedName>
    <definedName name="FRCST1" localSheetId="33">#REF!</definedName>
    <definedName name="FRCST1">#REF!</definedName>
    <definedName name="FRCST2" localSheetId="26">#REF!</definedName>
    <definedName name="FRCST2" localSheetId="25">#REF!</definedName>
    <definedName name="FRCST2" localSheetId="35">#REF!</definedName>
    <definedName name="FRCST2" localSheetId="33">#REF!</definedName>
    <definedName name="FRCST2">#REF!</definedName>
    <definedName name="FRCST3" localSheetId="26">#REF!</definedName>
    <definedName name="FRCST3" localSheetId="25">#REF!</definedName>
    <definedName name="FRCST3" localSheetId="35">#REF!</definedName>
    <definedName name="FRCST3" localSheetId="33">#REF!</definedName>
    <definedName name="FRCST3">#REF!</definedName>
    <definedName name="FRCST4" localSheetId="26">#REF!</definedName>
    <definedName name="FRCST4" localSheetId="25">#REF!</definedName>
    <definedName name="FRCST4" localSheetId="35">#REF!</definedName>
    <definedName name="FRCST4" localSheetId="33">#REF!</definedName>
    <definedName name="FRCST4">#REF!</definedName>
    <definedName name="FRCST5" localSheetId="26">#REF!</definedName>
    <definedName name="FRCST5" localSheetId="25">#REF!</definedName>
    <definedName name="FRCST5" localSheetId="35">#REF!</definedName>
    <definedName name="FRCST5" localSheetId="33">#REF!</definedName>
    <definedName name="FRCST5">#REF!</definedName>
    <definedName name="FRFeXToEUR" localSheetId="28" hidden="1">1/EUReXToFRF</definedName>
    <definedName name="FRFeXToEUR" localSheetId="26" hidden="1">1/EUReXToFRF</definedName>
    <definedName name="FRFeXToEUR" localSheetId="25" hidden="1">1/EUReXToFRF</definedName>
    <definedName name="FRFeXToEUR" localSheetId="35" hidden="1">1/EUReXToFRF</definedName>
    <definedName name="FRFeXToEUR" localSheetId="33" hidden="1">1/EUReXToFRF</definedName>
    <definedName name="FRFeXToEUR" localSheetId="36" hidden="1">1/EUReXToFRF</definedName>
    <definedName name="FRFeXToEUR" hidden="1">1/EUReXToFRF</definedName>
    <definedName name="FRSname" localSheetId="26">#REF!</definedName>
    <definedName name="FRSname" localSheetId="25">#REF!</definedName>
    <definedName name="FRSname" localSheetId="35">#REF!</definedName>
    <definedName name="FRSname" localSheetId="33">#REF!</definedName>
    <definedName name="FRSname">#REF!</definedName>
    <definedName name="FRSnum" localSheetId="26">#REF!</definedName>
    <definedName name="FRSnum" localSheetId="25">#REF!</definedName>
    <definedName name="FRSnum" localSheetId="35">#REF!</definedName>
    <definedName name="FRSnum" localSheetId="33">#REF!</definedName>
    <definedName name="FRSnum">#REF!</definedName>
    <definedName name="fsdsfafd" localSheetId="28" hidden="1">{"CSheet",#N/A,FALSE,"C";"SmCap",#N/A,FALSE,"VAL1";"GulfCoast",#N/A,FALSE,"VAL1";"nav",#N/A,FALSE,"NAV";"Summary",#N/A,FALSE,"NAV"}</definedName>
    <definedName name="fsdsfafd" hidden="1">{"CSheet",#N/A,FALSE,"C";"SmCap",#N/A,FALSE,"VAL1";"GulfCoast",#N/A,FALSE,"VAL1";"nav",#N/A,FALSE,"NAV";"Summary",#N/A,FALSE,"NAV"}</definedName>
    <definedName name="fsdsfafd_1" localSheetId="28" hidden="1">{"CSheet",#N/A,FALSE,"C";"SmCap",#N/A,FALSE,"VAL1";"GulfCoast",#N/A,FALSE,"VAL1";"nav",#N/A,FALSE,"NAV";"Summary",#N/A,FALSE,"NAV"}</definedName>
    <definedName name="fsdsfafd_1" hidden="1">{"CSheet",#N/A,FALSE,"C";"SmCap",#N/A,FALSE,"VAL1";"GulfCoast",#N/A,FALSE,"VAL1";"nav",#N/A,FALSE,"NAV";"Summary",#N/A,FALSE,"NAV"}</definedName>
    <definedName name="fsdsfafd_1_1" localSheetId="28" hidden="1">{"CSheet",#N/A,FALSE,"C";"SmCap",#N/A,FALSE,"VAL1";"GulfCoast",#N/A,FALSE,"VAL1";"nav",#N/A,FALSE,"NAV";"Summary",#N/A,FALSE,"NAV"}</definedName>
    <definedName name="fsdsfafd_1_1" hidden="1">{"CSheet",#N/A,FALSE,"C";"SmCap",#N/A,FALSE,"VAL1";"GulfCoast",#N/A,FALSE,"VAL1";"nav",#N/A,FALSE,"NAV";"Summary",#N/A,FALSE,"NAV"}</definedName>
    <definedName name="FunBotTag" localSheetId="26">#REF!</definedName>
    <definedName name="FunBotTag" localSheetId="25">#REF!</definedName>
    <definedName name="FunBotTag" localSheetId="35">#REF!</definedName>
    <definedName name="FunBotTag" localSheetId="33">#REF!</definedName>
    <definedName name="FunBotTag" localSheetId="36">#REF!</definedName>
    <definedName name="FunBotTag">#REF!</definedName>
    <definedName name="FUND" localSheetId="26">#REF!</definedName>
    <definedName name="FUND" localSheetId="25">#REF!</definedName>
    <definedName name="FUND" localSheetId="35">#REF!</definedName>
    <definedName name="FUND" localSheetId="33">#REF!</definedName>
    <definedName name="FUND">#REF!</definedName>
    <definedName name="FunnelBottomWidth" localSheetId="26">#REF!</definedName>
    <definedName name="FunnelBottomWidth" localSheetId="25">#REF!</definedName>
    <definedName name="FunnelBottomWidth" localSheetId="35">#REF!</definedName>
    <definedName name="FunnelBottomWidth" localSheetId="33">#REF!</definedName>
    <definedName name="FunnelBottomWidth" localSheetId="36">#REF!</definedName>
    <definedName name="FunnelBottomWidth">#REF!</definedName>
    <definedName name="FunnelHeight" localSheetId="26">#REF!</definedName>
    <definedName name="FunnelHeight" localSheetId="25">#REF!</definedName>
    <definedName name="FunnelHeight" localSheetId="35">#REF!</definedName>
    <definedName name="FunnelHeight" localSheetId="33">#REF!</definedName>
    <definedName name="FunnelHeight" localSheetId="36">#REF!</definedName>
    <definedName name="FunnelHeight">#REF!</definedName>
    <definedName name="FunnelLeft" localSheetId="26">#REF!</definedName>
    <definedName name="FunnelLeft" localSheetId="25">#REF!</definedName>
    <definedName name="FunnelLeft" localSheetId="35">#REF!</definedName>
    <definedName name="FunnelLeft" localSheetId="33">#REF!</definedName>
    <definedName name="FunnelLeft" localSheetId="36">#REF!</definedName>
    <definedName name="FunnelLeft">#REF!</definedName>
    <definedName name="FunnelOvalRatio" localSheetId="26">#REF!</definedName>
    <definedName name="FunnelOvalRatio" localSheetId="25">#REF!</definedName>
    <definedName name="FunnelOvalRatio" localSheetId="35">#REF!</definedName>
    <definedName name="FunnelOvalRatio" localSheetId="33">#REF!</definedName>
    <definedName name="FunnelOvalRatio" localSheetId="36">#REF!</definedName>
    <definedName name="FunnelOvalRatio">#REF!</definedName>
    <definedName name="FunnelReqTotal" localSheetId="26">#REF!</definedName>
    <definedName name="FunnelReqTotal" localSheetId="25">#REF!</definedName>
    <definedName name="FunnelReqTotal" localSheetId="35">#REF!</definedName>
    <definedName name="FunnelReqTotal" localSheetId="33">#REF!</definedName>
    <definedName name="FunnelReqTotal" localSheetId="36">#REF!</definedName>
    <definedName name="FunnelReqTotal">#REF!</definedName>
    <definedName name="FunnelRequirement" localSheetId="26">#REF!</definedName>
    <definedName name="FunnelRequirement" localSheetId="25">#REF!</definedName>
    <definedName name="FunnelRequirement" localSheetId="35">#REF!</definedName>
    <definedName name="FunnelRequirement" localSheetId="33">#REF!</definedName>
    <definedName name="FunnelRequirement" localSheetId="36">#REF!</definedName>
    <definedName name="FunnelRequirement">#REF!</definedName>
    <definedName name="FunnelTop" localSheetId="26">#REF!</definedName>
    <definedName name="FunnelTop" localSheetId="25">#REF!</definedName>
    <definedName name="FunnelTop" localSheetId="35">#REF!</definedName>
    <definedName name="FunnelTop" localSheetId="33">#REF!</definedName>
    <definedName name="FunnelTop" localSheetId="36">#REF!</definedName>
    <definedName name="FunnelTop">#REF!</definedName>
    <definedName name="FunnelTopWidth" localSheetId="26">#REF!</definedName>
    <definedName name="FunnelTopWidth" localSheetId="25">#REF!</definedName>
    <definedName name="FunnelTopWidth" localSheetId="35">#REF!</definedName>
    <definedName name="FunnelTopWidth" localSheetId="33">#REF!</definedName>
    <definedName name="FunnelTopWidth" localSheetId="36">#REF!</definedName>
    <definedName name="FunnelTopWidth">#REF!</definedName>
    <definedName name="FunnelTotalDetail" localSheetId="26">#REF!</definedName>
    <definedName name="FunnelTotalDetail" localSheetId="25">#REF!</definedName>
    <definedName name="FunnelTotalDetail" localSheetId="35">#REF!</definedName>
    <definedName name="FunnelTotalDetail" localSheetId="33">#REF!</definedName>
    <definedName name="FunnelTotalDetail" localSheetId="36">#REF!</definedName>
    <definedName name="FunnelTotalDetail">#REF!</definedName>
    <definedName name="FunnelZoom" localSheetId="26">#REF!</definedName>
    <definedName name="FunnelZoom" localSheetId="25">#REF!</definedName>
    <definedName name="FunnelZoom" localSheetId="35">#REF!</definedName>
    <definedName name="FunnelZoom" localSheetId="33">#REF!</definedName>
    <definedName name="FunnelZoom" localSheetId="36">#REF!</definedName>
    <definedName name="FunnelZoom">#REF!</definedName>
    <definedName name="FunPctFontSize" localSheetId="26">#REF!</definedName>
    <definedName name="FunPctFontSize" localSheetId="25">#REF!</definedName>
    <definedName name="FunPctFontSize" localSheetId="35">#REF!</definedName>
    <definedName name="FunPctFontSize" localSheetId="33">#REF!</definedName>
    <definedName name="FunPctFontSize" localSheetId="36">#REF!</definedName>
    <definedName name="FunPctFontSize">#REF!</definedName>
    <definedName name="FunReqTag" localSheetId="26">#REF!</definedName>
    <definedName name="FunReqTag" localSheetId="25">#REF!</definedName>
    <definedName name="FunReqTag" localSheetId="35">#REF!</definedName>
    <definedName name="FunReqTag" localSheetId="33">#REF!</definedName>
    <definedName name="FunReqTag" localSheetId="36">#REF!</definedName>
    <definedName name="FunReqTag">#REF!</definedName>
    <definedName name="FyFunnelSpecialColCount" localSheetId="26">#REF!</definedName>
    <definedName name="FyFunnelSpecialColCount" localSheetId="25">#REF!</definedName>
    <definedName name="FyFunnelSpecialColCount" localSheetId="35">#REF!</definedName>
    <definedName name="FyFunnelSpecialColCount" localSheetId="33">#REF!</definedName>
    <definedName name="FyFunnelSpecialColCount" localSheetId="36">#REF!</definedName>
    <definedName name="FyFunnelSpecialColCount">#REF!</definedName>
    <definedName name="G" localSheetId="26">#REF!</definedName>
    <definedName name="G" localSheetId="25">#REF!</definedName>
    <definedName name="G" localSheetId="35">#REF!</definedName>
    <definedName name="G" localSheetId="33">#REF!</definedName>
    <definedName name="G">#REF!</definedName>
    <definedName name="G_F">#N/A</definedName>
    <definedName name="G0" localSheetId="26">#REF!</definedName>
    <definedName name="G0" localSheetId="25">#REF!</definedName>
    <definedName name="G0" localSheetId="35">#REF!</definedName>
    <definedName name="G0" localSheetId="33">#REF!</definedName>
    <definedName name="G0">#REF!</definedName>
    <definedName name="gagad" localSheetId="28" hidden="1">{"toptrial",#N/A,TRUE,"toptrial";"adjustment",#N/A,TRUE,"toptrial";"voucher",#N/A,TRUE,"toptrial"}</definedName>
    <definedName name="gagad" hidden="1">{"toptrial",#N/A,TRUE,"toptrial";"adjustment",#N/A,TRUE,"toptrial";"voucher",#N/A,TRUE,"toptrial"}</definedName>
    <definedName name="gap" localSheetId="26">#REF!</definedName>
    <definedName name="gap" localSheetId="25">#REF!</definedName>
    <definedName name="gap" localSheetId="35">#REF!</definedName>
    <definedName name="gap" localSheetId="33">#REF!</definedName>
    <definedName name="gap">#REF!</definedName>
    <definedName name="gbgggg" localSheetId="26" hidden="1">#REF!</definedName>
    <definedName name="gbgggg" localSheetId="25" hidden="1">#REF!</definedName>
    <definedName name="gbgggg" localSheetId="35" hidden="1">#REF!</definedName>
    <definedName name="gbgggg" localSheetId="33" hidden="1">#REF!</definedName>
    <definedName name="gbgggg" localSheetId="36" hidden="1">#REF!</definedName>
    <definedName name="gbgggg" hidden="1">#REF!</definedName>
    <definedName name="gdaad" localSheetId="28" hidden="1">{"toptrial",#N/A,TRUE,"toptrial";"adjustment",#N/A,TRUE,"toptrial";"voucher",#N/A,TRUE,"toptrial"}</definedName>
    <definedName name="gdaad" hidden="1">{"toptrial",#N/A,TRUE,"toptrial";"adjustment",#N/A,TRUE,"toptrial";"voucher",#N/A,TRUE,"toptrial"}</definedName>
    <definedName name="gdad" localSheetId="28" hidden="1">{"toptrial",#N/A,TRUE,"toptrial";"adjustment",#N/A,TRUE,"toptrial";"voucher",#N/A,TRUE,"toptrial"}</definedName>
    <definedName name="gdad" hidden="1">{"toptrial",#N/A,TRUE,"toptrial";"adjustment",#N/A,TRUE,"toptrial";"voucher",#N/A,TRUE,"toptrial"}</definedName>
    <definedName name="gdagad" localSheetId="28" hidden="1">{"toptrial",#N/A,TRUE,"toptrial";"adjustment",#N/A,TRUE,"toptrial";"voucher",#N/A,TRUE,"toptrial"}</definedName>
    <definedName name="gdagad" hidden="1">{"toptrial",#N/A,TRUE,"toptrial";"adjustment",#N/A,TRUE,"toptrial";"voucher",#N/A,TRUE,"toptrial"}</definedName>
    <definedName name="gdagds" localSheetId="28" hidden="1">{"toptrial",#N/A,TRUE,"toptrial";"adjustment",#N/A,TRUE,"toptrial";"voucher",#N/A,TRUE,"toptrial"}</definedName>
    <definedName name="gdagds" hidden="1">{"toptrial",#N/A,TRUE,"toptrial";"adjustment",#N/A,TRUE,"toptrial";"voucher",#N/A,TRUE,"toptrial"}</definedName>
    <definedName name="Gearing" localSheetId="26">#REF!</definedName>
    <definedName name="Gearing" localSheetId="25">#REF!</definedName>
    <definedName name="Gearing" localSheetId="35">#REF!</definedName>
    <definedName name="Gearing" localSheetId="33">#REF!</definedName>
    <definedName name="Gearing">#REF!</definedName>
    <definedName name="Gearinglevel" localSheetId="26">#REF!</definedName>
    <definedName name="Gearinglevel" localSheetId="25">#REF!</definedName>
    <definedName name="Gearinglevel" localSheetId="35">#REF!</definedName>
    <definedName name="Gearinglevel" localSheetId="33">#REF!</definedName>
    <definedName name="Gearinglevel">#REF!</definedName>
    <definedName name="general" localSheetId="26" hidden="1">#REF!</definedName>
    <definedName name="general" localSheetId="25" hidden="1">#REF!</definedName>
    <definedName name="general" localSheetId="35" hidden="1">#REF!</definedName>
    <definedName name="general" localSheetId="33" hidden="1">#REF!</definedName>
    <definedName name="general" localSheetId="36" hidden="1">#REF!</definedName>
    <definedName name="general" hidden="1">#REF!</definedName>
    <definedName name="ggggggf" localSheetId="28" hidden="1">{"orixcsc",#N/A,FALSE,"ORIX CSC";"orixcsc2",#N/A,FALSE,"ORIX CSC"}</definedName>
    <definedName name="ggggggf" hidden="1">{"orixcsc",#N/A,FALSE,"ORIX CSC";"orixcsc2",#N/A,FALSE,"ORIX CSC"}</definedName>
    <definedName name="gggggggggggg" localSheetId="28" hidden="1">{"coverall",#N/A,FALSE,"Definitions";"cover1",#N/A,FALSE,"Definitions";"cover2",#N/A,FALSE,"Definitions";"cover3",#N/A,FALSE,"Definitions";"cover4",#N/A,FALSE,"Definitions";"cover5",#N/A,FALSE,"Definitions";"blank",#N/A,FALSE,"Definitions"}</definedName>
    <definedName name="gggggggggggg" hidden="1">{"coverall",#N/A,FALSE,"Definitions";"cover1",#N/A,FALSE,"Definitions";"cover2",#N/A,FALSE,"Definitions";"cover3",#N/A,FALSE,"Definitions";"cover4",#N/A,FALSE,"Definitions";"cover5",#N/A,FALSE,"Definitions";"blank",#N/A,FALSE,"Definitions"}</definedName>
    <definedName name="ghdgrht" localSheetId="26">#REF!</definedName>
    <definedName name="ghdgrht" localSheetId="25">#REF!</definedName>
    <definedName name="ghdgrht" localSheetId="35">#REF!</definedName>
    <definedName name="ghdgrht" localSheetId="33">#REF!</definedName>
    <definedName name="ghdgrht">#REF!</definedName>
    <definedName name="ghhghd" localSheetId="28" hidden="1">{"mgmt forecast",#N/A,FALSE,"Mgmt Forecast";"dcf table",#N/A,FALSE,"Mgmt Forecast";"sensitivity",#N/A,FALSE,"Mgmt Forecast";"table inputs",#N/A,FALSE,"Mgmt Forecast";"calculations",#N/A,FALSE,"Mgmt Forecast"}</definedName>
    <definedName name="ghhghd" hidden="1">{"mgmt forecast",#N/A,FALSE,"Mgmt Forecast";"dcf table",#N/A,FALSE,"Mgmt Forecast";"sensitivity",#N/A,FALSE,"Mgmt Forecast";"table inputs",#N/A,FALSE,"Mgmt Forecast";"calculations",#N/A,FALSE,"Mgmt Forecast"}</definedName>
    <definedName name="ghhghd_1" localSheetId="28"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localSheetId="28"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localSheetId="28" hidden="1">{#N/A,#N/A,FALSE,"ORIX CSC"}</definedName>
    <definedName name="ghhhg" hidden="1">{#N/A,#N/A,FALSE,"ORIX CSC"}</definedName>
    <definedName name="ghhhg_1" localSheetId="28" hidden="1">{#N/A,#N/A,FALSE,"ORIX CSC"}</definedName>
    <definedName name="ghhhg_1" hidden="1">{#N/A,#N/A,FALSE,"ORIX CSC"}</definedName>
    <definedName name="ghhhg_1_1" localSheetId="28" hidden="1">{#N/A,#N/A,FALSE,"ORIX CSC"}</definedName>
    <definedName name="ghhhg_1_1" hidden="1">{#N/A,#N/A,FALSE,"ORIX CSC"}</definedName>
    <definedName name="GNE" localSheetId="26">#REF!</definedName>
    <definedName name="GNE" localSheetId="25">#REF!</definedName>
    <definedName name="GNE" localSheetId="35">#REF!</definedName>
    <definedName name="GNE" localSheetId="33">#REF!</definedName>
    <definedName name="GNE" localSheetId="36">#REF!</definedName>
    <definedName name="GNE">#REF!</definedName>
    <definedName name="GO" localSheetId="26">#REF!</definedName>
    <definedName name="GO" localSheetId="25">#REF!</definedName>
    <definedName name="GO" localSheetId="35">#REF!</definedName>
    <definedName name="GO" localSheetId="33">#REF!</definedName>
    <definedName name="GO">#REF!</definedName>
    <definedName name="gooch" localSheetId="28" hidden="1">{#N/A,#N/A,FALSE,"Projections";#N/A,#N/A,FALSE,"Multiples Valuation";#N/A,#N/A,FALSE,"LBO";#N/A,#N/A,FALSE,"Multiples_Sensitivity";#N/A,#N/A,FALSE,"Summary"}</definedName>
    <definedName name="gooch" hidden="1">{#N/A,#N/A,FALSE,"Projections";#N/A,#N/A,FALSE,"Multiples Valuation";#N/A,#N/A,FALSE,"LBO";#N/A,#N/A,FALSE,"Multiples_Sensitivity";#N/A,#N/A,FALSE,"Summary"}</definedName>
    <definedName name="gooch_1" localSheetId="28"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localSheetId="28"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6">#REF!</definedName>
    <definedName name="GRAPH1" localSheetId="25">#REF!</definedName>
    <definedName name="GRAPH1" localSheetId="35">#REF!</definedName>
    <definedName name="GRAPH1" localSheetId="33">#REF!</definedName>
    <definedName name="GRAPH1">#REF!</definedName>
    <definedName name="GRAPH2" localSheetId="26">#REF!</definedName>
    <definedName name="GRAPH2" localSheetId="25">#REF!</definedName>
    <definedName name="GRAPH2" localSheetId="35">#REF!</definedName>
    <definedName name="GRAPH2" localSheetId="33">#REF!</definedName>
    <definedName name="GRAPH2">#REF!</definedName>
    <definedName name="GRAPH3" localSheetId="26">#REF!</definedName>
    <definedName name="GRAPH3" localSheetId="25">#REF!</definedName>
    <definedName name="GRAPH3" localSheetId="35">#REF!</definedName>
    <definedName name="GRAPH3" localSheetId="33">#REF!</definedName>
    <definedName name="GRAPH3">#REF!</definedName>
    <definedName name="GRAPH4" localSheetId="26">#REF!</definedName>
    <definedName name="GRAPH4" localSheetId="25">#REF!</definedName>
    <definedName name="GRAPH4" localSheetId="35">#REF!</definedName>
    <definedName name="GRAPH4" localSheetId="33">#REF!</definedName>
    <definedName name="GRAPH4">#REF!</definedName>
    <definedName name="GRAPH5" localSheetId="26">#REF!</definedName>
    <definedName name="GRAPH5" localSheetId="25">#REF!</definedName>
    <definedName name="GRAPH5" localSheetId="35">#REF!</definedName>
    <definedName name="GRAPH5" localSheetId="33">#REF!</definedName>
    <definedName name="GRAPH5">#REF!</definedName>
    <definedName name="GRAPH6" localSheetId="26">#REF!</definedName>
    <definedName name="GRAPH6" localSheetId="25">#REF!</definedName>
    <definedName name="GRAPH6" localSheetId="35">#REF!</definedName>
    <definedName name="GRAPH6" localSheetId="33">#REF!</definedName>
    <definedName name="GRAPH6">#REF!</definedName>
    <definedName name="GRAPH7" localSheetId="26">#REF!</definedName>
    <definedName name="GRAPH7" localSheetId="25">#REF!</definedName>
    <definedName name="GRAPH7" localSheetId="35">#REF!</definedName>
    <definedName name="GRAPH7" localSheetId="33">#REF!</definedName>
    <definedName name="GRAPH7">#REF!</definedName>
    <definedName name="GRAPH8" localSheetId="26">#REF!</definedName>
    <definedName name="GRAPH8" localSheetId="25">#REF!</definedName>
    <definedName name="GRAPH8" localSheetId="35">#REF!</definedName>
    <definedName name="GRAPH8" localSheetId="33">#REF!</definedName>
    <definedName name="GRAPH8">#REF!</definedName>
    <definedName name="GrossAreasqm" localSheetId="26">#REF!</definedName>
    <definedName name="GrossAreasqm" localSheetId="25">#REF!</definedName>
    <definedName name="GrossAreasqm" localSheetId="35">#REF!</definedName>
    <definedName name="GrossAreasqm" localSheetId="33">#REF!</definedName>
    <definedName name="GrossAreasqm">#REF!</definedName>
    <definedName name="growth" localSheetId="26">#REF!</definedName>
    <definedName name="growth" localSheetId="25">#REF!</definedName>
    <definedName name="growth" localSheetId="35">#REF!</definedName>
    <definedName name="growth" localSheetId="33">#REF!</definedName>
    <definedName name="growth">#REF!</definedName>
    <definedName name="GrowthRateRange" localSheetId="26">#REF!</definedName>
    <definedName name="GrowthRateRange" localSheetId="25">#REF!</definedName>
    <definedName name="GrowthRateRange" localSheetId="35">#REF!</definedName>
    <definedName name="GrowthRateRange" localSheetId="33">#REF!</definedName>
    <definedName name="GrowthRateRange">#REF!</definedName>
    <definedName name="gsagfdg" localSheetId="28" hidden="1">{"toptrial",#N/A,TRUE,"toptrial";"adjustment",#N/A,TRUE,"toptrial";"voucher",#N/A,TRUE,"toptrial"}</definedName>
    <definedName name="gsagfdg" hidden="1">{"toptrial",#N/A,TRUE,"toptrial";"adjustment",#N/A,TRUE,"toptrial";"voucher",#N/A,TRUE,"toptrial"}</definedName>
    <definedName name="GSEstAnnlNOI" localSheetId="26">#REF!</definedName>
    <definedName name="GSEstAnnlNOI" localSheetId="25">#REF!</definedName>
    <definedName name="GSEstAnnlNOI" localSheetId="35">#REF!</definedName>
    <definedName name="GSEstAnnlNOI" localSheetId="33">#REF!</definedName>
    <definedName name="GSEstAnnlNOI">#REF!</definedName>
    <definedName name="gtgtg" localSheetId="26" hidden="1">#REF!</definedName>
    <definedName name="gtgtg" localSheetId="25" hidden="1">#REF!</definedName>
    <definedName name="gtgtg" localSheetId="35" hidden="1">#REF!</definedName>
    <definedName name="gtgtg" localSheetId="33" hidden="1">#REF!</definedName>
    <definedName name="gtgtg" localSheetId="36" hidden="1">#REF!</definedName>
    <definedName name="gtgtg" hidden="1">#REF!</definedName>
    <definedName name="gtttttt" localSheetId="26" hidden="1">#REF!</definedName>
    <definedName name="gtttttt" localSheetId="25" hidden="1">#REF!</definedName>
    <definedName name="gtttttt" localSheetId="35" hidden="1">#REF!</definedName>
    <definedName name="gtttttt" localSheetId="33" hidden="1">#REF!</definedName>
    <definedName name="gtttttt" localSheetId="36" hidden="1">#REF!</definedName>
    <definedName name="gtttttt" hidden="1">#REF!</definedName>
    <definedName name="Guangzhou" localSheetId="26">#REF!</definedName>
    <definedName name="Guangzhou" localSheetId="25">#REF!</definedName>
    <definedName name="Guangzhou" localSheetId="35">#REF!</definedName>
    <definedName name="Guangzhou" localSheetId="33">#REF!</definedName>
    <definedName name="Guangzhou">#REF!</definedName>
    <definedName name="h" localSheetId="28" hidden="1">{"summary1",#N/A,FALSE,"Summary of Values";"summary2",#N/A,FALSE,"Summary of Values";"weighted average returns",#N/A,FALSE,"WACC and WARA";"fixed asset detail",#N/A,FALSE,"Fixed Asset Detail"}</definedName>
    <definedName name="h" hidden="1">{"summary1",#N/A,FALSE,"Summary of Values";"summary2",#N/A,FALSE,"Summary of Values";"weighted average returns",#N/A,FALSE,"WACC and WARA";"fixed asset detail",#N/A,FALSE,"Fixed Asset Detail"}</definedName>
    <definedName name="h_1" localSheetId="28"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localSheetId="28"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localSheetId="28" hidden="1">{#N/A,#N/A,FALSE,"资产负债表";#N/A,#N/A,FALSE,"资产负债表"}</definedName>
    <definedName name="hadiah" hidden="1">{#N/A,#N/A,FALSE,"资产负债表";#N/A,#N/A,FALSE,"资产负债表"}</definedName>
    <definedName name="hahah" localSheetId="26">#REF!</definedName>
    <definedName name="hahah" localSheetId="25">#REF!</definedName>
    <definedName name="hahah" localSheetId="35">#REF!</definedName>
    <definedName name="hahah" localSheetId="33">#REF!</definedName>
    <definedName name="hahah">#REF!</definedName>
    <definedName name="Header_FMA" localSheetId="26">#REF!</definedName>
    <definedName name="Header_FMA" localSheetId="25">#REF!</definedName>
    <definedName name="Header_FMA" localSheetId="35">#REF!</definedName>
    <definedName name="Header_FMA" localSheetId="33">#REF!</definedName>
    <definedName name="Header_FMA" localSheetId="36">#REF!</definedName>
    <definedName name="Header_FMA">#REF!</definedName>
    <definedName name="Header_FOPDetail" localSheetId="26">#REF!</definedName>
    <definedName name="Header_FOPDetail" localSheetId="25">#REF!</definedName>
    <definedName name="Header_FOPDetail" localSheetId="35">#REF!</definedName>
    <definedName name="Header_FOPDetail" localSheetId="33">#REF!</definedName>
    <definedName name="Header_FOPDetail" localSheetId="36">#REF!</definedName>
    <definedName name="Header_FOPDetail">#REF!</definedName>
    <definedName name="Header_FOPStatus" localSheetId="26">#REF!</definedName>
    <definedName name="Header_FOPStatus" localSheetId="25">#REF!</definedName>
    <definedName name="Header_FOPStatus" localSheetId="35">#REF!</definedName>
    <definedName name="Header_FOPStatus" localSheetId="33">#REF!</definedName>
    <definedName name="Header_FOPStatus" localSheetId="36">#REF!</definedName>
    <definedName name="Header_FOPStatus">#REF!</definedName>
    <definedName name="Header_FOSOppty" localSheetId="26">#REF!</definedName>
    <definedName name="Header_FOSOppty" localSheetId="25">#REF!</definedName>
    <definedName name="Header_FOSOppty" localSheetId="35">#REF!</definedName>
    <definedName name="Header_FOSOppty" localSheetId="33">#REF!</definedName>
    <definedName name="Header_FOSOppty" localSheetId="36">#REF!</definedName>
    <definedName name="Header_FOSOppty">#REF!</definedName>
    <definedName name="Header_FOSSalesRep" localSheetId="26">#REF!</definedName>
    <definedName name="Header_FOSSalesRep" localSheetId="25">#REF!</definedName>
    <definedName name="Header_FOSSalesRep" localSheetId="35">#REF!</definedName>
    <definedName name="Header_FOSSalesRep" localSheetId="33">#REF!</definedName>
    <definedName name="Header_FOSSalesRep" localSheetId="36">#REF!</definedName>
    <definedName name="Header_FOSSalesRep">#REF!</definedName>
    <definedName name="Header_FQBacklogFunnel" localSheetId="26">#REF!</definedName>
    <definedName name="Header_FQBacklogFunnel" localSheetId="25">#REF!</definedName>
    <definedName name="Header_FQBacklogFunnel" localSheetId="35">#REF!</definedName>
    <definedName name="Header_FQBacklogFunnel" localSheetId="33">#REF!</definedName>
    <definedName name="Header_FQBacklogFunnel" localSheetId="36">#REF!</definedName>
    <definedName name="Header_FQBacklogFunnel">#REF!</definedName>
    <definedName name="Header_FqFunnel" localSheetId="26">#REF!</definedName>
    <definedName name="Header_FqFunnel" localSheetId="25">#REF!</definedName>
    <definedName name="Header_FqFunnel" localSheetId="35">#REF!</definedName>
    <definedName name="Header_FqFunnel" localSheetId="33">#REF!</definedName>
    <definedName name="Header_FqFunnel" localSheetId="36">#REF!</definedName>
    <definedName name="Header_FqFunnel">#REF!</definedName>
    <definedName name="Header_FqOutCWV" localSheetId="26">#REF!</definedName>
    <definedName name="Header_FqOutCWV" localSheetId="25">#REF!</definedName>
    <definedName name="Header_FqOutCWV" localSheetId="35">#REF!</definedName>
    <definedName name="Header_FqOutCWV" localSheetId="33">#REF!</definedName>
    <definedName name="Header_FqOutCWV" localSheetId="36">#REF!</definedName>
    <definedName name="Header_FqOutCWV">#REF!</definedName>
    <definedName name="Header_FqOutSum" localSheetId="26">#REF!</definedName>
    <definedName name="Header_FqOutSum" localSheetId="25">#REF!</definedName>
    <definedName name="Header_FqOutSum" localSheetId="35">#REF!</definedName>
    <definedName name="Header_FqOutSum" localSheetId="33">#REF!</definedName>
    <definedName name="Header_FqOutSum" localSheetId="36">#REF!</definedName>
    <definedName name="Header_FqOutSum">#REF!</definedName>
    <definedName name="Header_FunnelDetail" localSheetId="26">#REF!</definedName>
    <definedName name="Header_FunnelDetail" localSheetId="25">#REF!</definedName>
    <definedName name="Header_FunnelDetail" localSheetId="35">#REF!</definedName>
    <definedName name="Header_FunnelDetail" localSheetId="33">#REF!</definedName>
    <definedName name="Header_FunnelDetail" localSheetId="36">#REF!</definedName>
    <definedName name="Header_FunnelDetail">#REF!</definedName>
    <definedName name="Header_FunnelMatrix" localSheetId="26">#REF!</definedName>
    <definedName name="Header_FunnelMatrix" localSheetId="25">#REF!</definedName>
    <definedName name="Header_FunnelMatrix" localSheetId="35">#REF!</definedName>
    <definedName name="Header_FunnelMatrix" localSheetId="33">#REF!</definedName>
    <definedName name="Header_FunnelMatrix" localSheetId="36">#REF!</definedName>
    <definedName name="Header_FunnelMatrix">#REF!</definedName>
    <definedName name="Header_FunProb" localSheetId="26">#REF!</definedName>
    <definedName name="Header_FunProb" localSheetId="25">#REF!</definedName>
    <definedName name="Header_FunProb" localSheetId="35">#REF!</definedName>
    <definedName name="Header_FunProb" localSheetId="33">#REF!</definedName>
    <definedName name="Header_FunProb" localSheetId="36">#REF!</definedName>
    <definedName name="Header_FunProb">#REF!</definedName>
    <definedName name="Header_FunStage" localSheetId="26">#REF!</definedName>
    <definedName name="Header_FunStage" localSheetId="25">#REF!</definedName>
    <definedName name="Header_FunStage" localSheetId="35">#REF!</definedName>
    <definedName name="Header_FunStage" localSheetId="33">#REF!</definedName>
    <definedName name="Header_FunStage" localSheetId="36">#REF!</definedName>
    <definedName name="Header_FunStage">#REF!</definedName>
    <definedName name="Header_FyFunBus" localSheetId="26">#REF!</definedName>
    <definedName name="Header_FyFunBus" localSheetId="25">#REF!</definedName>
    <definedName name="Header_FyFunBus" localSheetId="35">#REF!</definedName>
    <definedName name="Header_FyFunBus" localSheetId="33">#REF!</definedName>
    <definedName name="Header_FyFunBus" localSheetId="36">#REF!</definedName>
    <definedName name="Header_FyFunBus">#REF!</definedName>
    <definedName name="Header_FyFunCountry" localSheetId="26">#REF!</definedName>
    <definedName name="Header_FyFunCountry" localSheetId="25">#REF!</definedName>
    <definedName name="Header_FyFunCountry" localSheetId="35">#REF!</definedName>
    <definedName name="Header_FyFunCountry" localSheetId="33">#REF!</definedName>
    <definedName name="Header_FyFunCountry" localSheetId="36">#REF!</definedName>
    <definedName name="Header_FyFunCountry">#REF!</definedName>
    <definedName name="Header_FyFunCountryAccount" localSheetId="26">#REF!</definedName>
    <definedName name="Header_FyFunCountryAccount" localSheetId="25">#REF!</definedName>
    <definedName name="Header_FyFunCountryAccount" localSheetId="35">#REF!</definedName>
    <definedName name="Header_FyFunCountryAccount" localSheetId="33">#REF!</definedName>
    <definedName name="Header_FyFunCountryAccount" localSheetId="36">#REF!</definedName>
    <definedName name="Header_FyFunCountryAccount">#REF!</definedName>
    <definedName name="Header_FyFunCWV" localSheetId="26">#REF!</definedName>
    <definedName name="Header_FyFunCWV" localSheetId="25">#REF!</definedName>
    <definedName name="Header_FyFunCWV" localSheetId="35">#REF!</definedName>
    <definedName name="Header_FyFunCWV" localSheetId="33">#REF!</definedName>
    <definedName name="Header_FyFunCWV" localSheetId="36">#REF!</definedName>
    <definedName name="Header_FyFunCWV">#REF!</definedName>
    <definedName name="Header_FyFunCWVCountry" localSheetId="26">#REF!</definedName>
    <definedName name="Header_FyFunCWVCountry" localSheetId="25">#REF!</definedName>
    <definedName name="Header_FyFunCWVCountry" localSheetId="35">#REF!</definedName>
    <definedName name="Header_FyFunCWVCountry" localSheetId="33">#REF!</definedName>
    <definedName name="Header_FyFunCWVCountry" localSheetId="36">#REF!</definedName>
    <definedName name="Header_FyFunCWVCountry">#REF!</definedName>
    <definedName name="Header_FyFunCWVCountryAccount" localSheetId="26">#REF!</definedName>
    <definedName name="Header_FyFunCWVCountryAccount" localSheetId="25">#REF!</definedName>
    <definedName name="Header_FyFunCWVCountryAccount" localSheetId="35">#REF!</definedName>
    <definedName name="Header_FyFunCWVCountryAccount" localSheetId="33">#REF!</definedName>
    <definedName name="Header_FyFunCWVCountryAccount" localSheetId="36">#REF!</definedName>
    <definedName name="Header_FyFunCWVCountryAccount">#REF!</definedName>
    <definedName name="Header_FyFunCWVProd" localSheetId="26">#REF!</definedName>
    <definedName name="Header_FyFunCWVProd" localSheetId="25">#REF!</definedName>
    <definedName name="Header_FyFunCWVProd" localSheetId="35">#REF!</definedName>
    <definedName name="Header_FyFunCWVProd" localSheetId="33">#REF!</definedName>
    <definedName name="Header_FyFunCWVProd" localSheetId="36">#REF!</definedName>
    <definedName name="Header_FyFunCWVProd">#REF!</definedName>
    <definedName name="Header_FyFunCWVProdUnitLikely" localSheetId="26">#REF!</definedName>
    <definedName name="Header_FyFunCWVProdUnitLikely" localSheetId="25">#REF!</definedName>
    <definedName name="Header_FyFunCWVProdUnitLikely" localSheetId="35">#REF!</definedName>
    <definedName name="Header_FyFunCWVProdUnitLikely" localSheetId="33">#REF!</definedName>
    <definedName name="Header_FyFunCWVProdUnitLikely" localSheetId="36">#REF!</definedName>
    <definedName name="Header_FyFunCWVProdUnitLikely">#REF!</definedName>
    <definedName name="Header_FyFunnel" localSheetId="26">#REF!</definedName>
    <definedName name="Header_FyFunnel" localSheetId="25">#REF!</definedName>
    <definedName name="Header_FyFunnel" localSheetId="35">#REF!</definedName>
    <definedName name="Header_FyFunnel" localSheetId="33">#REF!</definedName>
    <definedName name="Header_FyFunnel" localSheetId="36">#REF!</definedName>
    <definedName name="Header_FyFunnel">#REF!</definedName>
    <definedName name="Header_FyFunProd" localSheetId="26">#REF!</definedName>
    <definedName name="Header_FyFunProd" localSheetId="25">#REF!</definedName>
    <definedName name="Header_FyFunProd" localSheetId="35">#REF!</definedName>
    <definedName name="Header_FyFunProd" localSheetId="33">#REF!</definedName>
    <definedName name="Header_FyFunProd" localSheetId="36">#REF!</definedName>
    <definedName name="Header_FyFunProd">#REF!</definedName>
    <definedName name="Header_FyFunProdUnit" localSheetId="26">#REF!</definedName>
    <definedName name="Header_FyFunProdUnit" localSheetId="25">#REF!</definedName>
    <definedName name="Header_FyFunProdUnit" localSheetId="35">#REF!</definedName>
    <definedName name="Header_FyFunProdUnit" localSheetId="33">#REF!</definedName>
    <definedName name="Header_FyFunProdUnit" localSheetId="36">#REF!</definedName>
    <definedName name="Header_FyFunProdUnit">#REF!</definedName>
    <definedName name="Header_Logo" localSheetId="26">#REF!</definedName>
    <definedName name="Header_Logo" localSheetId="25">#REF!</definedName>
    <definedName name="Header_Logo" localSheetId="35">#REF!</definedName>
    <definedName name="Header_Logo" localSheetId="33">#REF!</definedName>
    <definedName name="Header_Logo" localSheetId="36">#REF!</definedName>
    <definedName name="Header_Logo">#REF!</definedName>
    <definedName name="Header_OD" localSheetId="26">#REF!</definedName>
    <definedName name="Header_OD" localSheetId="25">#REF!</definedName>
    <definedName name="Header_OD" localSheetId="35">#REF!</definedName>
    <definedName name="Header_OD" localSheetId="33">#REF!</definedName>
    <definedName name="Header_OD" localSheetId="36">#REF!</definedName>
    <definedName name="Header_OD">#REF!</definedName>
    <definedName name="Header_OProAct" localSheetId="26">#REF!</definedName>
    <definedName name="Header_OProAct" localSheetId="25">#REF!</definedName>
    <definedName name="Header_OProAct" localSheetId="35">#REF!</definedName>
    <definedName name="Header_OProAct" localSheetId="33">#REF!</definedName>
    <definedName name="Header_OProAct" localSheetId="36">#REF!</definedName>
    <definedName name="Header_OProAct">#REF!</definedName>
    <definedName name="Header_QtrRev" localSheetId="26">#REF!</definedName>
    <definedName name="Header_QtrRev" localSheetId="25">#REF!</definedName>
    <definedName name="Header_QtrRev" localSheetId="35">#REF!</definedName>
    <definedName name="Header_QtrRev" localSheetId="33">#REF!</definedName>
    <definedName name="Header_QtrRev" localSheetId="36">#REF!</definedName>
    <definedName name="Header_QtrRev">#REF!</definedName>
    <definedName name="Header_QtrSGP" localSheetId="26">#REF!</definedName>
    <definedName name="Header_QtrSGP" localSheetId="25">#REF!</definedName>
    <definedName name="Header_QtrSGP" localSheetId="35">#REF!</definedName>
    <definedName name="Header_QtrSGP" localSheetId="33">#REF!</definedName>
    <definedName name="Header_QtrSGP" localSheetId="36">#REF!</definedName>
    <definedName name="Header_QtrSGP">#REF!</definedName>
    <definedName name="Header_RmapAE" localSheetId="26">#REF!</definedName>
    <definedName name="Header_RmapAE" localSheetId="25">#REF!</definedName>
    <definedName name="Header_RmapAE" localSheetId="35">#REF!</definedName>
    <definedName name="Header_RmapAE" localSheetId="33">#REF!</definedName>
    <definedName name="Header_RmapAE" localSheetId="36">#REF!</definedName>
    <definedName name="Header_RmapAE">#REF!</definedName>
    <definedName name="Header_SFA_MW_Quarter" localSheetId="26">#REF!</definedName>
    <definedName name="Header_SFA_MW_Quarter" localSheetId="25">#REF!</definedName>
    <definedName name="Header_SFA_MW_Quarter" localSheetId="35">#REF!</definedName>
    <definedName name="Header_SFA_MW_Quarter" localSheetId="33">#REF!</definedName>
    <definedName name="Header_SFA_MW_Quarter" localSheetId="36">#REF!</definedName>
    <definedName name="Header_SFA_MW_Quarter">#REF!</definedName>
    <definedName name="Header_SFA_Quarter" localSheetId="26">#REF!</definedName>
    <definedName name="Header_SFA_Quarter" localSheetId="25">#REF!</definedName>
    <definedName name="Header_SFA_Quarter" localSheetId="35">#REF!</definedName>
    <definedName name="Header_SFA_Quarter" localSheetId="33">#REF!</definedName>
    <definedName name="Header_SFA_Quarter" localSheetId="36">#REF!</definedName>
    <definedName name="Header_SFA_Quarter">#REF!</definedName>
    <definedName name="Header_SFA_Year" localSheetId="26">#REF!</definedName>
    <definedName name="Header_SFA_Year" localSheetId="25">#REF!</definedName>
    <definedName name="Header_SFA_Year" localSheetId="35">#REF!</definedName>
    <definedName name="Header_SFA_Year" localSheetId="33">#REF!</definedName>
    <definedName name="Header_SFA_Year" localSheetId="36">#REF!</definedName>
    <definedName name="Header_SFA_Year">#REF!</definedName>
    <definedName name="Header_SFUNREP" localSheetId="26">#REF!</definedName>
    <definedName name="Header_SFUNREP" localSheetId="25">#REF!</definedName>
    <definedName name="Header_SFUNREP" localSheetId="35">#REF!</definedName>
    <definedName name="Header_SFUNREP" localSheetId="33">#REF!</definedName>
    <definedName name="Header_SFUNREP" localSheetId="36">#REF!</definedName>
    <definedName name="Header_SFUNREP">#REF!</definedName>
    <definedName name="Header_Snapshot" localSheetId="26">#REF!</definedName>
    <definedName name="Header_Snapshot" localSheetId="25">#REF!</definedName>
    <definedName name="Header_Snapshot" localSheetId="35">#REF!</definedName>
    <definedName name="Header_Snapshot" localSheetId="33">#REF!</definedName>
    <definedName name="Header_Snapshot" localSheetId="36">#REF!</definedName>
    <definedName name="Header_Snapshot">#REF!</definedName>
    <definedName name="Header_Snapshot_Detail" localSheetId="26">#REF!</definedName>
    <definedName name="Header_Snapshot_Detail" localSheetId="25">#REF!</definedName>
    <definedName name="Header_Snapshot_Detail" localSheetId="35">#REF!</definedName>
    <definedName name="Header_Snapshot_Detail" localSheetId="33">#REF!</definedName>
    <definedName name="Header_Snapshot_Detail" localSheetId="36">#REF!</definedName>
    <definedName name="Header_Snapshot_Detail">#REF!</definedName>
    <definedName name="Header_Summary" localSheetId="26">#REF!</definedName>
    <definedName name="Header_Summary" localSheetId="25">#REF!</definedName>
    <definedName name="Header_Summary" localSheetId="35">#REF!</definedName>
    <definedName name="Header_Summary" localSheetId="33">#REF!</definedName>
    <definedName name="Header_Summary" localSheetId="36">#REF!</definedName>
    <definedName name="Header_Summary">#REF!</definedName>
    <definedName name="Header_WinLoss" localSheetId="26">#REF!</definedName>
    <definedName name="Header_WinLoss" localSheetId="25">#REF!</definedName>
    <definedName name="Header_WinLoss" localSheetId="35">#REF!</definedName>
    <definedName name="Header_WinLoss" localSheetId="33">#REF!</definedName>
    <definedName name="Header_WinLoss" localSheetId="36">#REF!</definedName>
    <definedName name="Header_WinLoss">#REF!</definedName>
    <definedName name="Header_WinMore2" localSheetId="26">#REF!</definedName>
    <definedName name="Header_WinMore2" localSheetId="25">#REF!</definedName>
    <definedName name="Header_WinMore2" localSheetId="35">#REF!</definedName>
    <definedName name="Header_WinMore2" localSheetId="33">#REF!</definedName>
    <definedName name="Header_WinMore2" localSheetId="36">#REF!</definedName>
    <definedName name="Header_WinMore2">#REF!</definedName>
    <definedName name="HEADINGS" localSheetId="26">#REF!</definedName>
    <definedName name="HEADINGS" localSheetId="25">#REF!</definedName>
    <definedName name="HEADINGS" localSheetId="35">#REF!</definedName>
    <definedName name="HEADINGS" localSheetId="33">#REF!</definedName>
    <definedName name="HEADINGS">#REF!</definedName>
    <definedName name="hfhfhfhfhfhf" localSheetId="26" hidden="1">#REF!</definedName>
    <definedName name="hfhfhfhfhfhf" localSheetId="25" hidden="1">#REF!</definedName>
    <definedName name="hfhfhfhfhfhf" localSheetId="35" hidden="1">#REF!</definedName>
    <definedName name="hfhfhfhfhfhf" localSheetId="33" hidden="1">#REF!</definedName>
    <definedName name="hfhfhfhfhfhf" localSheetId="36" hidden="1">#REF!</definedName>
    <definedName name="hfhfhfhfhfhf" hidden="1">#REF!</definedName>
    <definedName name="hgrth" localSheetId="28" hidden="1">{"orixcsc",#N/A,FALSE,"ORIX CSC";"orixcsc2",#N/A,FALSE,"ORIX CSC"}</definedName>
    <definedName name="hgrth" hidden="1">{"orixcsc",#N/A,FALSE,"ORIX CSC";"orixcsc2",#N/A,FALSE,"ORIX CSC"}</definedName>
    <definedName name="hgrth_1" localSheetId="28" hidden="1">{"orixcsc",#N/A,FALSE,"ORIX CSC";"orixcsc2",#N/A,FALSE,"ORIX CSC"}</definedName>
    <definedName name="hgrth_1" hidden="1">{"orixcsc",#N/A,FALSE,"ORIX CSC";"orixcsc2",#N/A,FALSE,"ORIX CSC"}</definedName>
    <definedName name="hgrth_1_1" localSheetId="28" hidden="1">{"orixcsc",#N/A,FALSE,"ORIX CSC";"orixcsc2",#N/A,FALSE,"ORIX CSC"}</definedName>
    <definedName name="hgrth_1_1" hidden="1">{"orixcsc",#N/A,FALSE,"ORIX CSC";"orixcsc2",#N/A,FALSE,"ORIX CSC"}</definedName>
    <definedName name="hh" localSheetId="26">#REF!</definedName>
    <definedName name="hh" localSheetId="25">#REF!</definedName>
    <definedName name="hh" localSheetId="35">#REF!</definedName>
    <definedName name="hh" localSheetId="33">#REF!</definedName>
    <definedName name="hh">#REF!</definedName>
    <definedName name="hhhh"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localSheetId="2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localSheetId="28" hidden="1">{#N/A,#N/A,FALSE,"Contribution Analysis"}</definedName>
    <definedName name="hhhhhhhhhhhhhh" hidden="1">{#N/A,#N/A,FALSE,"Contribution Analysis"}</definedName>
    <definedName name="HighColor" localSheetId="26">#REF!</definedName>
    <definedName name="HighColor" localSheetId="25">#REF!</definedName>
    <definedName name="HighColor" localSheetId="35">#REF!</definedName>
    <definedName name="HighColor" localSheetId="33">#REF!</definedName>
    <definedName name="HighColor" localSheetId="36">#REF!</definedName>
    <definedName name="HighColor">#REF!</definedName>
    <definedName name="HighLower" localSheetId="26">#REF!</definedName>
    <definedName name="HighLower" localSheetId="25">#REF!</definedName>
    <definedName name="HighLower" localSheetId="35">#REF!</definedName>
    <definedName name="HighLower" localSheetId="33">#REF!</definedName>
    <definedName name="HighLower" localSheetId="36">#REF!</definedName>
    <definedName name="HighLower">#REF!</definedName>
    <definedName name="HighUpper" localSheetId="26">#REF!</definedName>
    <definedName name="HighUpper" localSheetId="25">#REF!</definedName>
    <definedName name="HighUpper" localSheetId="35">#REF!</definedName>
    <definedName name="HighUpper" localSheetId="33">#REF!</definedName>
    <definedName name="HighUpper" localSheetId="36">#REF!</definedName>
    <definedName name="HighUpper">#REF!</definedName>
    <definedName name="hingwai" localSheetId="26">#REF!</definedName>
    <definedName name="hingwai" localSheetId="25">#REF!</definedName>
    <definedName name="hingwai" localSheetId="35">#REF!</definedName>
    <definedName name="hingwai" localSheetId="33">#REF!</definedName>
    <definedName name="hingwai">#REF!</definedName>
    <definedName name="HIRE_1" localSheetId="26">#REF!</definedName>
    <definedName name="HIRE_1" localSheetId="25">#REF!</definedName>
    <definedName name="HIRE_1" localSheetId="35">#REF!</definedName>
    <definedName name="HIRE_1" localSheetId="33">#REF!</definedName>
    <definedName name="HIRE_1">#REF!</definedName>
    <definedName name="HIRE_2" localSheetId="26">#REF!</definedName>
    <definedName name="HIRE_2" localSheetId="25">#REF!</definedName>
    <definedName name="HIRE_2" localSheetId="35">#REF!</definedName>
    <definedName name="HIRE_2" localSheetId="33">#REF!</definedName>
    <definedName name="HIRE_2">#REF!</definedName>
    <definedName name="HIRE_3" localSheetId="26">#REF!</definedName>
    <definedName name="HIRE_3" localSheetId="25">#REF!</definedName>
    <definedName name="HIRE_3" localSheetId="35">#REF!</definedName>
    <definedName name="HIRE_3" localSheetId="33">#REF!</definedName>
    <definedName name="HIRE_3">#REF!</definedName>
    <definedName name="HIRE_4" localSheetId="26">#REF!</definedName>
    <definedName name="HIRE_4" localSheetId="25">#REF!</definedName>
    <definedName name="HIRE_4" localSheetId="35">#REF!</definedName>
    <definedName name="HIRE_4" localSheetId="33">#REF!</definedName>
    <definedName name="HIRE_4">#REF!</definedName>
    <definedName name="HIRE_MAIN" localSheetId="26">#REF!</definedName>
    <definedName name="HIRE_MAIN" localSheetId="25">#REF!</definedName>
    <definedName name="HIRE_MAIN" localSheetId="35">#REF!</definedName>
    <definedName name="HIRE_MAIN" localSheetId="33">#REF!</definedName>
    <definedName name="HIRE_MAIN">#REF!</definedName>
    <definedName name="hjhjj" localSheetId="28" hidden="1">{#N/A,#N/A,FALSE,"ORIX CSC"}</definedName>
    <definedName name="hjhjj" hidden="1">{#N/A,#N/A,FALSE,"ORIX CSC"}</definedName>
    <definedName name="hjhjj_1" localSheetId="28" hidden="1">{#N/A,#N/A,FALSE,"ORIX CSC"}</definedName>
    <definedName name="hjhjj_1" hidden="1">{#N/A,#N/A,FALSE,"ORIX CSC"}</definedName>
    <definedName name="hjhjj_1_1" localSheetId="28"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localSheetId="28"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d_1" localSheetId="28"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localSheetId="28"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6">#REF!</definedName>
    <definedName name="HoldPeriod" localSheetId="25">#REF!</definedName>
    <definedName name="HoldPeriod" localSheetId="35">#REF!</definedName>
    <definedName name="HoldPeriod" localSheetId="33">#REF!</definedName>
    <definedName name="HoldPeriod">#REF!</definedName>
    <definedName name="houy" localSheetId="28" hidden="1">{#N/A,#N/A,FALSE,"AD_Purchase";#N/A,#N/A,FALSE,"Credit";#N/A,#N/A,FALSE,"PF Acquisition";#N/A,#N/A,FALSE,"PF Offering"}</definedName>
    <definedName name="houy" hidden="1">{#N/A,#N/A,FALSE,"AD_Purchase";#N/A,#N/A,FALSE,"Credit";#N/A,#N/A,FALSE,"PF Acquisition";#N/A,#N/A,FALSE,"PF Offering"}</definedName>
    <definedName name="houy_1" localSheetId="28" hidden="1">{#N/A,#N/A,FALSE,"AD_Purchase";#N/A,#N/A,FALSE,"Credit";#N/A,#N/A,FALSE,"PF Acquisition";#N/A,#N/A,FALSE,"PF Offering"}</definedName>
    <definedName name="houy_1" hidden="1">{#N/A,#N/A,FALSE,"AD_Purchase";#N/A,#N/A,FALSE,"Credit";#N/A,#N/A,FALSE,"PF Acquisition";#N/A,#N/A,FALSE,"PF Offering"}</definedName>
    <definedName name="houy_1_1" localSheetId="28" hidden="1">{#N/A,#N/A,FALSE,"AD_Purchase";#N/A,#N/A,FALSE,"Credit";#N/A,#N/A,FALSE,"PF Acquisition";#N/A,#N/A,FALSE,"PF Offering"}</definedName>
    <definedName name="houy_1_1" hidden="1">{#N/A,#N/A,FALSE,"AD_Purchase";#N/A,#N/A,FALSE,"Credit";#N/A,#N/A,FALSE,"PF Acquisition";#N/A,#N/A,FALSE,"PF Offering"}</definedName>
    <definedName name="HP_Config_WS715_List" localSheetId="26">#REF!</definedName>
    <definedName name="HP_Config_WS715_List" localSheetId="25">#REF!</definedName>
    <definedName name="HP_Config_WS715_List" localSheetId="35">#REF!</definedName>
    <definedName name="HP_Config_WS715_List" localSheetId="33">#REF!</definedName>
    <definedName name="HP_Config_WS715_List" localSheetId="36">#REF!</definedName>
    <definedName name="HP_Config_WS715_List">#REF!</definedName>
    <definedName name="HPEC">"哈尔滨动力设备股份有限公司"</definedName>
    <definedName name="HTJE_2">#N/A</definedName>
    <definedName name="HTJE_3">#N/A</definedName>
    <definedName name="HTJE_5">#N/A</definedName>
    <definedName name="html" localSheetId="28" hidden="1">{"'Sheet1'!$A$1:$J$57","'Sheet1'!$F$32:$F$35","'Sheet1'!$F$32:$F$36"}</definedName>
    <definedName name="html" hidden="1">{"'Sheet1'!$A$1:$J$57","'Sheet1'!$F$32:$F$35","'Sheet1'!$F$32:$F$36"}</definedName>
    <definedName name="HTML_CodePage" hidden="1">936</definedName>
    <definedName name="HTML_Control" localSheetId="28" hidden="1">{"'home'!$F$26","'home'!$A$1:$J$25"}</definedName>
    <definedName name="HTML_Control" hidden="1">{"'home'!$F$26","'home'!$A$1:$J$25"}</definedName>
    <definedName name="HTML_Control_1" localSheetId="28" hidden="1">{"'Sheet1'!$A$1:$H$145"}</definedName>
    <definedName name="HTML_Control_1" hidden="1">{"'Sheet1'!$A$1:$H$145"}</definedName>
    <definedName name="HTML_Control_1_1" localSheetId="28"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localSheetId="28" hidden="1">{#N/A,#N/A,FALSE,"资产负债表";#N/A,#N/A,FALSE,"资产负债表"}</definedName>
    <definedName name="hueoa" hidden="1">{#N/A,#N/A,FALSE,"资产负债表";#N/A,#N/A,FALSE,"资产负债表"}</definedName>
    <definedName name="HUSI" localSheetId="28" hidden="1">{"'Check Request'!$A$1:$BF$37"}</definedName>
    <definedName name="HUSI" hidden="1">{"'Check Request'!$A$1:$BF$37"}</definedName>
    <definedName name="HWSheet">1</definedName>
    <definedName name="I" localSheetId="26">#REF!</definedName>
    <definedName name="I" localSheetId="25">#REF!</definedName>
    <definedName name="I" localSheetId="35">#REF!</definedName>
    <definedName name="I" localSheetId="33">#REF!</definedName>
    <definedName name="I">#REF!</definedName>
    <definedName name="i_?3" localSheetId="26">#REF!</definedName>
    <definedName name="i_?3" localSheetId="25">#REF!</definedName>
    <definedName name="i_?3" localSheetId="35">#REF!</definedName>
    <definedName name="i_?3" localSheetId="33">#REF!</definedName>
    <definedName name="i_?3">#REF!</definedName>
    <definedName name="i_E__.3" localSheetId="26">#REF!</definedName>
    <definedName name="i_E__.3" localSheetId="25">#REF!</definedName>
    <definedName name="i_E__.3" localSheetId="35">#REF!</definedName>
    <definedName name="i_E__.3" localSheetId="33">#REF!</definedName>
    <definedName name="i_E__.3">#REF!</definedName>
    <definedName name="i_E_O" localSheetId="26">#REF!</definedName>
    <definedName name="i_E_O" localSheetId="25">#REF!</definedName>
    <definedName name="i_E_O" localSheetId="35">#REF!</definedName>
    <definedName name="i_E_O" localSheetId="33">#REF!</definedName>
    <definedName name="i_E_O">#REF!</definedName>
    <definedName name="i_E_O__.3" localSheetId="26">#REF!</definedName>
    <definedName name="i_E_O__.3" localSheetId="25">#REF!</definedName>
    <definedName name="i_E_O__.3" localSheetId="35">#REF!</definedName>
    <definedName name="i_E_O__.3" localSheetId="33">#REF!</definedName>
    <definedName name="i_E_O__.3">#REF!</definedName>
    <definedName name="idididiididididididididi" localSheetId="26" hidden="1">#REF!</definedName>
    <definedName name="idididiididididididididi" localSheetId="25" hidden="1">#REF!</definedName>
    <definedName name="idididiididididididididi" localSheetId="35" hidden="1">#REF!</definedName>
    <definedName name="idididiididididididididi" localSheetId="33" hidden="1">#REF!</definedName>
    <definedName name="idididiididididididididi" localSheetId="36" hidden="1">#REF!</definedName>
    <definedName name="idididiididididididididi" hidden="1">#REF!</definedName>
    <definedName name="IE" localSheetId="26">#REF!</definedName>
    <definedName name="IE" localSheetId="25">#REF!</definedName>
    <definedName name="IE" localSheetId="35">#REF!</definedName>
    <definedName name="IE" localSheetId="33">#REF!</definedName>
    <definedName name="IE">#REF!</definedName>
    <definedName name="IEPeXToEUR" localSheetId="28" hidden="1">1/EUReXToIEP</definedName>
    <definedName name="IEPeXToEUR" localSheetId="26" hidden="1">1/EUReXToIEP</definedName>
    <definedName name="IEPeXToEUR" localSheetId="25" hidden="1">1/EUReXToIEP</definedName>
    <definedName name="IEPeXToEUR" localSheetId="35" hidden="1">1/EUReXToIEP</definedName>
    <definedName name="IEPeXToEUR" localSheetId="33" hidden="1">1/EUReXToIEP</definedName>
    <definedName name="IEPeXToEUR" localSheetId="36" hidden="1">1/EUReXToIEP</definedName>
    <definedName name="IEPeXToEUR" hidden="1">1/EUReXToIEP</definedName>
    <definedName name="IEWORKSHEET" localSheetId="26">#REF!</definedName>
    <definedName name="IEWORKSHEET" localSheetId="25">#REF!</definedName>
    <definedName name="IEWORKSHEET" localSheetId="35">#REF!</definedName>
    <definedName name="IEWORKSHEET" localSheetId="33">#REF!</definedName>
    <definedName name="IEWORKSHEET">#REF!</definedName>
    <definedName name="if" localSheetId="26">#REF!</definedName>
    <definedName name="if" localSheetId="25">#REF!</definedName>
    <definedName name="if" localSheetId="35">#REF!</definedName>
    <definedName name="if" localSheetId="33">#REF!</definedName>
    <definedName name="if">#REF!</definedName>
    <definedName name="ikiikikiki" localSheetId="26" hidden="1">#REF!</definedName>
    <definedName name="ikiikikiki" localSheetId="25" hidden="1">#REF!</definedName>
    <definedName name="ikiikikiki" localSheetId="35" hidden="1">#REF!</definedName>
    <definedName name="ikiikikiki" localSheetId="33" hidden="1">#REF!</definedName>
    <definedName name="ikiikikiki" localSheetId="36" hidden="1">#REF!</definedName>
    <definedName name="ikiikikiki" hidden="1">#REF!</definedName>
    <definedName name="ilili" localSheetId="26" hidden="1">#REF!</definedName>
    <definedName name="ilili" localSheetId="25" hidden="1">#REF!</definedName>
    <definedName name="ilili" localSheetId="35" hidden="1">#REF!</definedName>
    <definedName name="ilili" localSheetId="33" hidden="1">#REF!</definedName>
    <definedName name="ilili" localSheetId="36" hidden="1">#REF!</definedName>
    <definedName name="ilili" hidden="1">#REF!</definedName>
    <definedName name="ilililili" localSheetId="26" hidden="1">#REF!</definedName>
    <definedName name="ilililili" localSheetId="25" hidden="1">#REF!</definedName>
    <definedName name="ilililili" localSheetId="35" hidden="1">#REF!</definedName>
    <definedName name="ilililili" localSheetId="33" hidden="1">#REF!</definedName>
    <definedName name="ilililili" localSheetId="36" hidden="1">#REF!</definedName>
    <definedName name="ilililili" hidden="1">#REF!</definedName>
    <definedName name="ImportFile">#N/A</definedName>
    <definedName name="Income" localSheetId="26">#REF!</definedName>
    <definedName name="Income" localSheetId="25">#REF!</definedName>
    <definedName name="Income" localSheetId="35">#REF!</definedName>
    <definedName name="Income" localSheetId="33">#REF!</definedName>
    <definedName name="Income">#REF!</definedName>
    <definedName name="index" localSheetId="26" hidden="1">#REF!</definedName>
    <definedName name="index" localSheetId="25" hidden="1">#REF!</definedName>
    <definedName name="index" localSheetId="35" hidden="1">#REF!</definedName>
    <definedName name="index" localSheetId="33" hidden="1">#REF!</definedName>
    <definedName name="index" localSheetId="36" hidden="1">#REF!</definedName>
    <definedName name="index" hidden="1">#REF!</definedName>
    <definedName name="index2" localSheetId="26" hidden="1">#REF!</definedName>
    <definedName name="index2" localSheetId="25" hidden="1">#REF!</definedName>
    <definedName name="index2" localSheetId="35" hidden="1">#REF!</definedName>
    <definedName name="index2" localSheetId="33" hidden="1">#REF!</definedName>
    <definedName name="index2" localSheetId="36" hidden="1">#REF!</definedName>
    <definedName name="index2" hidden="1">#REF!</definedName>
    <definedName name="ini_button_Click">#N/A</definedName>
    <definedName name="InputArea" localSheetId="26">#REF!</definedName>
    <definedName name="InputArea" localSheetId="25">#REF!</definedName>
    <definedName name="InputArea" localSheetId="35">#REF!</definedName>
    <definedName name="InputArea" localSheetId="33">#REF!</definedName>
    <definedName name="InputArea">#REF!</definedName>
    <definedName name="InputCap" localSheetId="26">#REF!</definedName>
    <definedName name="InputCap" localSheetId="25">#REF!</definedName>
    <definedName name="InputCap" localSheetId="35">#REF!</definedName>
    <definedName name="InputCap" localSheetId="33">#REF!</definedName>
    <definedName name="InputCap">#REF!</definedName>
    <definedName name="InputPrice" localSheetId="26">#REF!</definedName>
    <definedName name="InputPrice" localSheetId="25">#REF!</definedName>
    <definedName name="InputPrice" localSheetId="35">#REF!</definedName>
    <definedName name="InputPrice" localSheetId="33">#REF!</definedName>
    <definedName name="InputPrice">#REF!</definedName>
    <definedName name="int_ext_sel">1</definedName>
    <definedName name="Investment1">#N/A</definedName>
    <definedName name="Investment2">#N/A</definedName>
    <definedName name="io"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6" hidden="1">#REF!</definedName>
    <definedName name="IQRCOMPSE5" localSheetId="25" hidden="1">#REF!</definedName>
    <definedName name="IQRCOMPSE5" localSheetId="35" hidden="1">#REF!</definedName>
    <definedName name="IQRCOMPSE5" localSheetId="33" hidden="1">#REF!</definedName>
    <definedName name="IQRCOMPSE5" localSheetId="36" hidden="1">#REF!</definedName>
    <definedName name="IQRCOMPSE5" hidden="1">#REF!</definedName>
    <definedName name="IRR_20percentdiscount" localSheetId="26">#REF!</definedName>
    <definedName name="IRR_20percentdiscount" localSheetId="25">#REF!</definedName>
    <definedName name="IRR_20percentdiscount" localSheetId="35">#REF!</definedName>
    <definedName name="IRR_20percentdiscount" localSheetId="33">#REF!</definedName>
    <definedName name="IRR_20percentdiscount">#REF!</definedName>
    <definedName name="IRR_30percentdiscount" localSheetId="26">#REF!</definedName>
    <definedName name="IRR_30percentdiscount" localSheetId="25">#REF!</definedName>
    <definedName name="IRR_30percentdiscount" localSheetId="35">#REF!</definedName>
    <definedName name="IRR_30percentdiscount" localSheetId="33">#REF!</definedName>
    <definedName name="IRR_30percentdiscount">#REF!</definedName>
    <definedName name="IRR_30percentiscount" localSheetId="26">#REF!</definedName>
    <definedName name="IRR_30percentiscount" localSheetId="25">#REF!</definedName>
    <definedName name="IRR_30percentiscount" localSheetId="35">#REF!</definedName>
    <definedName name="IRR_30percentiscount" localSheetId="33">#REF!</definedName>
    <definedName name="IRR_30percentiscount">#REF!</definedName>
    <definedName name="IRR_35percentdiscount" localSheetId="26">#REF!</definedName>
    <definedName name="IRR_35percentdiscount" localSheetId="25">#REF!</definedName>
    <definedName name="IRR_35percentdiscount" localSheetId="35">#REF!</definedName>
    <definedName name="IRR_35percentdiscount" localSheetId="33">#REF!</definedName>
    <definedName name="IRR_35percentdiscount">#REF!</definedName>
    <definedName name="IRR_40percentdiscount" localSheetId="26">#REF!</definedName>
    <definedName name="IRR_40percentdiscount" localSheetId="25">#REF!</definedName>
    <definedName name="IRR_40percentdiscount" localSheetId="35">#REF!</definedName>
    <definedName name="IRR_40percentdiscount" localSheetId="33">#REF!</definedName>
    <definedName name="IRR_40percentdiscount">#REF!</definedName>
    <definedName name="IRR_Nodiscount" localSheetId="26">#REF!</definedName>
    <definedName name="IRR_Nodiscount" localSheetId="25">#REF!</definedName>
    <definedName name="IRR_Nodiscount" localSheetId="35">#REF!</definedName>
    <definedName name="IRR_Nodiscount" localSheetId="33">#REF!</definedName>
    <definedName name="IRR_Nodiscount">#REF!</definedName>
    <definedName name="IsColHidden">FALSE</definedName>
    <definedName name="IsLTMColHidden">FALSE</definedName>
    <definedName name="ITLeXToEUR" localSheetId="28" hidden="1">1/EUReXToITL</definedName>
    <definedName name="ITLeXToEUR" localSheetId="26" hidden="1">1/EUReXToITL</definedName>
    <definedName name="ITLeXToEUR" localSheetId="25" hidden="1">1/EUReXToITL</definedName>
    <definedName name="ITLeXToEUR" localSheetId="35" hidden="1">1/EUReXToITL</definedName>
    <definedName name="ITLeXToEUR" localSheetId="33" hidden="1">1/EUReXToITL</definedName>
    <definedName name="ITLeXToEUR" localSheetId="36" hidden="1">1/EUReXToITL</definedName>
    <definedName name="ITLeXToEUR" hidden="1">1/EUReXToITL</definedName>
    <definedName name="IU" localSheetId="28" hidden="1">{"'Check Request'!$A$1:$BF$37"}</definedName>
    <definedName name="IU" hidden="1">{"'Check Request'!$A$1:$BF$37"}</definedName>
    <definedName name="j" localSheetId="28" hidden="1">{"summary1",#N/A,FALSE,"Summary of Values";"summary2",#N/A,FALSE,"Summary of Values"}</definedName>
    <definedName name="j" hidden="1">{"summary1",#N/A,FALSE,"Summary of Values";"summary2",#N/A,FALSE,"Summary of Values"}</definedName>
    <definedName name="j_1" localSheetId="28" hidden="1">{"summary1",#N/A,FALSE,"Summary of Values";"summary2",#N/A,FALSE,"Summary of Values"}</definedName>
    <definedName name="j_1" hidden="1">{"summary1",#N/A,FALSE,"Summary of Values";"summary2",#N/A,FALSE,"Summary of Values"}</definedName>
    <definedName name="j_1_1" localSheetId="28" hidden="1">{"summary1",#N/A,FALSE,"Summary of Values";"summary2",#N/A,FALSE,"Summary of Values"}</definedName>
    <definedName name="j_1_1" hidden="1">{"summary1",#N/A,FALSE,"Summary of Values";"summary2",#N/A,FALSE,"Summary of Values"}</definedName>
    <definedName name="January" localSheetId="26">#REF!</definedName>
    <definedName name="January" localSheetId="25">#REF!</definedName>
    <definedName name="January" localSheetId="35">#REF!</definedName>
    <definedName name="January" localSheetId="33">#REF!</definedName>
    <definedName name="January">#REF!</definedName>
    <definedName name="jhgjhgjghj" localSheetId="28" hidden="1">{"mgmt forecast",#N/A,FALSE,"Mgmt Forecast";"dcf table",#N/A,FALSE,"Mgmt Forecast";"sensitivity",#N/A,FALSE,"Mgmt Forecast";"table inputs",#N/A,FALSE,"Mgmt Forecast";"calculations",#N/A,FALSE,"Mgmt Forecast"}</definedName>
    <definedName name="jhgjhgjghj" hidden="1">{"mgmt forecast",#N/A,FALSE,"Mgmt Forecast";"dcf table",#N/A,FALSE,"Mgmt Forecast";"sensitivity",#N/A,FALSE,"Mgmt Forecast";"table inputs",#N/A,FALSE,"Mgmt Forecast";"calculations",#N/A,FALSE,"Mgmt Forecast"}</definedName>
    <definedName name="jhgjhgjghj_1" localSheetId="28"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localSheetId="28"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localSheetId="28"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localSheetId="28"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localSheetId="28"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6">#REF!</definedName>
    <definedName name="jierwt" localSheetId="25">#REF!</definedName>
    <definedName name="jierwt" localSheetId="35">#REF!</definedName>
    <definedName name="jierwt" localSheetId="33">#REF!</definedName>
    <definedName name="jierwt">#REF!</definedName>
    <definedName name="jj" localSheetId="28" hidden="1">{"developed valuation",#N/A,FALSE,"Valuation Analysis";"developed income statement",#N/A,FALSE,"Abbreviated Income Statement";"inprocess valuation",#N/A,FALSE,"Valuation Analysis";"inprocess income statement",#N/A,FALSE,"Abbreviated Income Statement"}</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localSheetId="28"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localSheetId="28"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localSheetId="28" hidden="1">{"CSheet",#N/A,FALSE,"C";"SmCap",#N/A,FALSE,"VAL1";"GulfCoast",#N/A,FALSE,"VAL1";"nav",#N/A,FALSE,"NAV";"Summary",#N/A,FALSE,"NAV"}</definedName>
    <definedName name="jjj" hidden="1">{"CSheet",#N/A,FALSE,"C";"SmCap",#N/A,FALSE,"VAL1";"GulfCoast",#N/A,FALSE,"VAL1";"nav",#N/A,FALSE,"NAV";"Summary",#N/A,FALSE,"NAV"}</definedName>
    <definedName name="jjj_1" localSheetId="28" hidden="1">{"CSheet",#N/A,FALSE,"C";"SmCap",#N/A,FALSE,"VAL1";"GulfCoast",#N/A,FALSE,"VAL1";"nav",#N/A,FALSE,"NAV";"Summary",#N/A,FALSE,"NAV"}</definedName>
    <definedName name="jjj_1" hidden="1">{"CSheet",#N/A,FALSE,"C";"SmCap",#N/A,FALSE,"VAL1";"GulfCoast",#N/A,FALSE,"VAL1";"nav",#N/A,FALSE,"NAV";"Summary",#N/A,FALSE,"NAV"}</definedName>
    <definedName name="jjj_1_1" localSheetId="28" hidden="1">{"CSheet",#N/A,FALSE,"C";"SmCap",#N/A,FALSE,"VAL1";"GulfCoast",#N/A,FALSE,"VAL1";"nav",#N/A,FALSE,"NAV";"Summary",#N/A,FALSE,"NAV"}</definedName>
    <definedName name="jjj_1_1" hidden="1">{"CSheet",#N/A,FALSE,"C";"SmCap",#N/A,FALSE,"VAL1";"GulfCoast",#N/A,FALSE,"VAL1";"nav",#N/A,FALSE,"NAV";"Summary",#N/A,FALSE,"NAV"}</definedName>
    <definedName name="jjjj" localSheetId="28" hidden="1">{"Total",#N/A,FALSE,"Total Proved";"PDP",#N/A,FALSE,"Total Proved";"PNP",#N/A,FALSE,"Total Proved";"PUD",#N/A,FALSE,"Total Proved"}</definedName>
    <definedName name="jjjj" hidden="1">{"Total",#N/A,FALSE,"Total Proved";"PDP",#N/A,FALSE,"Total Proved";"PNP",#N/A,FALSE,"Total Proved";"PUD",#N/A,FALSE,"Total Proved"}</definedName>
    <definedName name="jjjj_1" localSheetId="28" hidden="1">{"Total",#N/A,FALSE,"Total Proved";"PDP",#N/A,FALSE,"Total Proved";"PNP",#N/A,FALSE,"Total Proved";"PUD",#N/A,FALSE,"Total Proved"}</definedName>
    <definedName name="jjjj_1" hidden="1">{"Total",#N/A,FALSE,"Total Proved";"PDP",#N/A,FALSE,"Total Proved";"PNP",#N/A,FALSE,"Total Proved";"PUD",#N/A,FALSE,"Total Proved"}</definedName>
    <definedName name="jjjj_1_1" localSheetId="28" hidden="1">{"Total",#N/A,FALSE,"Total Proved";"PDP",#N/A,FALSE,"Total Proved";"PNP",#N/A,FALSE,"Total Proved";"PUD",#N/A,FALSE,"Total Proved"}</definedName>
    <definedName name="jjjj_1_1" hidden="1">{"Total",#N/A,FALSE,"Total Proved";"PDP",#N/A,FALSE,"Total Proved";"PNP",#N/A,FALSE,"Total Proved";"PUD",#N/A,FALSE,"Total Proved"}</definedName>
    <definedName name="jjjjj" localSheetId="28" hidden="1">{"Total",#N/A,FALSE,"Total Proved + Probable";"PDP",#N/A,FALSE,"Total Proved + Probable";"PNP",#N/A,FALSE,"Total Proved + Probable";"PUD",#N/A,FALSE,"Total Proved + Probable";"Prob",#N/A,FALSE,"Total Proved + Probable"}</definedName>
    <definedName name="jjjjj" hidden="1">{"Total",#N/A,FALSE,"Total Proved + Probable";"PDP",#N/A,FALSE,"Total Proved + Probable";"PNP",#N/A,FALSE,"Total Proved + Probable";"PUD",#N/A,FALSE,"Total Proved + Probable";"Prob",#N/A,FALSE,"Total Proved + Probable"}</definedName>
    <definedName name="jjjjj_1" localSheetId="28"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localSheetId="28"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localSheetId="28" hidden="1">{"trademark1",#N/A,FALSE,"Trademark(s) and Trade Name(s)"}</definedName>
    <definedName name="jjjjjj" hidden="1">{"trademark1",#N/A,FALSE,"Trademark(s) and Trade Name(s)"}</definedName>
    <definedName name="jjjjjj_1" localSheetId="28" hidden="1">{"trademark1",#N/A,FALSE,"Trademark(s) and Trade Name(s)"}</definedName>
    <definedName name="jjjjjj_1" hidden="1">{"trademark1",#N/A,FALSE,"Trademark(s) and Trade Name(s)"}</definedName>
    <definedName name="jjjjjj_1_1" localSheetId="28" hidden="1">{"trademark1",#N/A,FALSE,"Trademark(s) and Trade Name(s)"}</definedName>
    <definedName name="jjjjjj_1_1" hidden="1">{"trademark1",#N/A,FALSE,"Trademark(s) and Trade Name(s)"}</definedName>
    <definedName name="jjjjjjj" localSheetId="28" hidden="1">{"histincome",#N/A,FALSE,"hyfins";"closing balance",#N/A,FALSE,"hyfins"}</definedName>
    <definedName name="jjjjjjj" hidden="1">{"histincome",#N/A,FALSE,"hyfins";"closing balance",#N/A,FALSE,"hyfins"}</definedName>
    <definedName name="jjjjjjj_1" localSheetId="28" hidden="1">{"histincome",#N/A,FALSE,"hyfins";"closing balance",#N/A,FALSE,"hyfins"}</definedName>
    <definedName name="jjjjjjj_1" hidden="1">{"histincome",#N/A,FALSE,"hyfins";"closing balance",#N/A,FALSE,"hyfins"}</definedName>
    <definedName name="jjjjjjj_1_1" localSheetId="28" hidden="1">{"histincome",#N/A,FALSE,"hyfins";"closing balance",#N/A,FALSE,"hyfins"}</definedName>
    <definedName name="jjjjjjj_1_1" hidden="1">{"histincome",#N/A,FALSE,"hyfins";"closing balance",#N/A,FALSE,"hyfins"}</definedName>
    <definedName name="jjl" localSheetId="28" hidden="1">{"VIEW ACTUALS 1",#N/A,TRUE,"Report1";"VIEW ACTUALS 2",#N/A,TRUE,"Report1";"SCALE COMPARISON",#N/A,TRUE,"Report1"}</definedName>
    <definedName name="jjl" hidden="1">{"VIEW ACTUALS 1",#N/A,TRUE,"Report1";"VIEW ACTUALS 2",#N/A,TRUE,"Report1";"SCALE COMPARISON",#N/A,TRUE,"Report1"}</definedName>
    <definedName name="jkfghkjfhfg" localSheetId="26" hidden="1">#REF!</definedName>
    <definedName name="jkfghkjfhfg" localSheetId="25" hidden="1">#REF!</definedName>
    <definedName name="jkfghkjfhfg" localSheetId="35" hidden="1">#REF!</definedName>
    <definedName name="jkfghkjfhfg" localSheetId="33" hidden="1">#REF!</definedName>
    <definedName name="jkfghkjfhfg" localSheetId="36" hidden="1">#REF!</definedName>
    <definedName name="jkfghkjfhfg" hidden="1">#REF!</definedName>
    <definedName name="Jully" localSheetId="26">#REF!</definedName>
    <definedName name="Jully" localSheetId="25">#REF!</definedName>
    <definedName name="Jully" localSheetId="35">#REF!</definedName>
    <definedName name="Jully" localSheetId="33">#REF!</definedName>
    <definedName name="Jully">#REF!</definedName>
    <definedName name="July" localSheetId="26">#REF!</definedName>
    <definedName name="July" localSheetId="25">#REF!</definedName>
    <definedName name="July" localSheetId="35">#REF!</definedName>
    <definedName name="July" localSheetId="33">#REF!</definedName>
    <definedName name="July">#REF!</definedName>
    <definedName name="June" localSheetId="28" hidden="1">{"'Check Request'!$A$1:$BF$37"}</definedName>
    <definedName name="June" hidden="1">{"'Check Request'!$A$1:$BF$37"}</definedName>
    <definedName name="k" localSheetId="28" hidden="1">{"Total",#N/A,FALSE,"Six Fields";"PDP",#N/A,FALSE,"Six Fields";"PNP",#N/A,FALSE,"Six Fields";"PUD",#N/A,FALSE,"Six Fields";"Prob",#N/A,FALSE,"Six Fields"}</definedName>
    <definedName name="k" hidden="1">{"Total",#N/A,FALSE,"Six Fields";"PDP",#N/A,FALSE,"Six Fields";"PNP",#N/A,FALSE,"Six Fields";"PUD",#N/A,FALSE,"Six Fields";"Prob",#N/A,FALSE,"Six Fields"}</definedName>
    <definedName name="k_1" localSheetId="28"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localSheetId="28"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6" hidden="1">#REF!</definedName>
    <definedName name="kdasjfhkaldshfkljahsdlfhjkldsjkhlajkhl" localSheetId="25" hidden="1">#REF!</definedName>
    <definedName name="kdasjfhkaldshfkljahsdlfhjkldsjkhlajkhl" localSheetId="35" hidden="1">#REF!</definedName>
    <definedName name="kdasjfhkaldshfkljahsdlfhjkldsjkhlajkhl" localSheetId="33" hidden="1">#REF!</definedName>
    <definedName name="kdasjfhkaldshfkljahsdlfhjkldsjkhlajkhl" localSheetId="36" hidden="1">#REF!</definedName>
    <definedName name="kdasjfhkaldshfkljahsdlfhjkldsjkhlajkhl" hidden="1">#REF!</definedName>
    <definedName name="kekke" localSheetId="26" hidden="1">#REF!</definedName>
    <definedName name="kekke" localSheetId="25" hidden="1">#REF!</definedName>
    <definedName name="kekke" localSheetId="35" hidden="1">#REF!</definedName>
    <definedName name="kekke" localSheetId="33" hidden="1">#REF!</definedName>
    <definedName name="kekke" localSheetId="36" hidden="1">#REF!</definedName>
    <definedName name="kekke" hidden="1">#REF!</definedName>
    <definedName name="KEYY" localSheetId="26" hidden="1">#REF!</definedName>
    <definedName name="KEYY" localSheetId="25" hidden="1">#REF!</definedName>
    <definedName name="KEYY" localSheetId="35" hidden="1">#REF!</definedName>
    <definedName name="KEYY" localSheetId="33" hidden="1">#REF!</definedName>
    <definedName name="KEYY" localSheetId="36" hidden="1">#REF!</definedName>
    <definedName name="KEYY" hidden="1">#REF!</definedName>
    <definedName name="kjdfhkjsafhadshjfjasdhfkjlads" localSheetId="26" hidden="1">#REF!</definedName>
    <definedName name="kjdfhkjsafhadshjfjasdhfkjlads" localSheetId="25" hidden="1">#REF!</definedName>
    <definedName name="kjdfhkjsafhadshjfjasdhfkjlads" localSheetId="35" hidden="1">#REF!</definedName>
    <definedName name="kjdfhkjsafhadshjfjasdhfkjlads" localSheetId="33" hidden="1">#REF!</definedName>
    <definedName name="kjdfhkjsafhadshjfjasdhfkjlads" localSheetId="36" hidden="1">#REF!</definedName>
    <definedName name="kjdfhkjsafhadshjfjasdhfkjlads" hidden="1">#REF!</definedName>
    <definedName name="kjlsadhfdsjahfjkdshfakjlds" localSheetId="26" hidden="1">#REF!</definedName>
    <definedName name="kjlsadhfdsjahfjkdshfakjlds" localSheetId="25" hidden="1">#REF!</definedName>
    <definedName name="kjlsadhfdsjahfjkdshfakjlds" localSheetId="35" hidden="1">#REF!</definedName>
    <definedName name="kjlsadhfdsjahfjkdshfakjlds" localSheetId="33" hidden="1">#REF!</definedName>
    <definedName name="kjlsadhfdsjahfjkdshfakjlds" localSheetId="36" hidden="1">#REF!</definedName>
    <definedName name="kjlsadhfdsjahfjkdshfakjlds" hidden="1">#REF!</definedName>
    <definedName name="kk" localSheetId="28" hidden="1">{"Sum1",#N/A,FALSE,"Reserve Report";"Sum2",#N/A,FALSE,"Reserve Report";"Sum3",#N/A,FALSE,"Reserve Report";"Sum4",#N/A,FALSE,"Reserve Report"}</definedName>
    <definedName name="kk" hidden="1">{"Sum1",#N/A,FALSE,"Reserve Report";"Sum2",#N/A,FALSE,"Reserve Report";"Sum3",#N/A,FALSE,"Reserve Report";"Sum4",#N/A,FALSE,"Reserve Report"}</definedName>
    <definedName name="kk_1" localSheetId="28"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localSheetId="28"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localSheetId="28" hidden="1">{#N/A,#N/A,FALSE,"Report Data";#N/A,#N/A,FALSE,"COMP POOL";#N/A,#N/A,FALSE,"COMP POOL NB95";#N/A,#N/A,FALSE,"COMP POOL NB94"}</definedName>
    <definedName name="kkkkk" hidden="1">{#N/A,#N/A,FALSE,"Report Data";#N/A,#N/A,FALSE,"COMP POOL";#N/A,#N/A,FALSE,"COMP POOL NB95";#N/A,#N/A,FALSE,"COMP POOL NB94"}</definedName>
    <definedName name="kkkkk_1" localSheetId="28" hidden="1">{#N/A,#N/A,FALSE,"Report Data";#N/A,#N/A,FALSE,"COMP POOL";#N/A,#N/A,FALSE,"COMP POOL NB95";#N/A,#N/A,FALSE,"COMP POOL NB94"}</definedName>
    <definedName name="kkkkk_1" hidden="1">{#N/A,#N/A,FALSE,"Report Data";#N/A,#N/A,FALSE,"COMP POOL";#N/A,#N/A,FALSE,"COMP POOL NB95";#N/A,#N/A,FALSE,"COMP POOL NB94"}</definedName>
    <definedName name="kkkkk_1_1" localSheetId="28" hidden="1">{#N/A,#N/A,FALSE,"Report Data";#N/A,#N/A,FALSE,"COMP POOL";#N/A,#N/A,FALSE,"COMP POOL NB95";#N/A,#N/A,FALSE,"COMP POOL NB94"}</definedName>
    <definedName name="kkkkk_1_1" hidden="1">{#N/A,#N/A,FALSE,"Report Data";#N/A,#N/A,FALSE,"COMP POOL";#N/A,#N/A,FALSE,"COMP POOL NB95";#N/A,#N/A,FALSE,"COMP POOL NB94"}</definedName>
    <definedName name="km" localSheetId="26">#REF!</definedName>
    <definedName name="km" localSheetId="25">#REF!</definedName>
    <definedName name="km" localSheetId="35">#REF!</definedName>
    <definedName name="km" localSheetId="33">#REF!</definedName>
    <definedName name="km" localSheetId="36">#REF!</definedName>
    <definedName name="km">#REF!</definedName>
    <definedName name="KMB" localSheetId="26">#REF!</definedName>
    <definedName name="KMB" localSheetId="25">#REF!</definedName>
    <definedName name="KMB" localSheetId="35">#REF!</definedName>
    <definedName name="KMB" localSheetId="33">#REF!</definedName>
    <definedName name="KMB" localSheetId="36">#REF!</definedName>
    <definedName name="KMB">#REF!</definedName>
    <definedName name="KPMG_2" localSheetId="26">#REF!</definedName>
    <definedName name="KPMG_2" localSheetId="25">#REF!</definedName>
    <definedName name="KPMG_2" localSheetId="35">#REF!</definedName>
    <definedName name="KPMG_2" localSheetId="33">#REF!</definedName>
    <definedName name="KPMG_2">#REF!</definedName>
    <definedName name="l" localSheetId="28" hidden="1">{#N/A,#N/A,TRUE,"Acquirer_Cases_Input";#N/A,#N/A,TRUE,"Acquirer_Input";#N/A,#N/A,TRUE,"Acquirer"}</definedName>
    <definedName name="l" hidden="1">{#N/A,#N/A,TRUE,"Acquirer_Cases_Input";#N/A,#N/A,TRUE,"Acquirer_Input";#N/A,#N/A,TRUE,"Acquirer"}</definedName>
    <definedName name="l_1" localSheetId="28" hidden="1">{#N/A,#N/A,TRUE,"Acquirer_Cases_Input";#N/A,#N/A,TRUE,"Acquirer_Input";#N/A,#N/A,TRUE,"Acquirer"}</definedName>
    <definedName name="l_1" hidden="1">{#N/A,#N/A,TRUE,"Acquirer_Cases_Input";#N/A,#N/A,TRUE,"Acquirer_Input";#N/A,#N/A,TRUE,"Acquirer"}</definedName>
    <definedName name="l_1_1" localSheetId="28" hidden="1">{#N/A,#N/A,TRUE,"Acquirer_Cases_Input";#N/A,#N/A,TRUE,"Acquirer_Input";#N/A,#N/A,TRUE,"Acquirer"}</definedName>
    <definedName name="l_1_1" hidden="1">{#N/A,#N/A,TRUE,"Acquirer_Cases_Input";#N/A,#N/A,TRUE,"Acquirer_Input";#N/A,#N/A,TRUE,"Acquirer"}</definedName>
    <definedName name="land" localSheetId="26">#REF!</definedName>
    <definedName name="land" localSheetId="25">#REF!</definedName>
    <definedName name="land" localSheetId="35">#REF!</definedName>
    <definedName name="land" localSheetId="33">#REF!</definedName>
    <definedName name="land">#REF!</definedName>
    <definedName name="landareasqm" localSheetId="26">#REF!</definedName>
    <definedName name="landareasqm" localSheetId="25">#REF!</definedName>
    <definedName name="landareasqm" localSheetId="35">#REF!</definedName>
    <definedName name="landareasqm" localSheetId="33">#REF!</definedName>
    <definedName name="landareasqm">#REF!</definedName>
    <definedName name="LandRent_fr2019" localSheetId="26">#REF!</definedName>
    <definedName name="LandRent_fr2019" localSheetId="25">#REF!</definedName>
    <definedName name="LandRent_fr2019" localSheetId="35">#REF!</definedName>
    <definedName name="LandRent_fr2019" localSheetId="33">#REF!</definedName>
    <definedName name="LandRent_fr2019">#REF!</definedName>
    <definedName name="LandRent_till2019" localSheetId="26">#REF!</definedName>
    <definedName name="LandRent_till2019" localSheetId="25">#REF!</definedName>
    <definedName name="LandRent_till2019" localSheetId="35">#REF!</definedName>
    <definedName name="LandRent_till2019" localSheetId="33">#REF!</definedName>
    <definedName name="LandRent_till2019">#REF!</definedName>
    <definedName name="leadsheet" localSheetId="26">#REF!</definedName>
    <definedName name="leadsheet" localSheetId="25">#REF!</definedName>
    <definedName name="leadsheet" localSheetId="35">#REF!</definedName>
    <definedName name="leadsheet" localSheetId="33">#REF!</definedName>
    <definedName name="leadsheet">#REF!</definedName>
    <definedName name="LEVERQ" localSheetId="26">#REF!</definedName>
    <definedName name="LEVERQ" localSheetId="25">#REF!</definedName>
    <definedName name="LEVERQ" localSheetId="35">#REF!</definedName>
    <definedName name="LEVERQ" localSheetId="33">#REF!</definedName>
    <definedName name="LEVERQ">#REF!</definedName>
    <definedName name="lf" localSheetId="26" hidden="1">#REF!</definedName>
    <definedName name="lf" localSheetId="25" hidden="1">#REF!</definedName>
    <definedName name="lf" localSheetId="35" hidden="1">#REF!</definedName>
    <definedName name="lf" localSheetId="33" hidden="1">#REF!</definedName>
    <definedName name="lf" localSheetId="36" hidden="1">#REF!</definedName>
    <definedName name="lf" hidden="1">#REF!</definedName>
    <definedName name="liloki" localSheetId="26" hidden="1">#REF!</definedName>
    <definedName name="liloki" localSheetId="25" hidden="1">#REF!</definedName>
    <definedName name="liloki" localSheetId="35" hidden="1">#REF!</definedName>
    <definedName name="liloki" localSheetId="33" hidden="1">#REF!</definedName>
    <definedName name="liloki" localSheetId="36" hidden="1">#REF!</definedName>
    <definedName name="liloki" hidden="1">#REF!</definedName>
    <definedName name="limcount" hidden="1">1</definedName>
    <definedName name="list_ht" localSheetId="26">#REF!</definedName>
    <definedName name="list_ht" localSheetId="25">#REF!</definedName>
    <definedName name="list_ht" localSheetId="35">#REF!</definedName>
    <definedName name="list_ht" localSheetId="33">#REF!</definedName>
    <definedName name="list_ht">#REF!</definedName>
    <definedName name="ListOffset" hidden="1">2</definedName>
    <definedName name="ListSheetsMacroButton" localSheetId="26">#REF!</definedName>
    <definedName name="ListSheetsMacroButton" localSheetId="25">#REF!</definedName>
    <definedName name="ListSheetsMacroButton" localSheetId="35">#REF!</definedName>
    <definedName name="ListSheetsMacroButton" localSheetId="33">#REF!</definedName>
    <definedName name="ListSheetsMacroButton">#REF!</definedName>
    <definedName name="lkjhg" localSheetId="26" hidden="1">#REF!</definedName>
    <definedName name="lkjhg" localSheetId="25" hidden="1">#REF!</definedName>
    <definedName name="lkjhg" localSheetId="35" hidden="1">#REF!</definedName>
    <definedName name="lkjhg" localSheetId="33" hidden="1">#REF!</definedName>
    <definedName name="lkjhg" localSheetId="36" hidden="1">#REF!</definedName>
    <definedName name="lkjhg" hidden="1">#REF!</definedName>
    <definedName name="lkjhgfds" localSheetId="26" hidden="1">#REF!</definedName>
    <definedName name="lkjhgfds" localSheetId="25" hidden="1">#REF!</definedName>
    <definedName name="lkjhgfds" localSheetId="35" hidden="1">#REF!</definedName>
    <definedName name="lkjhgfds" localSheetId="33" hidden="1">#REF!</definedName>
    <definedName name="lkjhgfds" localSheetId="36" hidden="1">#REF!</definedName>
    <definedName name="lkjhgfds" hidden="1">#REF!</definedName>
    <definedName name="ll" localSheetId="28" hidden="1">{"graph",#N/A,FALSE,"WWJU";"graph",#N/A,FALSE,"WWSEM";"graph",#N/A,FALSE,"GOMJU";"graph",#N/A,FALSE,"GOMSEM";"graph",#N/A,FALSE,"NSJU";"graph",#N/A,FALSE,"NSSEM";"graph",#N/A,FALSE,"WAJU";"graph",#N/A,FALSE,"STOCKPRI";"graph",#N/A,FALSE,"CFTEV";"graph",#N/A,FALSE,"NAV-RCV";"graph",#N/A,FALSE,"CRUDEWW"}</definedName>
    <definedName name="ll" hidden="1">{"graph",#N/A,FALSE,"WWJU";"graph",#N/A,FALSE,"WWSEM";"graph",#N/A,FALSE,"GOMJU";"graph",#N/A,FALSE,"GOMSEM";"graph",#N/A,FALSE,"NSJU";"graph",#N/A,FALSE,"NSSEM";"graph",#N/A,FALSE,"WAJU";"graph",#N/A,FALSE,"STOCKPRI";"graph",#N/A,FALSE,"CFTEV";"graph",#N/A,FALSE,"NAV-RCV";"graph",#N/A,FALSE,"CRUDEWW"}</definedName>
    <definedName name="ll_1" localSheetId="28"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localSheetId="28"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localSheetId="28" hidden="1">{"cred comp",#N/A,FALSE,"Comparable Credit Analysis";"IS",#N/A,FALSE,"IS";"Sensitivity",#N/A,FALSE,"Sensitivity";"BS",#N/A,FALSE,"BS";"Bond Summary",#N/A,FALSE,"B Summary";"AD",#N/A,FALSE,"Accretion";"NAV",#N/A,FALSE,"NAV";"SU",#N/A,FALSE,"S&amp;U";"acq. study",#N/A,FALSE,"Acq. Study";"F Charges",#N/A,FALSE,"Fixed Charges"}</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localSheetId="28"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localSheetId="28"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localSheetId="28" hidden="1">{#N/A,#N/A,FALSE,"SUM";#N/A,#N/A,FALSE,"Holding Cost ";#N/A,#N/A,FALSE,"2000 &amp; C3D";#N/A,#N/A,FALSE,"Disposal Costs";#N/A,#N/A,FALSE,"WIP";#N/A,#N/A,FALSE,"Fin Goods"}</definedName>
    <definedName name="lllll" hidden="1">{#N/A,#N/A,FALSE,"SUM";#N/A,#N/A,FALSE,"Holding Cost ";#N/A,#N/A,FALSE,"2000 &amp; C3D";#N/A,#N/A,FALSE,"Disposal Costs";#N/A,#N/A,FALSE,"WIP";#N/A,#N/A,FALSE,"Fin Goods"}</definedName>
    <definedName name="lllll_1" localSheetId="28"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localSheetId="28"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localSheetId="28" hidden="1">{"revenue detail 1",#N/A,FALSE,"Revenue Detail";"revenue detail 2",#N/A,FALSE,"Revenue Detail";"revenue detail 3",#N/A,FALSE,"Revenue Detail";"revenue detail 4",#N/A,FALSE,"Revenue Detail"}</definedName>
    <definedName name="llllll" hidden="1">{"revenue detail 1",#N/A,FALSE,"Revenue Detail";"revenue detail 2",#N/A,FALSE,"Revenue Detail";"revenue detail 3",#N/A,FALSE,"Revenue Detail";"revenue detail 4",#N/A,FALSE,"Revenue Detail"}</definedName>
    <definedName name="llllll_1" localSheetId="28"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localSheetId="28"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localSheetId="28" hidden="1">{"revenue graph",#N/A,FALSE,"Revenue Graph"}</definedName>
    <definedName name="lllllll" hidden="1">{"revenue graph",#N/A,FALSE,"Revenue Graph"}</definedName>
    <definedName name="lllllll_1" localSheetId="28" hidden="1">{"revenue graph",#N/A,FALSE,"Revenue Graph"}</definedName>
    <definedName name="lllllll_1" hidden="1">{"revenue graph",#N/A,FALSE,"Revenue Graph"}</definedName>
    <definedName name="lllllll_1_1" localSheetId="28" hidden="1">{"revenue graph",#N/A,FALSE,"Revenue Graph"}</definedName>
    <definedName name="lllllll_1_1" hidden="1">{"revenue graph",#N/A,FALSE,"Revenue Graph"}</definedName>
    <definedName name="lo" localSheetId="26" hidden="1">#REF!</definedName>
    <definedName name="lo" localSheetId="25" hidden="1">#REF!</definedName>
    <definedName name="lo" localSheetId="35" hidden="1">#REF!</definedName>
    <definedName name="lo" localSheetId="33" hidden="1">#REF!</definedName>
    <definedName name="lo" localSheetId="36" hidden="1">#REF!</definedName>
    <definedName name="lo" hidden="1">#REF!</definedName>
    <definedName name="LOAD_FILES" localSheetId="26">#REF!</definedName>
    <definedName name="LOAD_FILES" localSheetId="25">#REF!</definedName>
    <definedName name="LOAD_FILES" localSheetId="35">#REF!</definedName>
    <definedName name="LOAD_FILES" localSheetId="33">#REF!</definedName>
    <definedName name="LOAD_FILES" localSheetId="36">#REF!</definedName>
    <definedName name="LOAD_FILES">#REF!</definedName>
    <definedName name="LOC">#N/A</definedName>
    <definedName name="LoginName" localSheetId="26">#REF!</definedName>
    <definedName name="LoginName" localSheetId="25">#REF!</definedName>
    <definedName name="LoginName" localSheetId="35">#REF!</definedName>
    <definedName name="LoginName" localSheetId="33">#REF!</definedName>
    <definedName name="LoginName" localSheetId="36">#REF!</definedName>
    <definedName name="LoginName">#REF!</definedName>
    <definedName name="LOOP" localSheetId="26">#REF!</definedName>
    <definedName name="LOOP" localSheetId="25">#REF!</definedName>
    <definedName name="LOOP" localSheetId="35">#REF!</definedName>
    <definedName name="LOOP" localSheetId="33">#REF!</definedName>
    <definedName name="LOOP" localSheetId="36">#REF!</definedName>
    <definedName name="LOOP">#REF!</definedName>
    <definedName name="LowColor" localSheetId="26">#REF!</definedName>
    <definedName name="LowColor" localSheetId="25">#REF!</definedName>
    <definedName name="LowColor" localSheetId="35">#REF!</definedName>
    <definedName name="LowColor" localSheetId="33">#REF!</definedName>
    <definedName name="LowColor" localSheetId="36">#REF!</definedName>
    <definedName name="LowColor">#REF!</definedName>
    <definedName name="LowLower" localSheetId="26">#REF!</definedName>
    <definedName name="LowLower" localSheetId="25">#REF!</definedName>
    <definedName name="LowLower" localSheetId="35">#REF!</definedName>
    <definedName name="LowLower" localSheetId="33">#REF!</definedName>
    <definedName name="LowLower" localSheetId="36">#REF!</definedName>
    <definedName name="LowLower">#REF!</definedName>
    <definedName name="LowUpper" localSheetId="26">#REF!</definedName>
    <definedName name="LowUpper" localSheetId="25">#REF!</definedName>
    <definedName name="LowUpper" localSheetId="35">#REF!</definedName>
    <definedName name="LowUpper" localSheetId="33">#REF!</definedName>
    <definedName name="LowUpper" localSheetId="36">#REF!</definedName>
    <definedName name="LowUpper">#REF!</definedName>
    <definedName name="LUFeXToEUR" localSheetId="28" hidden="1">1/EUReXToLUF</definedName>
    <definedName name="LUFeXToEUR" localSheetId="26" hidden="1">1/EUReXToLUF</definedName>
    <definedName name="LUFeXToEUR" localSheetId="25" hidden="1">1/EUReXToLUF</definedName>
    <definedName name="LUFeXToEUR" localSheetId="35" hidden="1">1/EUReXToLUF</definedName>
    <definedName name="LUFeXToEUR" localSheetId="33" hidden="1">1/EUReXToLUF</definedName>
    <definedName name="LUFeXToEUR" localSheetId="36" hidden="1">1/EUReXToLUF</definedName>
    <definedName name="LUFeXToEUR" hidden="1">1/EUReXToLUF</definedName>
    <definedName name="m" localSheetId="28" hidden="1">{"contributory1",#N/A,FALSE,"Contributory Assets Detail";"contributory2",#N/A,FALSE,"Contributory Assets Detail"}</definedName>
    <definedName name="m" hidden="1">{"contributory1",#N/A,FALSE,"Contributory Assets Detail";"contributory2",#N/A,FALSE,"Contributory Assets Detail"}</definedName>
    <definedName name="m_1" localSheetId="28" hidden="1">{"contributory1",#N/A,FALSE,"Contributory Assets Detail";"contributory2",#N/A,FALSE,"Contributory Assets Detail"}</definedName>
    <definedName name="m_1" hidden="1">{"contributory1",#N/A,FALSE,"Contributory Assets Detail";"contributory2",#N/A,FALSE,"Contributory Assets Detail"}</definedName>
    <definedName name="m_1_1" localSheetId="28"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6">#REF!</definedName>
    <definedName name="MACROS" localSheetId="25">#REF!</definedName>
    <definedName name="MACROS" localSheetId="35">#REF!</definedName>
    <definedName name="MACROS" localSheetId="33">#REF!</definedName>
    <definedName name="MACROS" localSheetId="36">#REF!</definedName>
    <definedName name="MACROS">#REF!</definedName>
    <definedName name="main" localSheetId="26">#REF!</definedName>
    <definedName name="main" localSheetId="25">#REF!</definedName>
    <definedName name="main" localSheetId="35">#REF!</definedName>
    <definedName name="main" localSheetId="33">#REF!</definedName>
    <definedName name="main">#REF!</definedName>
    <definedName name="ManCapGoal" localSheetId="26">#REF!</definedName>
    <definedName name="ManCapGoal" localSheetId="25">#REF!</definedName>
    <definedName name="ManCapGoal" localSheetId="35">#REF!</definedName>
    <definedName name="ManCapGoal" localSheetId="33">#REF!</definedName>
    <definedName name="ManCapGoal">#REF!</definedName>
    <definedName name="March"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6">#REF!</definedName>
    <definedName name="MARKET" localSheetId="25">#REF!</definedName>
    <definedName name="MARKET" localSheetId="35">#REF!</definedName>
    <definedName name="MARKET" localSheetId="33">#REF!</definedName>
    <definedName name="MARKET">#REF!</definedName>
    <definedName name="MARKETPREMIUM" localSheetId="26">#REF!</definedName>
    <definedName name="MARKETPREMIUM" localSheetId="25">#REF!</definedName>
    <definedName name="MARKETPREMIUM" localSheetId="35">#REF!</definedName>
    <definedName name="MARKETPREMIUM" localSheetId="33">#REF!</definedName>
    <definedName name="MARKETPREMIUM">#REF!</definedName>
    <definedName name="May" localSheetId="26">#REF!</definedName>
    <definedName name="May" localSheetId="25">#REF!</definedName>
    <definedName name="May" localSheetId="35">#REF!</definedName>
    <definedName name="May" localSheetId="33">#REF!</definedName>
    <definedName name="May">#REF!</definedName>
    <definedName name="may.191" localSheetId="28" hidden="1">{"'Check Request'!$A$1:$BF$37"}</definedName>
    <definedName name="may.191" hidden="1">{"'Check Request'!$A$1:$BF$37"}</definedName>
    <definedName name="mdmdmdmdmdmdmdm" localSheetId="26" hidden="1">#REF!</definedName>
    <definedName name="mdmdmdmdmdmdmdm" localSheetId="25" hidden="1">#REF!</definedName>
    <definedName name="mdmdmdmdmdmdmdm" localSheetId="35" hidden="1">#REF!</definedName>
    <definedName name="mdmdmdmdmdmdmdm" localSheetId="33" hidden="1">#REF!</definedName>
    <definedName name="mdmdmdmdmdmdmdm" localSheetId="36" hidden="1">#REF!</definedName>
    <definedName name="mdmdmdmdmdmdmdm" hidden="1">#REF!</definedName>
    <definedName name="MediumColor" localSheetId="26">#REF!</definedName>
    <definedName name="MediumColor" localSheetId="25">#REF!</definedName>
    <definedName name="MediumColor" localSheetId="35">#REF!</definedName>
    <definedName name="MediumColor" localSheetId="33">#REF!</definedName>
    <definedName name="MediumColor" localSheetId="36">#REF!</definedName>
    <definedName name="MediumColor">#REF!</definedName>
    <definedName name="MediumLower" localSheetId="26">#REF!</definedName>
    <definedName name="MediumLower" localSheetId="25">#REF!</definedName>
    <definedName name="MediumLower" localSheetId="35">#REF!</definedName>
    <definedName name="MediumLower" localSheetId="33">#REF!</definedName>
    <definedName name="MediumLower" localSheetId="36">#REF!</definedName>
    <definedName name="MediumLower">#REF!</definedName>
    <definedName name="MediumUpper" localSheetId="26">#REF!</definedName>
    <definedName name="MediumUpper" localSheetId="25">#REF!</definedName>
    <definedName name="MediumUpper" localSheetId="35">#REF!</definedName>
    <definedName name="MediumUpper" localSheetId="33">#REF!</definedName>
    <definedName name="MediumUpper" localSheetId="36">#REF!</definedName>
    <definedName name="MediumUpper">#REF!</definedName>
    <definedName name="meivy" localSheetId="28" hidden="1">{#N/A,#N/A,FALSE,"Aging Summary";#N/A,#N/A,FALSE,"Ratio Analysis";#N/A,#N/A,FALSE,"Test 120 Day Accts";#N/A,#N/A,FALSE,"Tickmarks"}</definedName>
    <definedName name="meivy" hidden="1">{#N/A,#N/A,FALSE,"Aging Summary";#N/A,#N/A,FALSE,"Ratio Analysis";#N/A,#N/A,FALSE,"Test 120 Day Accts";#N/A,#N/A,FALSE,"Tickmarks"}</definedName>
    <definedName name="menu_button_Click">#N/A</definedName>
    <definedName name="MEperiod" localSheetId="26">#REF!</definedName>
    <definedName name="MEperiod" localSheetId="25">#REF!</definedName>
    <definedName name="MEperiod" localSheetId="35">#REF!</definedName>
    <definedName name="MEperiod" localSheetId="33">#REF!</definedName>
    <definedName name="MEperiod">#REF!</definedName>
    <definedName name="mf" localSheetId="26">#REF!</definedName>
    <definedName name="mf" localSheetId="25">#REF!</definedName>
    <definedName name="mf" localSheetId="35">#REF!</definedName>
    <definedName name="mf" localSheetId="33">#REF!</definedName>
    <definedName name="mf">#REF!</definedName>
    <definedName name="MISC1" localSheetId="26">#REF!</definedName>
    <definedName name="MISC1" localSheetId="25">#REF!</definedName>
    <definedName name="MISC1" localSheetId="35">#REF!</definedName>
    <definedName name="MISC1" localSheetId="33">#REF!</definedName>
    <definedName name="MISC1">#REF!</definedName>
    <definedName name="MISC2" localSheetId="26">#REF!</definedName>
    <definedName name="MISC2" localSheetId="25">#REF!</definedName>
    <definedName name="MISC2" localSheetId="35">#REF!</definedName>
    <definedName name="MISC2" localSheetId="33">#REF!</definedName>
    <definedName name="MISC2">#REF!</definedName>
    <definedName name="MLVColor" localSheetId="26">#REF!</definedName>
    <definedName name="MLVColor" localSheetId="25">#REF!</definedName>
    <definedName name="MLVColor" localSheetId="35">#REF!</definedName>
    <definedName name="MLVColor" localSheetId="33">#REF!</definedName>
    <definedName name="MLVColor" localSheetId="36">#REF!</definedName>
    <definedName name="MLVColor">#REF!</definedName>
    <definedName name="MLVTotalDetail" localSheetId="26">#REF!</definedName>
    <definedName name="MLVTotalDetail" localSheetId="25">#REF!</definedName>
    <definedName name="MLVTotalDetail" localSheetId="35">#REF!</definedName>
    <definedName name="MLVTotalDetail" localSheetId="33">#REF!</definedName>
    <definedName name="MLVTotalDetail" localSheetId="36">#REF!</definedName>
    <definedName name="MLVTotalDetail">#REF!</definedName>
    <definedName name="mm" localSheetId="28" hidden="1">{"ReportTop",#N/A,FALSE,"report top"}</definedName>
    <definedName name="mm" hidden="1">{"ReportTop",#N/A,FALSE,"report top"}</definedName>
    <definedName name="mm_1" localSheetId="28" hidden="1">{"ReportTop",#N/A,FALSE,"report top"}</definedName>
    <definedName name="mm_1" hidden="1">{"ReportTop",#N/A,FALSE,"report top"}</definedName>
    <definedName name="mm_1_1" localSheetId="28" hidden="1">{"ReportTop",#N/A,FALSE,"report top"}</definedName>
    <definedName name="mm_1_1" hidden="1">{"ReportTop",#N/A,FALSE,"report top"}</definedName>
    <definedName name="mmm" localSheetId="28" hidden="1">{"documentation1",#N/A,FALSE,"Documentation";"documentation2",#N/A,FALSE,"Documentation"}</definedName>
    <definedName name="mmm" hidden="1">{"documentation1",#N/A,FALSE,"Documentation";"documentation2",#N/A,FALSE,"Documentation"}</definedName>
    <definedName name="mmm_1" localSheetId="28" hidden="1">{"documentation1",#N/A,FALSE,"Documentation";"documentation2",#N/A,FALSE,"Documentation"}</definedName>
    <definedName name="mmm_1" hidden="1">{"documentation1",#N/A,FALSE,"Documentation";"documentation2",#N/A,FALSE,"Documentation"}</definedName>
    <definedName name="mmm_1_1" localSheetId="28" hidden="1">{"documentation1",#N/A,FALSE,"Documentation";"documentation2",#N/A,FALSE,"Documentation"}</definedName>
    <definedName name="mmm_1_1" hidden="1">{"documentation1",#N/A,FALSE,"Documentation";"documentation2",#N/A,FALSE,"Documentation"}</definedName>
    <definedName name="mmmm"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localSheetId="28" hidden="1">{#N/A,#N/A,TRUE,"Fiber_Optic_Cable_Input ";#N/A,#N/A,TRUE,"Specialty_Fiber_Devices_Input";#N/A,#N/A,TRUE,"Optical_Fiber_Apparatus_Input"}</definedName>
    <definedName name="mmmmm" hidden="1">{#N/A,#N/A,TRUE,"Fiber_Optic_Cable_Input ";#N/A,#N/A,TRUE,"Specialty_Fiber_Devices_Input";#N/A,#N/A,TRUE,"Optical_Fiber_Apparatus_Input"}</definedName>
    <definedName name="mmmmm_1" localSheetId="28"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localSheetId="28"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localSheetId="28" hidden="1">{#N/A,#N/A,TRUE,"Falcons_Standalone";#N/A,#N/A,TRUE,"Target_Input";#N/A,#N/A,TRUE,"Target_Calendarized"}</definedName>
    <definedName name="mmmmmm" hidden="1">{#N/A,#N/A,TRUE,"Falcons_Standalone";#N/A,#N/A,TRUE,"Target_Input";#N/A,#N/A,TRUE,"Target_Calendarized"}</definedName>
    <definedName name="mmmmmm_1" localSheetId="28" hidden="1">{#N/A,#N/A,TRUE,"Falcons_Standalone";#N/A,#N/A,TRUE,"Target_Input";#N/A,#N/A,TRUE,"Target_Calendarized"}</definedName>
    <definedName name="mmmmmm_1" hidden="1">{#N/A,#N/A,TRUE,"Falcons_Standalone";#N/A,#N/A,TRUE,"Target_Input";#N/A,#N/A,TRUE,"Target_Calendarized"}</definedName>
    <definedName name="mmmmmm_1_1" localSheetId="28" hidden="1">{#N/A,#N/A,TRUE,"Falcons_Standalone";#N/A,#N/A,TRUE,"Target_Input";#N/A,#N/A,TRUE,"Target_Calendarized"}</definedName>
    <definedName name="mmmmmm_1_1" hidden="1">{#N/A,#N/A,TRUE,"Falcons_Standalone";#N/A,#N/A,TRUE,"Target_Input";#N/A,#N/A,TRUE,"Target_Calendarized"}</definedName>
    <definedName name="mmmmmmm" localSheetId="28" hidden="1">{#N/A,#N/A,TRUE,"FOC_Product_Assumptions"}</definedName>
    <definedName name="mmmmmmm" hidden="1">{#N/A,#N/A,TRUE,"FOC_Product_Assumptions"}</definedName>
    <definedName name="mmmmmmm_1" localSheetId="28" hidden="1">{#N/A,#N/A,TRUE,"FOC_Product_Assumptions"}</definedName>
    <definedName name="mmmmmmm_1" hidden="1">{#N/A,#N/A,TRUE,"FOC_Product_Assumptions"}</definedName>
    <definedName name="mmmmmmm_1_1" localSheetId="28" hidden="1">{#N/A,#N/A,TRUE,"FOC_Product_Assumptions"}</definedName>
    <definedName name="mmmmmmm_1_1" hidden="1">{#N/A,#N/A,TRUE,"FOC_Product_Assumptions"}</definedName>
    <definedName name="mmmmmmmhm" localSheetId="28" hidden="1">{"mgmt forecast",#N/A,FALSE,"Mgmt Forecast";"dcf table",#N/A,FALSE,"Mgmt Forecast";"sensitivity",#N/A,FALSE,"Mgmt Forecast";"table inputs",#N/A,FALSE,"Mgmt Forecast";"calculations",#N/A,FALSE,"Mgmt Forecast"}</definedName>
    <definedName name="mmmmmmmhm" hidden="1">{"mgmt forecast",#N/A,FALSE,"Mgmt Forecast";"dcf table",#N/A,FALSE,"Mgmt Forecast";"sensitivity",#N/A,FALSE,"Mgmt Forecast";"table inputs",#N/A,FALSE,"Mgmt Forecast";"calculations",#N/A,FALSE,"Mgmt Forecast"}</definedName>
    <definedName name="mmmmmmmhm_1" localSheetId="28"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localSheetId="28"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localSheetId="28" hidden="1">{#N/A,#N/A,FALSE,"Consolidated Shipley";#N/A,#N/A,FALSE,"Consolidated PWB";#N/A,#N/A,FALSE,"Consolidated Micro"}</definedName>
    <definedName name="mmmmmmmm" hidden="1">{#N/A,#N/A,FALSE,"Consolidated Shipley";#N/A,#N/A,FALSE,"Consolidated PWB";#N/A,#N/A,FALSE,"Consolidated Micro"}</definedName>
    <definedName name="mmmmmmmm_1" localSheetId="28" hidden="1">{#N/A,#N/A,FALSE,"Consolidated Shipley";#N/A,#N/A,FALSE,"Consolidated PWB";#N/A,#N/A,FALSE,"Consolidated Micro"}</definedName>
    <definedName name="mmmmmmmm_1" hidden="1">{#N/A,#N/A,FALSE,"Consolidated Shipley";#N/A,#N/A,FALSE,"Consolidated PWB";#N/A,#N/A,FALSE,"Consolidated Micro"}</definedName>
    <definedName name="mmmmmmmm_1_1" localSheetId="28" hidden="1">{#N/A,#N/A,FALSE,"Consolidated Shipley";#N/A,#N/A,FALSE,"Consolidated PWB";#N/A,#N/A,FALSE,"Consolidated Micro"}</definedName>
    <definedName name="mmmmmmmm_1_1" hidden="1">{#N/A,#N/A,FALSE,"Consolidated Shipley";#N/A,#N/A,FALSE,"Consolidated PWB";#N/A,#N/A,FALSE,"Consolidated Micro"}</definedName>
    <definedName name="mo" localSheetId="28" hidden="1">{#N/A,#N/A,TRUE,"KEY DATA";#N/A,#N/A,TRUE,"KEY DATA Base Case";#N/A,#N/A,TRUE,"JULY";#N/A,#N/A,TRUE,"AUG";#N/A,#N/A,TRUE,"SEPT";#N/A,#N/A,TRUE,"3Q"}</definedName>
    <definedName name="mo" hidden="1">{#N/A,#N/A,TRUE,"KEY DATA";#N/A,#N/A,TRUE,"KEY DATA Base Case";#N/A,#N/A,TRUE,"JULY";#N/A,#N/A,TRUE,"AUG";#N/A,#N/A,TRUE,"SEPT";#N/A,#N/A,TRUE,"3Q"}</definedName>
    <definedName name="mo_1" localSheetId="28" hidden="1">{#N/A,#N/A,TRUE,"KEY DATA";#N/A,#N/A,TRUE,"KEY DATA Base Case";#N/A,#N/A,TRUE,"JULY";#N/A,#N/A,TRUE,"AUG";#N/A,#N/A,TRUE,"SEPT";#N/A,#N/A,TRUE,"3Q"}</definedName>
    <definedName name="mo_1" hidden="1">{#N/A,#N/A,TRUE,"KEY DATA";#N/A,#N/A,TRUE,"KEY DATA Base Case";#N/A,#N/A,TRUE,"JULY";#N/A,#N/A,TRUE,"AUG";#N/A,#N/A,TRUE,"SEPT";#N/A,#N/A,TRUE,"3Q"}</definedName>
    <definedName name="mo_1_1" localSheetId="28" hidden="1">{#N/A,#N/A,TRUE,"KEY DATA";#N/A,#N/A,TRUE,"KEY DATA Base Case";#N/A,#N/A,TRUE,"JULY";#N/A,#N/A,TRUE,"AUG";#N/A,#N/A,TRUE,"SEPT";#N/A,#N/A,TRUE,"3Q"}</definedName>
    <definedName name="mo_1_1" hidden="1">{#N/A,#N/A,TRUE,"KEY DATA";#N/A,#N/A,TRUE,"KEY DATA Base Case";#N/A,#N/A,TRUE,"JULY";#N/A,#N/A,TRUE,"AUG";#N/A,#N/A,TRUE,"SEPT";#N/A,#N/A,TRUE,"3Q"}</definedName>
    <definedName name="MOD" localSheetId="26">#REF!</definedName>
    <definedName name="MOD" localSheetId="25">#REF!</definedName>
    <definedName name="MOD" localSheetId="35">#REF!</definedName>
    <definedName name="MOD" localSheetId="33">#REF!</definedName>
    <definedName name="MOD">#REF!</definedName>
    <definedName name="month" localSheetId="26">#REF!</definedName>
    <definedName name="month" localSheetId="25">#REF!</definedName>
    <definedName name="month" localSheetId="35">#REF!</definedName>
    <definedName name="month" localSheetId="33">#REF!</definedName>
    <definedName name="month">#REF!</definedName>
    <definedName name="MONTH_B99" localSheetId="26">#REF!</definedName>
    <definedName name="MONTH_B99" localSheetId="25">#REF!</definedName>
    <definedName name="MONTH_B99" localSheetId="35">#REF!</definedName>
    <definedName name="MONTH_B99" localSheetId="33">#REF!</definedName>
    <definedName name="MONTH_B99">#REF!</definedName>
    <definedName name="MONTHLY_DATA" localSheetId="26">#REF!</definedName>
    <definedName name="MONTHLY_DATA" localSheetId="25">#REF!</definedName>
    <definedName name="MONTHLY_DATA" localSheetId="35">#REF!</definedName>
    <definedName name="MONTHLY_DATA" localSheetId="33">#REF!</definedName>
    <definedName name="MONTHLY_DATA">#REF!</definedName>
    <definedName name="MONTHLY_DATA_B99" localSheetId="26">#REF!</definedName>
    <definedName name="MONTHLY_DATA_B99" localSheetId="25">#REF!</definedName>
    <definedName name="MONTHLY_DATA_B99" localSheetId="35">#REF!</definedName>
    <definedName name="MONTHLY_DATA_B99" localSheetId="33">#REF!</definedName>
    <definedName name="MONTHLY_DATA_B99">#REF!</definedName>
    <definedName name="Months">2</definedName>
    <definedName name="Mth" localSheetId="26">#REF!</definedName>
    <definedName name="Mth" localSheetId="25">#REF!</definedName>
    <definedName name="Mth" localSheetId="35">#REF!</definedName>
    <definedName name="Mth" localSheetId="33">#REF!</definedName>
    <definedName name="Mth">#REF!</definedName>
    <definedName name="MustWinColor" localSheetId="26">#REF!</definedName>
    <definedName name="MustWinColor" localSheetId="25">#REF!</definedName>
    <definedName name="MustWinColor" localSheetId="35">#REF!</definedName>
    <definedName name="MustWinColor" localSheetId="33">#REF!</definedName>
    <definedName name="MustWinColor" localSheetId="36">#REF!</definedName>
    <definedName name="MustWinColor">#REF!</definedName>
    <definedName name="MustWinTotalDetail" localSheetId="26">#REF!</definedName>
    <definedName name="MustWinTotalDetail" localSheetId="25">#REF!</definedName>
    <definedName name="MustWinTotalDetail" localSheetId="35">#REF!</definedName>
    <definedName name="MustWinTotalDetail" localSheetId="33">#REF!</definedName>
    <definedName name="MustWinTotalDetail" localSheetId="36">#REF!</definedName>
    <definedName name="MustWinTotalDetail">#REF!</definedName>
    <definedName name="mux" localSheetId="26">#REF!</definedName>
    <definedName name="mux" localSheetId="25">#REF!</definedName>
    <definedName name="mux" localSheetId="35">#REF!</definedName>
    <definedName name="mux" localSheetId="33">#REF!</definedName>
    <definedName name="mux" localSheetId="36">#REF!</definedName>
    <definedName name="mux">#REF!</definedName>
    <definedName name="n" localSheetId="28" hidden="1">{#N/A,#N/A,FALSE,"Consolidated Shipley";#N/A,#N/A,FALSE,"Consolidated PWB";#N/A,#N/A,FALSE,"Consolidated Micro"}</definedName>
    <definedName name="n" hidden="1">{#N/A,#N/A,FALSE,"Consolidated Shipley";#N/A,#N/A,FALSE,"Consolidated PWB";#N/A,#N/A,FALSE,"Consolidated Micro"}</definedName>
    <definedName name="n\" localSheetId="28"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_1" localSheetId="28"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localSheetId="28"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localSheetId="28" hidden="1">{#N/A,#N/A,FALSE,"Consolidated Shipley";#N/A,#N/A,FALSE,"Consolidated PWB";#N/A,#N/A,FALSE,"Consolidated Micro"}</definedName>
    <definedName name="n_1" hidden="1">{#N/A,#N/A,FALSE,"Consolidated Shipley";#N/A,#N/A,FALSE,"Consolidated PWB";#N/A,#N/A,FALSE,"Consolidated Micro"}</definedName>
    <definedName name="n_1_1" localSheetId="28" hidden="1">{#N/A,#N/A,FALSE,"Consolidated Shipley";#N/A,#N/A,FALSE,"Consolidated PWB";#N/A,#N/A,FALSE,"Consolidated Micro"}</definedName>
    <definedName name="n_1_1" hidden="1">{#N/A,#N/A,FALSE,"Consolidated Shipley";#N/A,#N/A,FALSE,"Consolidated PWB";#N/A,#N/A,FALSE,"Consolidated Micro"}</definedName>
    <definedName name="N0" localSheetId="26">#REF!</definedName>
    <definedName name="N0" localSheetId="25">#REF!</definedName>
    <definedName name="N0" localSheetId="35">#REF!</definedName>
    <definedName name="N0" localSheetId="33">#REF!</definedName>
    <definedName name="N0">#REF!</definedName>
    <definedName name="NAME_OF_PROPERTY_项目__嘉信茂广场·雨花亭" localSheetId="26">#REF!</definedName>
    <definedName name="NAME_OF_PROPERTY_项目__嘉信茂广场·雨花亭" localSheetId="25">#REF!</definedName>
    <definedName name="NAME_OF_PROPERTY_项目__嘉信茂广场·雨花亭" localSheetId="35">#REF!</definedName>
    <definedName name="NAME_OF_PROPERTY_项目__嘉信茂广场·雨花亭" localSheetId="33">#REF!</definedName>
    <definedName name="NAME_OF_PROPERTY_项目__嘉信茂广场·雨花亭">#REF!</definedName>
    <definedName name="nay" localSheetId="26">#REF!</definedName>
    <definedName name="nay" localSheetId="25">#REF!</definedName>
    <definedName name="nay" localSheetId="35">#REF!</definedName>
    <definedName name="nay" localSheetId="33">#REF!</definedName>
    <definedName name="nay">#REF!</definedName>
    <definedName name="nera" localSheetId="26" hidden="1">#REF!</definedName>
    <definedName name="nera" localSheetId="25" hidden="1">#REF!</definedName>
    <definedName name="nera" localSheetId="35" hidden="1">#REF!</definedName>
    <definedName name="nera" localSheetId="33" hidden="1">#REF!</definedName>
    <definedName name="nera" hidden="1">#REF!</definedName>
    <definedName name="NEW"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6">#REF!</definedName>
    <definedName name="New_Maint" localSheetId="25">#REF!</definedName>
    <definedName name="New_Maint" localSheetId="35">#REF!</definedName>
    <definedName name="New_Maint" localSheetId="33">#REF!</definedName>
    <definedName name="New_Maint">#REF!</definedName>
    <definedName name="NewFiMat" localSheetId="26">#REF!</definedName>
    <definedName name="NewFiMat" localSheetId="25">#REF!</definedName>
    <definedName name="NewFiMat" localSheetId="35">#REF!</definedName>
    <definedName name="NewFiMat" localSheetId="33">#REF!</definedName>
    <definedName name="NewFiMat">#REF!</definedName>
    <definedName name="NewFiOPB" localSheetId="26">#REF!</definedName>
    <definedName name="NewFiOPB" localSheetId="25">#REF!</definedName>
    <definedName name="NewFiOPB" localSheetId="35">#REF!</definedName>
    <definedName name="NewFiOPB" localSheetId="33">#REF!</definedName>
    <definedName name="NewFiOPB">#REF!</definedName>
    <definedName name="NewFiOption" localSheetId="26">#REF!</definedName>
    <definedName name="NewFiOption" localSheetId="25">#REF!</definedName>
    <definedName name="NewFiOption" localSheetId="35">#REF!</definedName>
    <definedName name="NewFiOption" localSheetId="33">#REF!</definedName>
    <definedName name="NewFiOption">#REF!</definedName>
    <definedName name="NewFiOrig" localSheetId="26">#REF!</definedName>
    <definedName name="NewFiOrig" localSheetId="25">#REF!</definedName>
    <definedName name="NewFiOrig" localSheetId="35">#REF!</definedName>
    <definedName name="NewFiOrig" localSheetId="33">#REF!</definedName>
    <definedName name="NewFiOrig">#REF!</definedName>
    <definedName name="NewFiRate" localSheetId="26">#REF!</definedName>
    <definedName name="NewFiRate" localSheetId="25">#REF!</definedName>
    <definedName name="NewFiRate" localSheetId="35">#REF!</definedName>
    <definedName name="NewFiRate" localSheetId="33">#REF!</definedName>
    <definedName name="NewFiRate">#REF!</definedName>
    <definedName name="NewFiRateA" localSheetId="26">#REF!</definedName>
    <definedName name="NewFiRateA" localSheetId="25">#REF!</definedName>
    <definedName name="NewFiRateA" localSheetId="35">#REF!</definedName>
    <definedName name="NewFiRateA" localSheetId="33">#REF!</definedName>
    <definedName name="NewFiRateA">#REF!</definedName>
    <definedName name="NextYrNOI" localSheetId="26">#REF!</definedName>
    <definedName name="NextYrNOI" localSheetId="25">#REF!</definedName>
    <definedName name="NextYrNOI" localSheetId="35">#REF!</definedName>
    <definedName name="NextYrNOI" localSheetId="33">#REF!</definedName>
    <definedName name="NextYrNOI">#REF!</definedName>
    <definedName name="ngngfnfgndfg" localSheetId="26" hidden="1">#REF!</definedName>
    <definedName name="ngngfnfgndfg" localSheetId="25" hidden="1">#REF!</definedName>
    <definedName name="ngngfnfgndfg" localSheetId="35" hidden="1">#REF!</definedName>
    <definedName name="ngngfnfgndfg" localSheetId="33" hidden="1">#REF!</definedName>
    <definedName name="ngngfnfgndfg" localSheetId="36" hidden="1">#REF!</definedName>
    <definedName name="ngngfnfgndfg" hidden="1">#REF!</definedName>
    <definedName name="NLGeXToEUR" localSheetId="28" hidden="1">1/EUReXToNLG</definedName>
    <definedName name="NLGeXToEUR" localSheetId="26" hidden="1">1/EUReXToNLG</definedName>
    <definedName name="NLGeXToEUR" localSheetId="25" hidden="1">1/EUReXToNLG</definedName>
    <definedName name="NLGeXToEUR" localSheetId="35" hidden="1">1/EUReXToNLG</definedName>
    <definedName name="NLGeXToEUR" localSheetId="33" hidden="1">1/EUReXToNLG</definedName>
    <definedName name="NLGeXToEUR" localSheetId="36" hidden="1">1/EUReXToNLG</definedName>
    <definedName name="NLGeXToEUR" hidden="1">1/EUReXToNLG</definedName>
    <definedName name="NN" localSheetId="28" hidden="1">{"revenue detail 1",#N/A,FALSE,"Revenue Detail";"revenue detail 2",#N/A,FALSE,"Revenue Detail";"revenue detail 3",#N/A,FALSE,"Revenue Detail";"revenue detail 4",#N/A,FALSE,"Revenue Detail"}</definedName>
    <definedName name="NN" hidden="1">{"revenue detail 1",#N/A,FALSE,"Revenue Detail";"revenue detail 2",#N/A,FALSE,"Revenue Detail";"revenue detail 3",#N/A,FALSE,"Revenue Detail";"revenue detail 4",#N/A,FALSE,"Revenue Detail"}</definedName>
    <definedName name="NN_1" localSheetId="28"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localSheetId="28"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localSheetId="28" hidden="1">{#N/A,#N/A,FALSE,"Consolidated Shipley";#N/A,#N/A,FALSE,"Consolidated PWB";#N/A,#N/A,FALSE,"Consolidated Micro"}</definedName>
    <definedName name="nnn" hidden="1">{#N/A,#N/A,FALSE,"Consolidated Shipley";#N/A,#N/A,FALSE,"Consolidated PWB";#N/A,#N/A,FALSE,"Consolidated Micro"}</definedName>
    <definedName name="nnn_1" localSheetId="28" hidden="1">{#N/A,#N/A,FALSE,"Consolidated Shipley";#N/A,#N/A,FALSE,"Consolidated PWB";#N/A,#N/A,FALSE,"Consolidated Micro"}</definedName>
    <definedName name="nnn_1" hidden="1">{#N/A,#N/A,FALSE,"Consolidated Shipley";#N/A,#N/A,FALSE,"Consolidated PWB";#N/A,#N/A,FALSE,"Consolidated Micro"}</definedName>
    <definedName name="nnn_1_1" localSheetId="28" hidden="1">{#N/A,#N/A,FALSE,"Consolidated Shipley";#N/A,#N/A,FALSE,"Consolidated PWB";#N/A,#N/A,FALSE,"Consolidated Micro"}</definedName>
    <definedName name="nnn_1_1" hidden="1">{#N/A,#N/A,FALSE,"Consolidated Shipley";#N/A,#N/A,FALSE,"Consolidated PWB";#N/A,#N/A,FALSE,"Consolidated Micro"}</definedName>
    <definedName name="nnnn" localSheetId="28" hidden="1">{#N/A,#N/A,FALSE,"Consolidated Shipley";#N/A,#N/A,FALSE,"Consolidated PWB";#N/A,#N/A,FALSE,"Consolidated Micro"}</definedName>
    <definedName name="nnnn" hidden="1">{#N/A,#N/A,FALSE,"Consolidated Shipley";#N/A,#N/A,FALSE,"Consolidated PWB";#N/A,#N/A,FALSE,"Consolidated Micro"}</definedName>
    <definedName name="nnnn_1" localSheetId="28" hidden="1">{#N/A,#N/A,FALSE,"Consolidated Shipley";#N/A,#N/A,FALSE,"Consolidated PWB";#N/A,#N/A,FALSE,"Consolidated Micro"}</definedName>
    <definedName name="nnnn_1" hidden="1">{#N/A,#N/A,FALSE,"Consolidated Shipley";#N/A,#N/A,FALSE,"Consolidated PWB";#N/A,#N/A,FALSE,"Consolidated Micro"}</definedName>
    <definedName name="nnnn_1_1" localSheetId="28" hidden="1">{#N/A,#N/A,FALSE,"Consolidated Shipley";#N/A,#N/A,FALSE,"Consolidated PWB";#N/A,#N/A,FALSE,"Consolidated Micro"}</definedName>
    <definedName name="nnnn_1_1" hidden="1">{#N/A,#N/A,FALSE,"Consolidated Shipley";#N/A,#N/A,FALSE,"Consolidated PWB";#N/A,#N/A,FALSE,"Consolidated Micro"}</definedName>
    <definedName name="nnnnn" localSheetId="28" hidden="1">{"gross_margin1",#N/A,FALSE,"Gross Margin Detail";"gross_margin2",#N/A,FALSE,"Gross Margin Detail"}</definedName>
    <definedName name="nnnnn" hidden="1">{"gross_margin1",#N/A,FALSE,"Gross Margin Detail";"gross_margin2",#N/A,FALSE,"Gross Margin Detail"}</definedName>
    <definedName name="nnnnn_1" localSheetId="28" hidden="1">{"gross_margin1",#N/A,FALSE,"Gross Margin Detail";"gross_margin2",#N/A,FALSE,"Gross Margin Detail"}</definedName>
    <definedName name="nnnnn_1" hidden="1">{"gross_margin1",#N/A,FALSE,"Gross Margin Detail";"gross_margin2",#N/A,FALSE,"Gross Margin Detail"}</definedName>
    <definedName name="nnnnn_1_1" localSheetId="28" hidden="1">{"gross_margin1",#N/A,FALSE,"Gross Margin Detail";"gross_margin2",#N/A,FALSE,"Gross Margin Detail"}</definedName>
    <definedName name="nnnnn_1_1" hidden="1">{"gross_margin1",#N/A,FALSE,"Gross Margin Detail";"gross_margin2",#N/A,FALSE,"Gross Margin Detail"}</definedName>
    <definedName name="nnnnnn" localSheetId="28" hidden="1">{"historical acquirer",#N/A,FALSE,"Historical Performance";"historical target",#N/A,FALSE,"Historical Performance"}</definedName>
    <definedName name="nnnnnn" hidden="1">{"historical acquirer",#N/A,FALSE,"Historical Performance";"historical target",#N/A,FALSE,"Historical Performance"}</definedName>
    <definedName name="nnnnnn_1" localSheetId="28" hidden="1">{"historical acquirer",#N/A,FALSE,"Historical Performance";"historical target",#N/A,FALSE,"Historical Performance"}</definedName>
    <definedName name="nnnnnn_1" hidden="1">{"historical acquirer",#N/A,FALSE,"Historical Performance";"historical target",#N/A,FALSE,"Historical Performance"}</definedName>
    <definedName name="nnnnnn_1_1" localSheetId="28"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6">#REF!</definedName>
    <definedName name="no" localSheetId="25">#REF!</definedName>
    <definedName name="no" localSheetId="35">#REF!</definedName>
    <definedName name="no" localSheetId="33">#REF!</definedName>
    <definedName name="no">#REF!</definedName>
    <definedName name="NO_FILE" localSheetId="26">#REF!</definedName>
    <definedName name="NO_FILE" localSheetId="25">#REF!</definedName>
    <definedName name="NO_FILE" localSheetId="35">#REF!</definedName>
    <definedName name="NO_FILE" localSheetId="33">#REF!</definedName>
    <definedName name="NO_FILE" localSheetId="36">#REF!</definedName>
    <definedName name="NO_FILE">#REF!</definedName>
    <definedName name="None" localSheetId="28">Main.SAPF4Help()</definedName>
    <definedName name="None" localSheetId="26">Main.SAPF4Help()</definedName>
    <definedName name="None" localSheetId="25">Main.SAPF4Help()</definedName>
    <definedName name="None" localSheetId="35">Main.SAPF4Help()</definedName>
    <definedName name="None" localSheetId="33">Main.SAPF4Help()</definedName>
    <definedName name="None" localSheetId="36">Main.SAPF4Help()</definedName>
    <definedName name="None">Main.SAPF4Help()</definedName>
    <definedName name="None1" localSheetId="28">Main.SAPF4Help()</definedName>
    <definedName name="None1" localSheetId="26">Main.SAPF4Help()</definedName>
    <definedName name="None1" localSheetId="25">Main.SAPF4Help()</definedName>
    <definedName name="None1" localSheetId="35">Main.SAPF4Help()</definedName>
    <definedName name="None1" localSheetId="33">Main.SAPF4Help()</definedName>
    <definedName name="None1" localSheetId="36">Main.SAPF4Help()</definedName>
    <definedName name="None1">Main.SAPF4Help()</definedName>
    <definedName name="none10" localSheetId="28">Main.SAPF4Help()</definedName>
    <definedName name="none10" localSheetId="26">Main.SAPF4Help()</definedName>
    <definedName name="none10" localSheetId="25">Main.SAPF4Help()</definedName>
    <definedName name="none10" localSheetId="35">Main.SAPF4Help()</definedName>
    <definedName name="none10" localSheetId="33">Main.SAPF4Help()</definedName>
    <definedName name="none10" localSheetId="36">Main.SAPF4Help()</definedName>
    <definedName name="none10">Main.SAPF4Help()</definedName>
    <definedName name="None2" localSheetId="28">Main.SAPF4Help()</definedName>
    <definedName name="None2" localSheetId="26">Main.SAPF4Help()</definedName>
    <definedName name="None2" localSheetId="25">Main.SAPF4Help()</definedName>
    <definedName name="None2" localSheetId="35">Main.SAPF4Help()</definedName>
    <definedName name="None2" localSheetId="33">Main.SAPF4Help()</definedName>
    <definedName name="None2" localSheetId="36">Main.SAPF4Help()</definedName>
    <definedName name="None2">Main.SAPF4Help()</definedName>
    <definedName name="none3" localSheetId="28">Main.SAPF4Help()</definedName>
    <definedName name="none3" localSheetId="26">Main.SAPF4Help()</definedName>
    <definedName name="none3" localSheetId="25">Main.SAPF4Help()</definedName>
    <definedName name="none3" localSheetId="35">Main.SAPF4Help()</definedName>
    <definedName name="none3" localSheetId="33">Main.SAPF4Help()</definedName>
    <definedName name="none3" localSheetId="36">Main.SAPF4Help()</definedName>
    <definedName name="none3">Main.SAPF4Help()</definedName>
    <definedName name="none5" localSheetId="28">Main.SAPF4Help()</definedName>
    <definedName name="none5" localSheetId="26">Main.SAPF4Help()</definedName>
    <definedName name="none5" localSheetId="25">Main.SAPF4Help()</definedName>
    <definedName name="none5" localSheetId="35">Main.SAPF4Help()</definedName>
    <definedName name="none5" localSheetId="33">Main.SAPF4Help()</definedName>
    <definedName name="none5" localSheetId="36">Main.SAPF4Help()</definedName>
    <definedName name="none5">Main.SAPF4Help()</definedName>
    <definedName name="NOTES" localSheetId="26">#REF!</definedName>
    <definedName name="NOTES" localSheetId="25">#REF!</definedName>
    <definedName name="NOTES" localSheetId="35">#REF!</definedName>
    <definedName name="NOTES" localSheetId="33">#REF!</definedName>
    <definedName name="NOTES">#REF!</definedName>
    <definedName name="November" localSheetId="26">#REF!</definedName>
    <definedName name="November" localSheetId="25">#REF!</definedName>
    <definedName name="November" localSheetId="35">#REF!</definedName>
    <definedName name="November" localSheetId="33">#REF!</definedName>
    <definedName name="November">#REF!</definedName>
    <definedName name="ntntnttn" localSheetId="26" hidden="1">#REF!</definedName>
    <definedName name="ntntnttn" localSheetId="25" hidden="1">#REF!</definedName>
    <definedName name="ntntnttn" localSheetId="35" hidden="1">#REF!</definedName>
    <definedName name="ntntnttn" localSheetId="33" hidden="1">#REF!</definedName>
    <definedName name="ntntnttn" localSheetId="36" hidden="1">#REF!</definedName>
    <definedName name="ntntnttn" hidden="1">#REF!</definedName>
    <definedName name="NumYears" localSheetId="26">#REF!</definedName>
    <definedName name="NumYears" localSheetId="25">#REF!</definedName>
    <definedName name="NumYears" localSheetId="35">#REF!</definedName>
    <definedName name="NumYears" localSheetId="33">#REF!</definedName>
    <definedName name="NumYears" localSheetId="36">#REF!</definedName>
    <definedName name="NumYears">#REF!</definedName>
    <definedName name="O_EBITDAP" localSheetId="26">#REF!</definedName>
    <definedName name="O_EBITDAP" localSheetId="25">#REF!</definedName>
    <definedName name="O_EBITDAP" localSheetId="35">#REF!</definedName>
    <definedName name="O_EBITDAP" localSheetId="33">#REF!</definedName>
    <definedName name="O_EBITDAP">#REF!</definedName>
    <definedName name="O_EBITDAT" localSheetId="26">#REF!</definedName>
    <definedName name="O_EBITDAT" localSheetId="25">#REF!</definedName>
    <definedName name="O_EBITDAT" localSheetId="35">#REF!</definedName>
    <definedName name="O_EBITDAT" localSheetId="33">#REF!</definedName>
    <definedName name="O_EBITDAT">#REF!</definedName>
    <definedName name="O_REOEA" localSheetId="26">#REF!</definedName>
    <definedName name="O_REOEA" localSheetId="25">#REF!</definedName>
    <definedName name="O_REOEA" localSheetId="35">#REF!</definedName>
    <definedName name="O_REOEA" localSheetId="33">#REF!</definedName>
    <definedName name="O_REOEA">#REF!</definedName>
    <definedName name="O_REOEA_DEP" localSheetId="26">#REF!</definedName>
    <definedName name="O_REOEA_DEP" localSheetId="25">#REF!</definedName>
    <definedName name="O_REOEA_DEP" localSheetId="35">#REF!</definedName>
    <definedName name="O_REOEA_DEP" localSheetId="33">#REF!</definedName>
    <definedName name="O_REOEA_DEP">#REF!</definedName>
    <definedName name="O_REORA" localSheetId="26">#REF!</definedName>
    <definedName name="O_REORA" localSheetId="25">#REF!</definedName>
    <definedName name="O_REORA" localSheetId="35">#REF!</definedName>
    <definedName name="O_REORA" localSheetId="33">#REF!</definedName>
    <definedName name="O_REORA">#REF!</definedName>
    <definedName name="O_ROERA_NODEP" localSheetId="26">#REF!</definedName>
    <definedName name="O_ROERA_NODEP" localSheetId="25">#REF!</definedName>
    <definedName name="O_ROERA_NODEP" localSheetId="35">#REF!</definedName>
    <definedName name="O_ROERA_NODEP" localSheetId="33">#REF!</definedName>
    <definedName name="O_ROERA_NODEP">#REF!</definedName>
    <definedName name="O_ROERNA" localSheetId="26">#REF!</definedName>
    <definedName name="O_ROERNA" localSheetId="25">#REF!</definedName>
    <definedName name="O_ROERNA" localSheetId="35">#REF!</definedName>
    <definedName name="O_ROERNA" localSheetId="33">#REF!</definedName>
    <definedName name="O_ROERNA">#REF!</definedName>
    <definedName name="O_ROERNA_DEP" localSheetId="26">#REF!</definedName>
    <definedName name="O_ROERNA_DEP" localSheetId="25">#REF!</definedName>
    <definedName name="O_ROERNA_DEP" localSheetId="35">#REF!</definedName>
    <definedName name="O_ROERNA_DEP" localSheetId="33">#REF!</definedName>
    <definedName name="O_ROERNA_DEP">#REF!</definedName>
    <definedName name="O_ROERNA_NODEP" localSheetId="26">#REF!</definedName>
    <definedName name="O_ROERNA_NODEP" localSheetId="25">#REF!</definedName>
    <definedName name="O_ROERNA_NODEP" localSheetId="35">#REF!</definedName>
    <definedName name="O_ROERNA_NODEP" localSheetId="33">#REF!</definedName>
    <definedName name="O_ROERNA_NODEP">#REF!</definedName>
    <definedName name="Oasda" localSheetId="28" hidden="1">{"Operating Data",#N/A,TRUE,"Sheet1";"Valuation Matrix",#N/A,TRUE,"Sheet1";"Sales Analysis",#N/A,TRUE,"Sheet1";"Closed Remodelled New",#N/A,TRUE,"Sheet1";"Competitive and FSP",#N/A,TRUE,"Sheet1";"Working Capital and Capex",#N/A,TRUE,"Sheet1";"depreciation",#N/A,TRUE,"Sheet1"}</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localSheetId="28"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localSheetId="28"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6">#REF!</definedName>
    <definedName name="Occupancy" localSheetId="25">#REF!</definedName>
    <definedName name="Occupancy" localSheetId="35">#REF!</definedName>
    <definedName name="Occupancy" localSheetId="33">#REF!</definedName>
    <definedName name="Occupancy">#REF!</definedName>
    <definedName name="October" localSheetId="26">#REF!</definedName>
    <definedName name="October" localSheetId="25">#REF!</definedName>
    <definedName name="October" localSheetId="35">#REF!</definedName>
    <definedName name="October" localSheetId="33">#REF!</definedName>
    <definedName name="October">#REF!</definedName>
    <definedName name="ododododooddododo" localSheetId="26" hidden="1">#REF!</definedName>
    <definedName name="ododododooddododo" localSheetId="25" hidden="1">#REF!</definedName>
    <definedName name="ododododooddododo" localSheetId="35" hidden="1">#REF!</definedName>
    <definedName name="ododododooddododo" localSheetId="33" hidden="1">#REF!</definedName>
    <definedName name="ododododooddododo" localSheetId="36" hidden="1">#REF!</definedName>
    <definedName name="ododododooddododo" hidden="1">#REF!</definedName>
    <definedName name="Office_Px_Rate" localSheetId="26">#REF!</definedName>
    <definedName name="Office_Px_Rate" localSheetId="25">#REF!</definedName>
    <definedName name="Office_Px_Rate" localSheetId="35">#REF!</definedName>
    <definedName name="Office_Px_Rate" localSheetId="33">#REF!</definedName>
    <definedName name="Office_Px_Rate">#REF!</definedName>
    <definedName name="OfficeRentalGrowth_evy2yr" localSheetId="26">#REF!</definedName>
    <definedName name="OfficeRentalGrowth_evy2yr" localSheetId="25">#REF!</definedName>
    <definedName name="OfficeRentalGrowth_evy2yr" localSheetId="35">#REF!</definedName>
    <definedName name="OfficeRentalGrowth_evy2yr" localSheetId="33">#REF!</definedName>
    <definedName name="OfficeRentalGrowth_evy2yr">#REF!</definedName>
    <definedName name="ohih" localSheetId="28" hidden="1">{"toptrial",#N/A,TRUE,"toptrial";"adjustment",#N/A,TRUE,"toptrial";"voucher",#N/A,TRUE,"toptrial"}</definedName>
    <definedName name="ohih" hidden="1">{"toptrial",#N/A,TRUE,"toptrial";"adjustment",#N/A,TRUE,"toptrial";"voucher",#N/A,TRUE,"toptrial"}</definedName>
    <definedName name="OK_FILE" localSheetId="26">#REF!</definedName>
    <definedName name="OK_FILE" localSheetId="25">#REF!</definedName>
    <definedName name="OK_FILE" localSheetId="35">#REF!</definedName>
    <definedName name="OK_FILE" localSheetId="33">#REF!</definedName>
    <definedName name="OK_FILE" localSheetId="36">#REF!</definedName>
    <definedName name="OK_FILE">#REF!</definedName>
    <definedName name="OK_MSG" localSheetId="26">#REF!</definedName>
    <definedName name="OK_MSG" localSheetId="25">#REF!</definedName>
    <definedName name="OK_MSG" localSheetId="35">#REF!</definedName>
    <definedName name="OK_MSG" localSheetId="33">#REF!</definedName>
    <definedName name="OK_MSG" localSheetId="36">#REF!</definedName>
    <definedName name="OK_MSG">#REF!</definedName>
    <definedName name="olikikuku" localSheetId="26" hidden="1">#REF!</definedName>
    <definedName name="olikikuku" localSheetId="25" hidden="1">#REF!</definedName>
    <definedName name="olikikuku" localSheetId="35" hidden="1">#REF!</definedName>
    <definedName name="olikikuku" localSheetId="33" hidden="1">#REF!</definedName>
    <definedName name="olikikuku" localSheetId="36" hidden="1">#REF!</definedName>
    <definedName name="olikikuku" hidden="1">#REF!</definedName>
    <definedName name="ololollo" localSheetId="26" hidden="1">#REF!</definedName>
    <definedName name="ololollo" localSheetId="25" hidden="1">#REF!</definedName>
    <definedName name="ololollo" localSheetId="35" hidden="1">#REF!</definedName>
    <definedName name="ololollo" localSheetId="33" hidden="1">#REF!</definedName>
    <definedName name="ololollo" localSheetId="36" hidden="1">#REF!</definedName>
    <definedName name="ololollo" hidden="1">#REF!</definedName>
    <definedName name="oltukituk" localSheetId="26" hidden="1">#REF!</definedName>
    <definedName name="oltukituk" localSheetId="25" hidden="1">#REF!</definedName>
    <definedName name="oltukituk" localSheetId="35" hidden="1">#REF!</definedName>
    <definedName name="oltukituk" localSheetId="33" hidden="1">#REF!</definedName>
    <definedName name="oltukituk" localSheetId="36" hidden="1">#REF!</definedName>
    <definedName name="oltukituk" hidden="1">#REF!</definedName>
    <definedName name="op" localSheetId="26">#REF!</definedName>
    <definedName name="op" localSheetId="25">#REF!</definedName>
    <definedName name="op" localSheetId="35">#REF!</definedName>
    <definedName name="op" localSheetId="33">#REF!</definedName>
    <definedName name="op">#REF!</definedName>
    <definedName name="OP2FAS" localSheetId="26">#REF!</definedName>
    <definedName name="OP2FAS" localSheetId="25">#REF!</definedName>
    <definedName name="OP2FAS" localSheetId="35">#REF!</definedName>
    <definedName name="OP2FAS" localSheetId="33">#REF!</definedName>
    <definedName name="OP2FAS">#REF!</definedName>
    <definedName name="OP2LOCAL" localSheetId="26">#REF!</definedName>
    <definedName name="OP2LOCAL" localSheetId="25">#REF!</definedName>
    <definedName name="OP2LOCAL" localSheetId="35">#REF!</definedName>
    <definedName name="OP2LOCAL" localSheetId="33">#REF!</definedName>
    <definedName name="OP2LOCAL">#REF!</definedName>
    <definedName name="OP2STAT" localSheetId="26">#REF!</definedName>
    <definedName name="OP2STAT" localSheetId="25">#REF!</definedName>
    <definedName name="OP2STAT" localSheetId="35">#REF!</definedName>
    <definedName name="OP2STAT" localSheetId="33">#REF!</definedName>
    <definedName name="OP2STAT">#REF!</definedName>
    <definedName name="Opex_Growth" localSheetId="26">#REF!</definedName>
    <definedName name="Opex_Growth" localSheetId="25">#REF!</definedName>
    <definedName name="Opex_Growth" localSheetId="35">#REF!</definedName>
    <definedName name="Opex_Growth" localSheetId="33">#REF!</definedName>
    <definedName name="Opex_Growth">#REF!</definedName>
    <definedName name="OpptyFontSize" localSheetId="26">#REF!</definedName>
    <definedName name="OpptyFontSize" localSheetId="25">#REF!</definedName>
    <definedName name="OpptyFontSize" localSheetId="35">#REF!</definedName>
    <definedName name="OpptyFontSize" localSheetId="33">#REF!</definedName>
    <definedName name="OpptyFontSize" localSheetId="36">#REF!</definedName>
    <definedName name="OpptyFontSize">#REF!</definedName>
    <definedName name="OpptyHeight" localSheetId="26">#REF!</definedName>
    <definedName name="OpptyHeight" localSheetId="25">#REF!</definedName>
    <definedName name="OpptyHeight" localSheetId="35">#REF!</definedName>
    <definedName name="OpptyHeight" localSheetId="33">#REF!</definedName>
    <definedName name="OpptyHeight" localSheetId="36">#REF!</definedName>
    <definedName name="OpptyHeight">#REF!</definedName>
    <definedName name="OpptyWidth" localSheetId="26">#REF!</definedName>
    <definedName name="OpptyWidth" localSheetId="25">#REF!</definedName>
    <definedName name="OpptyWidth" localSheetId="35">#REF!</definedName>
    <definedName name="OpptyWidth" localSheetId="33">#REF!</definedName>
    <definedName name="OpptyWidth" localSheetId="36">#REF!</definedName>
    <definedName name="OpptyWidth">#REF!</definedName>
    <definedName name="OptionButton21_Click">#N/A</definedName>
    <definedName name="Oracle" localSheetId="28" hidden="1">{"'Check Request'!$A$1:$BF$37"}</definedName>
    <definedName name="Oracle" hidden="1">{"'Check Request'!$A$1:$BF$37"}</definedName>
    <definedName name="ORCHARD_POINT" localSheetId="26">#REF!</definedName>
    <definedName name="ORCHARD_POINT" localSheetId="25">#REF!</definedName>
    <definedName name="ORCHARD_POINT" localSheetId="35">#REF!</definedName>
    <definedName name="ORCHARD_POINT" localSheetId="33">#REF!</definedName>
    <definedName name="ORCHARD_POINT">#REF!</definedName>
    <definedName name="Other_Income_Growth" localSheetId="26">#REF!</definedName>
    <definedName name="Other_Income_Growth" localSheetId="25">#REF!</definedName>
    <definedName name="Other_Income_Growth" localSheetId="35">#REF!</definedName>
    <definedName name="Other_Income_Growth" localSheetId="33">#REF!</definedName>
    <definedName name="Other_Income_Growth">#REF!</definedName>
    <definedName name="Other2007" localSheetId="28" hidden="1">{"'Check Request'!$A$1:$BF$37"}</definedName>
    <definedName name="Other2007" hidden="1">{"'Check Request'!$A$1:$BF$37"}</definedName>
    <definedName name="othrev" localSheetId="26">#REF!</definedName>
    <definedName name="othrev" localSheetId="25">#REF!</definedName>
    <definedName name="othrev" localSheetId="35">#REF!</definedName>
    <definedName name="othrev" localSheetId="33">#REF!</definedName>
    <definedName name="othrev">#REF!</definedName>
    <definedName name="OutlookColor" localSheetId="26">#REF!</definedName>
    <definedName name="OutlookColor" localSheetId="25">#REF!</definedName>
    <definedName name="OutlookColor" localSheetId="35">#REF!</definedName>
    <definedName name="OutlookColor" localSheetId="33">#REF!</definedName>
    <definedName name="OutlookColor" localSheetId="36">#REF!</definedName>
    <definedName name="OutlookColor">#REF!</definedName>
    <definedName name="OutlookTotal" localSheetId="26">#REF!</definedName>
    <definedName name="OutlookTotal" localSheetId="25">#REF!</definedName>
    <definedName name="OutlookTotal" localSheetId="35">#REF!</definedName>
    <definedName name="OutlookTotal" localSheetId="33">#REF!</definedName>
    <definedName name="OutlookTotal" localSheetId="36">#REF!</definedName>
    <definedName name="OutlookTotal">#REF!</definedName>
    <definedName name="OutlookTotalWeighted" localSheetId="26">#REF!</definedName>
    <definedName name="OutlookTotalWeighted" localSheetId="25">#REF!</definedName>
    <definedName name="OutlookTotalWeighted" localSheetId="35">#REF!</definedName>
    <definedName name="OutlookTotalWeighted" localSheetId="33">#REF!</definedName>
    <definedName name="OutlookTotalWeighted" localSheetId="36">#REF!</definedName>
    <definedName name="OutlookTotalWeighted">#REF!</definedName>
    <definedName name="OvalRatio" localSheetId="26">#REF!</definedName>
    <definedName name="OvalRatio" localSheetId="25">#REF!</definedName>
    <definedName name="OvalRatio" localSheetId="35">#REF!</definedName>
    <definedName name="OvalRatio" localSheetId="33">#REF!</definedName>
    <definedName name="OvalRatio" localSheetId="36">#REF!</definedName>
    <definedName name="OvalRatio">#REF!</definedName>
    <definedName name="p"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6">#REF!</definedName>
    <definedName name="P_EBITDAP" localSheetId="25">#REF!</definedName>
    <definedName name="P_EBITDAP" localSheetId="35">#REF!</definedName>
    <definedName name="P_EBITDAP" localSheetId="33">#REF!</definedName>
    <definedName name="P_EBITDAP">#REF!</definedName>
    <definedName name="P_EBITDAT" localSheetId="26">#REF!</definedName>
    <definedName name="P_EBITDAT" localSheetId="25">#REF!</definedName>
    <definedName name="P_EBITDAT" localSheetId="35">#REF!</definedName>
    <definedName name="P_EBITDAT" localSheetId="33">#REF!</definedName>
    <definedName name="P_EBITDAT">#REF!</definedName>
    <definedName name="P_L" localSheetId="26">#REF!</definedName>
    <definedName name="P_L" localSheetId="25">#REF!</definedName>
    <definedName name="P_L" localSheetId="35">#REF!</definedName>
    <definedName name="P_L" localSheetId="33">#REF!</definedName>
    <definedName name="P_L">#REF!</definedName>
    <definedName name="P_ROERA" localSheetId="26">#REF!</definedName>
    <definedName name="P_ROERA" localSheetId="25">#REF!</definedName>
    <definedName name="P_ROERA" localSheetId="35">#REF!</definedName>
    <definedName name="P_ROERA" localSheetId="33">#REF!</definedName>
    <definedName name="P_ROERA">#REF!</definedName>
    <definedName name="P_ROERA_DEP" localSheetId="26">#REF!</definedName>
    <definedName name="P_ROERA_DEP" localSheetId="25">#REF!</definedName>
    <definedName name="P_ROERA_DEP" localSheetId="35">#REF!</definedName>
    <definedName name="P_ROERA_DEP" localSheetId="33">#REF!</definedName>
    <definedName name="P_ROERA_DEP">#REF!</definedName>
    <definedName name="P_ROERA_NODEP" localSheetId="26">#REF!</definedName>
    <definedName name="P_ROERA_NODEP" localSheetId="25">#REF!</definedName>
    <definedName name="P_ROERA_NODEP" localSheetId="35">#REF!</definedName>
    <definedName name="P_ROERA_NODEP" localSheetId="33">#REF!</definedName>
    <definedName name="P_ROERA_NODEP">#REF!</definedName>
    <definedName name="P_ROERNA" localSheetId="26">#REF!</definedName>
    <definedName name="P_ROERNA" localSheetId="25">#REF!</definedName>
    <definedName name="P_ROERNA" localSheetId="35">#REF!</definedName>
    <definedName name="P_ROERNA" localSheetId="33">#REF!</definedName>
    <definedName name="P_ROERNA">#REF!</definedName>
    <definedName name="P_ROERNA_DEP" localSheetId="26">#REF!</definedName>
    <definedName name="P_ROERNA_DEP" localSheetId="25">#REF!</definedName>
    <definedName name="P_ROERNA_DEP" localSheetId="35">#REF!</definedName>
    <definedName name="P_ROERNA_DEP" localSheetId="33">#REF!</definedName>
    <definedName name="P_ROERNA_DEP">#REF!</definedName>
    <definedName name="P_ROERNA_NODEP" localSheetId="26">#REF!</definedName>
    <definedName name="P_ROERNA_NODEP" localSheetId="25">#REF!</definedName>
    <definedName name="P_ROERNA_NODEP" localSheetId="35">#REF!</definedName>
    <definedName name="P_ROERNA_NODEP" localSheetId="33">#REF!</definedName>
    <definedName name="P_ROERNA_NODEP">#REF!</definedName>
    <definedName name="P1_" localSheetId="26">#REF!</definedName>
    <definedName name="P1_" localSheetId="25">#REF!</definedName>
    <definedName name="P1_" localSheetId="35">#REF!</definedName>
    <definedName name="P1_" localSheetId="33">#REF!</definedName>
    <definedName name="P1_">#REF!</definedName>
    <definedName name="p1_villas" localSheetId="26">#REF!</definedName>
    <definedName name="p1_villas" localSheetId="25">#REF!</definedName>
    <definedName name="p1_villas" localSheetId="35">#REF!</definedName>
    <definedName name="p1_villas" localSheetId="33">#REF!</definedName>
    <definedName name="p1_villas">#REF!</definedName>
    <definedName name="P2_" localSheetId="26">#REF!</definedName>
    <definedName name="P2_" localSheetId="25">#REF!</definedName>
    <definedName name="P2_" localSheetId="35">#REF!</definedName>
    <definedName name="P2_" localSheetId="33">#REF!</definedName>
    <definedName name="P2_">#REF!</definedName>
    <definedName name="PA" localSheetId="26">#REF!</definedName>
    <definedName name="PA" localSheetId="25">#REF!</definedName>
    <definedName name="PA" localSheetId="35">#REF!</definedName>
    <definedName name="PA" localSheetId="33">#REF!</definedName>
    <definedName name="PA" localSheetId="36">#REF!</definedName>
    <definedName name="PA">#REF!</definedName>
    <definedName name="pa____________or">"Retail Rental Growth+Sheet1!$F$21"</definedName>
    <definedName name="page_10" localSheetId="26">#REF!</definedName>
    <definedName name="page_10" localSheetId="25">#REF!</definedName>
    <definedName name="page_10" localSheetId="35">#REF!</definedName>
    <definedName name="page_10" localSheetId="33">#REF!</definedName>
    <definedName name="page_10">#REF!</definedName>
    <definedName name="page_11" localSheetId="26">#REF!</definedName>
    <definedName name="page_11" localSheetId="25">#REF!</definedName>
    <definedName name="page_11" localSheetId="35">#REF!</definedName>
    <definedName name="page_11" localSheetId="33">#REF!</definedName>
    <definedName name="page_11">#REF!</definedName>
    <definedName name="page_12" localSheetId="26">#REF!</definedName>
    <definedName name="page_12" localSheetId="25">#REF!</definedName>
    <definedName name="page_12" localSheetId="35">#REF!</definedName>
    <definedName name="page_12" localSheetId="33">#REF!</definedName>
    <definedName name="page_12">#REF!</definedName>
    <definedName name="page_13" localSheetId="26">#REF!</definedName>
    <definedName name="page_13" localSheetId="25">#REF!</definedName>
    <definedName name="page_13" localSheetId="35">#REF!</definedName>
    <definedName name="page_13" localSheetId="33">#REF!</definedName>
    <definedName name="page_13">#REF!</definedName>
    <definedName name="page_14" localSheetId="26">#REF!</definedName>
    <definedName name="page_14" localSheetId="25">#REF!</definedName>
    <definedName name="page_14" localSheetId="35">#REF!</definedName>
    <definedName name="page_14" localSheetId="33">#REF!</definedName>
    <definedName name="page_14">#REF!</definedName>
    <definedName name="page_7" localSheetId="26">#REF!</definedName>
    <definedName name="page_7" localSheetId="25">#REF!</definedName>
    <definedName name="page_7" localSheetId="35">#REF!</definedName>
    <definedName name="page_7" localSheetId="33">#REF!</definedName>
    <definedName name="page_7">#REF!</definedName>
    <definedName name="page_8" localSheetId="26">#REF!</definedName>
    <definedName name="page_8" localSheetId="25">#REF!</definedName>
    <definedName name="page_8" localSheetId="35">#REF!</definedName>
    <definedName name="page_8" localSheetId="33">#REF!</definedName>
    <definedName name="page_8">#REF!</definedName>
    <definedName name="page_9" localSheetId="26">#REF!</definedName>
    <definedName name="page_9" localSheetId="25">#REF!</definedName>
    <definedName name="page_9" localSheetId="35">#REF!</definedName>
    <definedName name="page_9" localSheetId="33">#REF!</definedName>
    <definedName name="page_9">#REF!</definedName>
    <definedName name="papapapapapa" localSheetId="26" hidden="1">#REF!</definedName>
    <definedName name="papapapapapa" localSheetId="25" hidden="1">#REF!</definedName>
    <definedName name="papapapapapa" localSheetId="35" hidden="1">#REF!</definedName>
    <definedName name="papapapapapa" localSheetId="33" hidden="1">#REF!</definedName>
    <definedName name="papapapapapa" localSheetId="36" hidden="1">#REF!</definedName>
    <definedName name="papapapapapa" hidden="1">#REF!</definedName>
    <definedName name="payable2" localSheetId="26" hidden="1">#REF!</definedName>
    <definedName name="payable2" localSheetId="25" hidden="1">#REF!</definedName>
    <definedName name="payable2" localSheetId="35" hidden="1">#REF!</definedName>
    <definedName name="payable2" localSheetId="33" hidden="1">#REF!</definedName>
    <definedName name="payable2" localSheetId="36" hidden="1">#REF!</definedName>
    <definedName name="payable2" hidden="1">#REF!</definedName>
    <definedName name="PB" localSheetId="26">#REF!</definedName>
    <definedName name="PB" localSheetId="25">#REF!</definedName>
    <definedName name="PB" localSheetId="35">#REF!</definedName>
    <definedName name="PB" localSheetId="33">#REF!</definedName>
    <definedName name="PB" localSheetId="36">#REF!</definedName>
    <definedName name="PB">#REF!</definedName>
    <definedName name="pbPrinterFormat">"\\nhkgc040pps1\PHKG00311 on Ne03:"</definedName>
    <definedName name="PC" localSheetId="26">#REF!</definedName>
    <definedName name="PC" localSheetId="25">#REF!</definedName>
    <definedName name="PC" localSheetId="35">#REF!</definedName>
    <definedName name="PC" localSheetId="33">#REF!</definedName>
    <definedName name="PC" localSheetId="36">#REF!</definedName>
    <definedName name="PC">#REF!</definedName>
    <definedName name="PD" localSheetId="26">#REF!</definedName>
    <definedName name="PD" localSheetId="25">#REF!</definedName>
    <definedName name="PD" localSheetId="35">#REF!</definedName>
    <definedName name="PD" localSheetId="33">#REF!</definedName>
    <definedName name="PD" localSheetId="36">#REF!</definedName>
    <definedName name="PD">#REF!</definedName>
    <definedName name="pdpdpdpdppdpdpdpdpd" localSheetId="26" hidden="1">#REF!</definedName>
    <definedName name="pdpdpdpdppdpdpdpdpd" localSheetId="25" hidden="1">#REF!</definedName>
    <definedName name="pdpdpdpdppdpdpdpdpd" localSheetId="35" hidden="1">#REF!</definedName>
    <definedName name="pdpdpdpdppdpdpdpdpd" localSheetId="33" hidden="1">#REF!</definedName>
    <definedName name="pdpdpdpdppdpdpdpdpd" localSheetId="36" hidden="1">#REF!</definedName>
    <definedName name="pdpdpdpdppdpdpdpdpd" hidden="1">#REF!</definedName>
    <definedName name="PE" localSheetId="26">#REF!</definedName>
    <definedName name="PE" localSheetId="25">#REF!</definedName>
    <definedName name="PE" localSheetId="35">#REF!</definedName>
    <definedName name="PE" localSheetId="33">#REF!</definedName>
    <definedName name="PE" localSheetId="36">#REF!</definedName>
    <definedName name="PE">#REF!</definedName>
    <definedName name="PERANAKAN_PLACE" localSheetId="26">#REF!</definedName>
    <definedName name="PERANAKAN_PLACE" localSheetId="25">#REF!</definedName>
    <definedName name="PERANAKAN_PLACE" localSheetId="35">#REF!</definedName>
    <definedName name="PERANAKAN_PLACE" localSheetId="33">#REF!</definedName>
    <definedName name="PERANAKAN_PLACE">#REF!</definedName>
    <definedName name="period" localSheetId="26">#REF!</definedName>
    <definedName name="period" localSheetId="25">#REF!</definedName>
    <definedName name="period" localSheetId="35">#REF!</definedName>
    <definedName name="period" localSheetId="33">#REF!</definedName>
    <definedName name="period">#REF!</definedName>
    <definedName name="PERIODS" localSheetId="26">#REF!</definedName>
    <definedName name="PERIODS" localSheetId="25">#REF!</definedName>
    <definedName name="PERIODS" localSheetId="35">#REF!</definedName>
    <definedName name="PERIODS" localSheetId="33">#REF!</definedName>
    <definedName name="PERIODS">#REF!</definedName>
    <definedName name="PeriodsInYear" localSheetId="26">#REF!</definedName>
    <definedName name="PeriodsInYear" localSheetId="25">#REF!</definedName>
    <definedName name="PeriodsInYear" localSheetId="35">#REF!</definedName>
    <definedName name="PeriodsInYear" localSheetId="33">#REF!</definedName>
    <definedName name="PeriodsInYear" localSheetId="36">#REF!</definedName>
    <definedName name="PeriodsInYear">#REF!</definedName>
    <definedName name="PF" localSheetId="26">#REF!</definedName>
    <definedName name="PF" localSheetId="25">#REF!</definedName>
    <definedName name="PF" localSheetId="35">#REF!</definedName>
    <definedName name="PF" localSheetId="33">#REF!</definedName>
    <definedName name="PF" localSheetId="36">#REF!</definedName>
    <definedName name="PF">#REF!</definedName>
    <definedName name="pfkfdjf" localSheetId="26" hidden="1">#REF!</definedName>
    <definedName name="pfkfdjf" localSheetId="25" hidden="1">#REF!</definedName>
    <definedName name="pfkfdjf" localSheetId="35" hidden="1">#REF!</definedName>
    <definedName name="pfkfdjf" localSheetId="33" hidden="1">#REF!</definedName>
    <definedName name="pfkfdjf" localSheetId="36" hidden="1">#REF!</definedName>
    <definedName name="pfkfdjf" hidden="1">#REF!</definedName>
    <definedName name="PG" localSheetId="26">#REF!</definedName>
    <definedName name="PG" localSheetId="25">#REF!</definedName>
    <definedName name="PG" localSheetId="35">#REF!</definedName>
    <definedName name="PG" localSheetId="33">#REF!</definedName>
    <definedName name="PG" localSheetId="36">#REF!</definedName>
    <definedName name="PG">#REF!</definedName>
    <definedName name="PH" localSheetId="26">#REF!</definedName>
    <definedName name="PH" localSheetId="25">#REF!</definedName>
    <definedName name="PH" localSheetId="35">#REF!</definedName>
    <definedName name="PH" localSheetId="33">#REF!</definedName>
    <definedName name="PH" localSheetId="36">#REF!</definedName>
    <definedName name="PH">#REF!</definedName>
    <definedName name="PI" localSheetId="26">#REF!</definedName>
    <definedName name="PI" localSheetId="25">#REF!</definedName>
    <definedName name="PI" localSheetId="35">#REF!</definedName>
    <definedName name="PI" localSheetId="33">#REF!</definedName>
    <definedName name="PI" localSheetId="36">#REF!</definedName>
    <definedName name="PI">#REF!</definedName>
    <definedName name="PJ" localSheetId="26">#REF!</definedName>
    <definedName name="PJ" localSheetId="25">#REF!</definedName>
    <definedName name="PJ" localSheetId="35">#REF!</definedName>
    <definedName name="PJ" localSheetId="33">#REF!</definedName>
    <definedName name="PJ" localSheetId="36">#REF!</definedName>
    <definedName name="PJ">#REF!</definedName>
    <definedName name="PK" localSheetId="26">#REF!</definedName>
    <definedName name="PK" localSheetId="25">#REF!</definedName>
    <definedName name="PK" localSheetId="35">#REF!</definedName>
    <definedName name="PK" localSheetId="33">#REF!</definedName>
    <definedName name="PK" localSheetId="36">#REF!</definedName>
    <definedName name="PK">#REF!</definedName>
    <definedName name="pkiojkijj" localSheetId="26" hidden="1">#REF!</definedName>
    <definedName name="pkiojkijj" localSheetId="25" hidden="1">#REF!</definedName>
    <definedName name="pkiojkijj" localSheetId="35" hidden="1">#REF!</definedName>
    <definedName name="pkiojkijj" localSheetId="33" hidden="1">#REF!</definedName>
    <definedName name="pkiojkijj" localSheetId="36" hidden="1">#REF!</definedName>
    <definedName name="pkiojkijj" hidden="1">#REF!</definedName>
    <definedName name="PL"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6" hidden="1">#REF!</definedName>
    <definedName name="plolololo" localSheetId="25" hidden="1">#REF!</definedName>
    <definedName name="plolololo" localSheetId="35" hidden="1">#REF!</definedName>
    <definedName name="plolololo" localSheetId="33" hidden="1">#REF!</definedName>
    <definedName name="plolololo" localSheetId="36" hidden="1">#REF!</definedName>
    <definedName name="plolololo" hidden="1">#REF!</definedName>
    <definedName name="pl건설" localSheetId="26">#REF!</definedName>
    <definedName name="pl건설" localSheetId="25">#REF!</definedName>
    <definedName name="pl건설" localSheetId="35">#REF!</definedName>
    <definedName name="pl건설" localSheetId="33">#REF!</definedName>
    <definedName name="pl건설">#REF!</definedName>
    <definedName name="pl양재" localSheetId="26">#REF!</definedName>
    <definedName name="pl양재" localSheetId="25">#REF!</definedName>
    <definedName name="pl양재" localSheetId="35">#REF!</definedName>
    <definedName name="pl양재" localSheetId="33">#REF!</definedName>
    <definedName name="pl양재">#REF!</definedName>
    <definedName name="PM" localSheetId="26">#REF!</definedName>
    <definedName name="PM" localSheetId="25">#REF!</definedName>
    <definedName name="PM" localSheetId="35">#REF!</definedName>
    <definedName name="PM" localSheetId="33">#REF!</definedName>
    <definedName name="PM" localSheetId="36">#REF!</definedName>
    <definedName name="PM">#REF!</definedName>
    <definedName name="PM_Order_Output_New" localSheetId="26">#REF!</definedName>
    <definedName name="PM_Order_Output_New" localSheetId="25">#REF!</definedName>
    <definedName name="PM_Order_Output_New" localSheetId="35">#REF!</definedName>
    <definedName name="PM_Order_Output_New" localSheetId="33">#REF!</definedName>
    <definedName name="PM_Order_Output_New" localSheetId="36">#REF!</definedName>
    <definedName name="PM_Order_Output_New">#REF!</definedName>
    <definedName name="PMem" localSheetId="26">#REF!</definedName>
    <definedName name="PMem" localSheetId="25">#REF!</definedName>
    <definedName name="PMem" localSheetId="35">#REF!</definedName>
    <definedName name="PMem" localSheetId="33">#REF!</definedName>
    <definedName name="PMem">#REF!</definedName>
    <definedName name="PMgt" localSheetId="26">#REF!</definedName>
    <definedName name="PMgt" localSheetId="25">#REF!</definedName>
    <definedName name="PMgt" localSheetId="35">#REF!</definedName>
    <definedName name="PMgt" localSheetId="33">#REF!</definedName>
    <definedName name="PMgt">#REF!</definedName>
    <definedName name="PMISFEE" localSheetId="26">#REF!</definedName>
    <definedName name="PMISFEE" localSheetId="25">#REF!</definedName>
    <definedName name="PMISFEE" localSheetId="35">#REF!</definedName>
    <definedName name="PMISFEE" localSheetId="33">#REF!</definedName>
    <definedName name="PMISFEE">#REF!</definedName>
    <definedName name="PNL" localSheetId="26" hidden="1">#REF!</definedName>
    <definedName name="PNL" localSheetId="25" hidden="1">#REF!</definedName>
    <definedName name="PNL" localSheetId="35" hidden="1">#REF!</definedName>
    <definedName name="PNL" localSheetId="33" hidden="1">#REF!</definedName>
    <definedName name="PNL" hidden="1">#REF!</definedName>
    <definedName name="po" localSheetId="26">#REF!</definedName>
    <definedName name="po" localSheetId="25">#REF!</definedName>
    <definedName name="po" localSheetId="35">#REF!</definedName>
    <definedName name="po" localSheetId="33">#REF!</definedName>
    <definedName name="po">#REF!</definedName>
    <definedName name="Position" localSheetId="26">#REF!</definedName>
    <definedName name="Position" localSheetId="25">#REF!</definedName>
    <definedName name="Position" localSheetId="35">#REF!</definedName>
    <definedName name="Position" localSheetId="33">#REF!</definedName>
    <definedName name="Position" localSheetId="36">#REF!</definedName>
    <definedName name="Position">#REF!</definedName>
    <definedName name="pp" localSheetId="26" hidden="1">#REF!</definedName>
    <definedName name="pp" localSheetId="25" hidden="1">#REF!</definedName>
    <definedName name="pp" localSheetId="35" hidden="1">#REF!</definedName>
    <definedName name="pp" localSheetId="33" hidden="1">#REF!</definedName>
    <definedName name="pp" localSheetId="36" hidden="1">#REF!</definedName>
    <definedName name="pp" hidden="1">#REF!</definedName>
    <definedName name="ppms" localSheetId="26">#REF!</definedName>
    <definedName name="ppms" localSheetId="25">#REF!</definedName>
    <definedName name="ppms" localSheetId="35">#REF!</definedName>
    <definedName name="ppms" localSheetId="33">#REF!</definedName>
    <definedName name="ppms">#REF!</definedName>
    <definedName name="PRE" localSheetId="26">#REF!</definedName>
    <definedName name="PRE" localSheetId="25">#REF!</definedName>
    <definedName name="PRE" localSheetId="35">#REF!</definedName>
    <definedName name="PRE" localSheetId="33">#REF!</definedName>
    <definedName name="PRE">#REF!</definedName>
    <definedName name="PRent" localSheetId="26">#REF!</definedName>
    <definedName name="PRent" localSheetId="25">#REF!</definedName>
    <definedName name="PRent" localSheetId="35">#REF!</definedName>
    <definedName name="PRent" localSheetId="33">#REF!</definedName>
    <definedName name="PRent">#REF!</definedName>
    <definedName name="Presentation_Lay_out_Budget" localSheetId="26">#REF!</definedName>
    <definedName name="Presentation_Lay_out_Budget" localSheetId="25">#REF!</definedName>
    <definedName name="Presentation_Lay_out_Budget" localSheetId="35">#REF!</definedName>
    <definedName name="Presentation_Lay_out_Budget" localSheetId="33">#REF!</definedName>
    <definedName name="Presentation_Lay_out_Budget">#REF!</definedName>
    <definedName name="Presentation_Lay_out_Prev_Yr" localSheetId="26">#REF!</definedName>
    <definedName name="Presentation_Lay_out_Prev_Yr" localSheetId="25">#REF!</definedName>
    <definedName name="Presentation_Lay_out_Prev_Yr" localSheetId="35">#REF!</definedName>
    <definedName name="Presentation_Lay_out_Prev_Yr" localSheetId="33">#REF!</definedName>
    <definedName name="Presentation_Lay_out_Prev_Yr">#REF!</definedName>
    <definedName name="PRICE" localSheetId="26">#REF!</definedName>
    <definedName name="PRICE" localSheetId="25">#REF!</definedName>
    <definedName name="PRICE" localSheetId="35">#REF!</definedName>
    <definedName name="PRICE" localSheetId="33">#REF!</definedName>
    <definedName name="PRICE" localSheetId="36">#REF!</definedName>
    <definedName name="PRICE">#REF!</definedName>
    <definedName name="Print" localSheetId="26">#REF!</definedName>
    <definedName name="Print" localSheetId="25">#REF!</definedName>
    <definedName name="Print" localSheetId="35">#REF!</definedName>
    <definedName name="Print" localSheetId="33">#REF!</definedName>
    <definedName name="Print">#REF!</definedName>
    <definedName name="_xlnm.Print_Area" localSheetId="8">估价师及机构信息!$A$1:$F$29</definedName>
    <definedName name="_xlnm.Print_Area" localSheetId="26">#REF!</definedName>
    <definedName name="_xlnm.Print_Area" localSheetId="25">#REF!</definedName>
    <definedName name="_xlnm.Print_Area" localSheetId="22">'收益法 (元)'!$A$1:$AK$69</definedName>
    <definedName name="_xlnm.Print_Area" localSheetId="34">'收益法（办公）'!$A$1:$AK$69</definedName>
    <definedName name="_xlnm.Print_Area" localSheetId="35">'收益法（车位）'!$A$1:$AK$69</definedName>
    <definedName name="_xlnm.Print_Area" localSheetId="33">'收益法（商业）'!$A$1:$AK$69</definedName>
    <definedName name="_xlnm.Print_Area" localSheetId="14">'数据-汇总表'!$A$1:$P$32</definedName>
    <definedName name="_xlnm.Print_Area" localSheetId="36">现金流预测审核报告!$A$1:$R$77</definedName>
    <definedName name="_xlnm.Print_Area">#REF!</definedName>
    <definedName name="Print_Area_MI" localSheetId="26">#REF!</definedName>
    <definedName name="Print_Area_MI" localSheetId="25">#REF!</definedName>
    <definedName name="Print_Area_MI" localSheetId="35">#REF!</definedName>
    <definedName name="Print_Area_MI" localSheetId="33">#REF!</definedName>
    <definedName name="Print_Area_MI" localSheetId="36">#REF!</definedName>
    <definedName name="Print_Area_MI">#REF!</definedName>
    <definedName name="PRINT_AREA_MI1" localSheetId="26">#REF!</definedName>
    <definedName name="PRINT_AREA_MI1" localSheetId="25">#REF!</definedName>
    <definedName name="PRINT_AREA_MI1" localSheetId="35">#REF!</definedName>
    <definedName name="PRINT_AREA_MI1" localSheetId="33">#REF!</definedName>
    <definedName name="PRINT_AREA_MI1">#REF!</definedName>
    <definedName name="Print_Titl0es" localSheetId="26">#REF!</definedName>
    <definedName name="Print_Titl0es" localSheetId="25">#REF!</definedName>
    <definedName name="Print_Titl0es" localSheetId="35">#REF!</definedName>
    <definedName name="Print_Titl0es" localSheetId="33">#REF!</definedName>
    <definedName name="Print_Titl0es" localSheetId="36">#REF!</definedName>
    <definedName name="Print_Titl0es">#REF!</definedName>
    <definedName name="print_title" localSheetId="26">#REF!</definedName>
    <definedName name="print_title" localSheetId="25">#REF!</definedName>
    <definedName name="print_title" localSheetId="35">#REF!</definedName>
    <definedName name="print_title" localSheetId="33">#REF!</definedName>
    <definedName name="print_title">#REF!</definedName>
    <definedName name="_xlnm.Print_Titles" localSheetId="26">#REF!</definedName>
    <definedName name="_xlnm.Print_Titles" localSheetId="25">#REF!</definedName>
    <definedName name="_xlnm.Print_Titles" localSheetId="35">#REF!</definedName>
    <definedName name="_xlnm.Print_Titles" localSheetId="33">#REF!</definedName>
    <definedName name="_xlnm.Print_Titles">#REF!</definedName>
    <definedName name="PRINT_TITLES_MI" localSheetId="26">#REF!</definedName>
    <definedName name="PRINT_TITLES_MI" localSheetId="25">#REF!</definedName>
    <definedName name="PRINT_TITLES_MI" localSheetId="35">#REF!</definedName>
    <definedName name="PRINT_TITLES_MI" localSheetId="33">#REF!</definedName>
    <definedName name="PRINT_TITLES_MI">#REF!</definedName>
    <definedName name="PRINT_TITLES_MI1" localSheetId="26">#REF!</definedName>
    <definedName name="PRINT_TITLES_MI1" localSheetId="25">#REF!</definedName>
    <definedName name="PRINT_TITLES_MI1" localSheetId="35">#REF!</definedName>
    <definedName name="PRINT_TITLES_MI1" localSheetId="33">#REF!</definedName>
    <definedName name="PRINT_TITLES_MI1">#REF!</definedName>
    <definedName name="PrintArea" localSheetId="26">#REF!</definedName>
    <definedName name="PrintArea" localSheetId="25">#REF!</definedName>
    <definedName name="PrintArea" localSheetId="35">#REF!</definedName>
    <definedName name="PrintArea" localSheetId="33">#REF!</definedName>
    <definedName name="PrintArea">#REF!</definedName>
    <definedName name="printarea1" localSheetId="26">#REF!</definedName>
    <definedName name="printarea1" localSheetId="25">#REF!</definedName>
    <definedName name="printarea1" localSheetId="35">#REF!</definedName>
    <definedName name="printarea1" localSheetId="33">#REF!</definedName>
    <definedName name="printarea1">#REF!</definedName>
    <definedName name="PrintManagerQuery" localSheetId="26">#REF!</definedName>
    <definedName name="PrintManagerQuery" localSheetId="25">#REF!</definedName>
    <definedName name="PrintManagerQuery" localSheetId="35">#REF!</definedName>
    <definedName name="PrintManagerQuery" localSheetId="33">#REF!</definedName>
    <definedName name="PrintManagerQuery">#REF!</definedName>
    <definedName name="PrintSelectedSheetsMacroButton" localSheetId="26">#REF!</definedName>
    <definedName name="PrintSelectedSheetsMacroButton" localSheetId="25">#REF!</definedName>
    <definedName name="PrintSelectedSheetsMacroButton" localSheetId="35">#REF!</definedName>
    <definedName name="PrintSelectedSheetsMacroButton" localSheetId="33">#REF!</definedName>
    <definedName name="PrintSelectedSheetsMacroButton">#REF!</definedName>
    <definedName name="PROBG_Contracted" localSheetId="26">#REF!</definedName>
    <definedName name="PROBG_Contracted" localSheetId="25">#REF!</definedName>
    <definedName name="PROBG_Contracted" localSheetId="35">#REF!</definedName>
    <definedName name="PROBG_Contracted" localSheetId="33">#REF!</definedName>
    <definedName name="PROBG_Contracted" localSheetId="36">#REF!</definedName>
    <definedName name="PROBG_Contracted">#REF!</definedName>
    <definedName name="PROBG_High" localSheetId="26">#REF!</definedName>
    <definedName name="PROBG_High" localSheetId="25">#REF!</definedName>
    <definedName name="PROBG_High" localSheetId="35">#REF!</definedName>
    <definedName name="PROBG_High" localSheetId="33">#REF!</definedName>
    <definedName name="PROBG_High" localSheetId="36">#REF!</definedName>
    <definedName name="PROBG_High">#REF!</definedName>
    <definedName name="PROBG_Low" localSheetId="26">#REF!</definedName>
    <definedName name="PROBG_Low" localSheetId="25">#REF!</definedName>
    <definedName name="PROBG_Low" localSheetId="35">#REF!</definedName>
    <definedName name="PROBG_Low" localSheetId="33">#REF!</definedName>
    <definedName name="PROBG_Low" localSheetId="36">#REF!</definedName>
    <definedName name="PROBG_Low">#REF!</definedName>
    <definedName name="PROBG_Medium" localSheetId="26">#REF!</definedName>
    <definedName name="PROBG_Medium" localSheetId="25">#REF!</definedName>
    <definedName name="PROBG_Medium" localSheetId="35">#REF!</definedName>
    <definedName name="PROBG_Medium" localSheetId="33">#REF!</definedName>
    <definedName name="PROBG_Medium" localSheetId="36">#REF!</definedName>
    <definedName name="PROBG_Medium">#REF!</definedName>
    <definedName name="PROF3A" localSheetId="26">#REF!</definedName>
    <definedName name="PROF3A" localSheetId="25">#REF!</definedName>
    <definedName name="PROF3A" localSheetId="35">#REF!</definedName>
    <definedName name="PROF3A" localSheetId="33">#REF!</definedName>
    <definedName name="PROF3A">#REF!</definedName>
    <definedName name="PROF3B" localSheetId="26">#REF!</definedName>
    <definedName name="PROF3B" localSheetId="25">#REF!</definedName>
    <definedName name="PROF3B" localSheetId="35">#REF!</definedName>
    <definedName name="PROF3B" localSheetId="33">#REF!</definedName>
    <definedName name="PROF3B">#REF!</definedName>
    <definedName name="PROFILE1" localSheetId="26">#REF!</definedName>
    <definedName name="PROFILE1" localSheetId="25">#REF!</definedName>
    <definedName name="PROFILE1" localSheetId="35">#REF!</definedName>
    <definedName name="PROFILE1" localSheetId="33">#REF!</definedName>
    <definedName name="PROFILE1">#REF!</definedName>
    <definedName name="PROFILE2" localSheetId="26">#REF!</definedName>
    <definedName name="PROFILE2" localSheetId="25">#REF!</definedName>
    <definedName name="PROFILE2" localSheetId="35">#REF!</definedName>
    <definedName name="PROFILE2" localSheetId="33">#REF!</definedName>
    <definedName name="PROFILE2">#REF!</definedName>
    <definedName name="ProImportExport.ImportFile">#N/A</definedName>
    <definedName name="ProImportExport.SaveNewFile">#N/A</definedName>
    <definedName name="ProjectName" localSheetId="28">{"Client Name or Project Name"}</definedName>
    <definedName name="ProjectName">{"Client Name or Project Name"}</definedName>
    <definedName name="ProposedBid" localSheetId="26">#REF!</definedName>
    <definedName name="ProposedBid" localSheetId="25">#REF!</definedName>
    <definedName name="ProposedBid" localSheetId="35">#REF!</definedName>
    <definedName name="ProposedBid" localSheetId="33">#REF!</definedName>
    <definedName name="ProposedBid">#REF!</definedName>
    <definedName name="protection" localSheetId="26">#REF!</definedName>
    <definedName name="protection" localSheetId="25">#REF!</definedName>
    <definedName name="protection" localSheetId="35">#REF!</definedName>
    <definedName name="protection" localSheetId="33">#REF!</definedName>
    <definedName name="protection" localSheetId="36">#REF!</definedName>
    <definedName name="protection">#REF!</definedName>
    <definedName name="protectiong" localSheetId="26">#REF!</definedName>
    <definedName name="protectiong" localSheetId="25">#REF!</definedName>
    <definedName name="protectiong" localSheetId="35">#REF!</definedName>
    <definedName name="protectiong" localSheetId="33">#REF!</definedName>
    <definedName name="protectiong" localSheetId="36">#REF!</definedName>
    <definedName name="protectiong">#REF!</definedName>
    <definedName name="protectionh" localSheetId="26">#REF!</definedName>
    <definedName name="protectionh" localSheetId="25">#REF!</definedName>
    <definedName name="protectionh" localSheetId="35">#REF!</definedName>
    <definedName name="protectionh" localSheetId="33">#REF!</definedName>
    <definedName name="protectionh" localSheetId="36">#REF!</definedName>
    <definedName name="protectionh">#REF!</definedName>
    <definedName name="protectioni" localSheetId="26">#REF!</definedName>
    <definedName name="protectioni" localSheetId="25">#REF!</definedName>
    <definedName name="protectioni" localSheetId="35">#REF!</definedName>
    <definedName name="protectioni" localSheetId="33">#REF!</definedName>
    <definedName name="protectioni" localSheetId="36">#REF!</definedName>
    <definedName name="protectioni">#REF!</definedName>
    <definedName name="protectionj" localSheetId="26">#REF!</definedName>
    <definedName name="protectionj" localSheetId="25">#REF!</definedName>
    <definedName name="protectionj" localSheetId="35">#REF!</definedName>
    <definedName name="protectionj" localSheetId="33">#REF!</definedName>
    <definedName name="protectionj" localSheetId="36">#REF!</definedName>
    <definedName name="protectionj">#REF!</definedName>
    <definedName name="protectionk" localSheetId="26">#REF!</definedName>
    <definedName name="protectionk" localSheetId="25">#REF!</definedName>
    <definedName name="protectionk" localSheetId="35">#REF!</definedName>
    <definedName name="protectionk" localSheetId="33">#REF!</definedName>
    <definedName name="protectionk" localSheetId="36">#REF!</definedName>
    <definedName name="protectionk">#REF!</definedName>
    <definedName name="protectionl" localSheetId="26">#REF!</definedName>
    <definedName name="protectionl" localSheetId="25">#REF!</definedName>
    <definedName name="protectionl" localSheetId="35">#REF!</definedName>
    <definedName name="protectionl" localSheetId="33">#REF!</definedName>
    <definedName name="protectionl" localSheetId="36">#REF!</definedName>
    <definedName name="protectionl">#REF!</definedName>
    <definedName name="PRT_REP" localSheetId="26">#REF!</definedName>
    <definedName name="PRT_REP" localSheetId="25">#REF!</definedName>
    <definedName name="PRT_REP" localSheetId="35">#REF!</definedName>
    <definedName name="PRT_REP" localSheetId="33">#REF!</definedName>
    <definedName name="PRT_REP" localSheetId="36">#REF!</definedName>
    <definedName name="PRT_REP">#REF!</definedName>
    <definedName name="PRYR01" localSheetId="26">#REF!</definedName>
    <definedName name="PRYR01" localSheetId="25">#REF!</definedName>
    <definedName name="PRYR01" localSheetId="35">#REF!</definedName>
    <definedName name="PRYR01" localSheetId="33">#REF!</definedName>
    <definedName name="PRYR01">#REF!</definedName>
    <definedName name="PRYR02" localSheetId="26">#REF!</definedName>
    <definedName name="PRYR02" localSheetId="25">#REF!</definedName>
    <definedName name="PRYR02" localSheetId="35">#REF!</definedName>
    <definedName name="PRYR02" localSheetId="33">#REF!</definedName>
    <definedName name="PRYR02">#REF!</definedName>
    <definedName name="PRYR03" localSheetId="26">#REF!</definedName>
    <definedName name="PRYR03" localSheetId="25">#REF!</definedName>
    <definedName name="PRYR03" localSheetId="35">#REF!</definedName>
    <definedName name="PRYR03" localSheetId="33">#REF!</definedName>
    <definedName name="PRYR03">#REF!</definedName>
    <definedName name="PRYR04" localSheetId="26">#REF!</definedName>
    <definedName name="PRYR04" localSheetId="25">#REF!</definedName>
    <definedName name="PRYR04" localSheetId="35">#REF!</definedName>
    <definedName name="PRYR04" localSheetId="33">#REF!</definedName>
    <definedName name="PRYR04">#REF!</definedName>
    <definedName name="PRYR05" localSheetId="26">#REF!</definedName>
    <definedName name="PRYR05" localSheetId="25">#REF!</definedName>
    <definedName name="PRYR05" localSheetId="35">#REF!</definedName>
    <definedName name="PRYR05" localSheetId="33">#REF!</definedName>
    <definedName name="PRYR05">#REF!</definedName>
    <definedName name="PRYRBDGT" localSheetId="26">#REF!</definedName>
    <definedName name="PRYRBDGT" localSheetId="25">#REF!</definedName>
    <definedName name="PRYRBDGT" localSheetId="35">#REF!</definedName>
    <definedName name="PRYRBDGT" localSheetId="33">#REF!</definedName>
    <definedName name="PRYRBDGT">#REF!</definedName>
    <definedName name="PRYRFAS1" localSheetId="26">#REF!</definedName>
    <definedName name="PRYRFAS1" localSheetId="25">#REF!</definedName>
    <definedName name="PRYRFAS1" localSheetId="35">#REF!</definedName>
    <definedName name="PRYRFAS1" localSheetId="33">#REF!</definedName>
    <definedName name="PRYRFAS1">#REF!</definedName>
    <definedName name="PRYRFAS2" localSheetId="26">#REF!</definedName>
    <definedName name="PRYRFAS2" localSheetId="25">#REF!</definedName>
    <definedName name="PRYRFAS2" localSheetId="35">#REF!</definedName>
    <definedName name="PRYRFAS2" localSheetId="33">#REF!</definedName>
    <definedName name="PRYRFAS2">#REF!</definedName>
    <definedName name="PRYRFAS3" localSheetId="26">#REF!</definedName>
    <definedName name="PRYRFAS3" localSheetId="25">#REF!</definedName>
    <definedName name="PRYRFAS3" localSheetId="35">#REF!</definedName>
    <definedName name="PRYRFAS3" localSheetId="33">#REF!</definedName>
    <definedName name="PRYRFAS3">#REF!</definedName>
    <definedName name="PRYRFAS4" localSheetId="26">#REF!</definedName>
    <definedName name="PRYRFAS4" localSheetId="25">#REF!</definedName>
    <definedName name="PRYRFAS4" localSheetId="35">#REF!</definedName>
    <definedName name="PRYRFAS4" localSheetId="33">#REF!</definedName>
    <definedName name="PRYRFAS4">#REF!</definedName>
    <definedName name="PRYRFAS5" localSheetId="26">#REF!</definedName>
    <definedName name="PRYRFAS5" localSheetId="25">#REF!</definedName>
    <definedName name="PRYRFAS5" localSheetId="35">#REF!</definedName>
    <definedName name="PRYRFAS5" localSheetId="33">#REF!</definedName>
    <definedName name="PRYRFAS5">#REF!</definedName>
    <definedName name="PRYRSTAT" localSheetId="26">#REF!</definedName>
    <definedName name="PRYRSTAT" localSheetId="25">#REF!</definedName>
    <definedName name="PRYRSTAT" localSheetId="35">#REF!</definedName>
    <definedName name="PRYRSTAT" localSheetId="33">#REF!</definedName>
    <definedName name="PRYRSTAT">#REF!</definedName>
    <definedName name="ps" localSheetId="26">#REF!</definedName>
    <definedName name="ps" localSheetId="25">#REF!</definedName>
    <definedName name="ps" localSheetId="35">#REF!</definedName>
    <definedName name="ps" localSheetId="33">#REF!</definedName>
    <definedName name="ps">#REF!</definedName>
    <definedName name="PSMMod" localSheetId="26">#REF!</definedName>
    <definedName name="PSMMod" localSheetId="25">#REF!</definedName>
    <definedName name="PSMMod" localSheetId="35">#REF!</definedName>
    <definedName name="PSMMod" localSheetId="33">#REF!</definedName>
    <definedName name="PSMMod">#REF!</definedName>
    <definedName name="PT" localSheetId="26">#REF!</definedName>
    <definedName name="PT" localSheetId="25">#REF!</definedName>
    <definedName name="PT" localSheetId="35">#REF!</definedName>
    <definedName name="PT" localSheetId="33">#REF!</definedName>
    <definedName name="PT">#REF!</definedName>
    <definedName name="PTEeXToEUR" localSheetId="28" hidden="1">1/EUReXToPTE</definedName>
    <definedName name="PTEeXToEUR" localSheetId="26" hidden="1">1/EUReXToPTE</definedName>
    <definedName name="PTEeXToEUR" localSheetId="25" hidden="1">1/EUReXToPTE</definedName>
    <definedName name="PTEeXToEUR" localSheetId="35" hidden="1">1/EUReXToPTE</definedName>
    <definedName name="PTEeXToEUR" localSheetId="33" hidden="1">1/EUReXToPTE</definedName>
    <definedName name="PTEeXToEUR" localSheetId="36" hidden="1">1/EUReXToPTE</definedName>
    <definedName name="PTEeXToEUR" hidden="1">1/EUReXToPTE</definedName>
    <definedName name="PUB_FileID" hidden="1">"L10003787.xls"</definedName>
    <definedName name="PUB_UserID" hidden="1">"MAYERX"</definedName>
    <definedName name="Purchase_Price" localSheetId="26">#REF!</definedName>
    <definedName name="Purchase_Price" localSheetId="25">#REF!</definedName>
    <definedName name="Purchase_Price" localSheetId="35">#REF!</definedName>
    <definedName name="Purchase_Price" localSheetId="33">#REF!</definedName>
    <definedName name="Purchase_Price">#REF!</definedName>
    <definedName name="PurchasePrice" localSheetId="26">#REF!</definedName>
    <definedName name="PurchasePrice" localSheetId="25">#REF!</definedName>
    <definedName name="PurchasePrice" localSheetId="35">#REF!</definedName>
    <definedName name="PurchasePrice" localSheetId="33">#REF!</definedName>
    <definedName name="PurchasePrice">#REF!</definedName>
    <definedName name="PurchaseStrategy" localSheetId="26">#REF!</definedName>
    <definedName name="PurchaseStrategy" localSheetId="25">#REF!</definedName>
    <definedName name="PurchaseStrategy" localSheetId="35">#REF!</definedName>
    <definedName name="PurchaseStrategy" localSheetId="33">#REF!</definedName>
    <definedName name="PurchaseStrategy">#REF!</definedName>
    <definedName name="pxpxpxpxpxppx" localSheetId="26" hidden="1">#REF!</definedName>
    <definedName name="pxpxpxpxpxppx" localSheetId="25" hidden="1">#REF!</definedName>
    <definedName name="pxpxpxpxpxppx" localSheetId="35" hidden="1">#REF!</definedName>
    <definedName name="pxpxpxpxpxppx" localSheetId="33" hidden="1">#REF!</definedName>
    <definedName name="pxpxpxpxpxppx" localSheetId="36" hidden="1">#REF!</definedName>
    <definedName name="pxpxpxpxpxppx" hidden="1">#REF!</definedName>
    <definedName name="PY" localSheetId="26">#REF!</definedName>
    <definedName name="PY" localSheetId="25">#REF!</definedName>
    <definedName name="PY" localSheetId="35">#REF!</definedName>
    <definedName name="PY" localSheetId="33">#REF!</definedName>
    <definedName name="PY" localSheetId="36">#REF!</definedName>
    <definedName name="PY">#REF!</definedName>
    <definedName name="pykygukuygkgjh" localSheetId="26" hidden="1">#REF!</definedName>
    <definedName name="pykygukuygkgjh" localSheetId="25" hidden="1">#REF!</definedName>
    <definedName name="pykygukuygkgjh" localSheetId="35" hidden="1">#REF!</definedName>
    <definedName name="pykygukuygkgjh" localSheetId="33" hidden="1">#REF!</definedName>
    <definedName name="pykygukuygkgjh" localSheetId="36" hidden="1">#REF!</definedName>
    <definedName name="pykygukuygkgjh" hidden="1">#REF!</definedName>
    <definedName name="PZ" localSheetId="26">#REF!</definedName>
    <definedName name="PZ" localSheetId="25">#REF!</definedName>
    <definedName name="PZ" localSheetId="35">#REF!</definedName>
    <definedName name="PZ" localSheetId="33">#REF!</definedName>
    <definedName name="PZ" localSheetId="36">#REF!</definedName>
    <definedName name="PZ">#REF!</definedName>
    <definedName name="q" localSheetId="28" hidden="1">{"CSheet",#N/A,FALSE,"C";"SmCap",#N/A,FALSE,"VAL1";"GulfCoast",#N/A,FALSE,"VAL1";"nav",#N/A,FALSE,"NAV";"Summary",#N/A,FALSE,"NAV"}</definedName>
    <definedName name="q" hidden="1">{"CSheet",#N/A,FALSE,"C";"SmCap",#N/A,FALSE,"VAL1";"GulfCoast",#N/A,FALSE,"VAL1";"nav",#N/A,FALSE,"NAV";"Summary",#N/A,FALSE,"NAV"}</definedName>
    <definedName name="q_1" localSheetId="28" hidden="1">{"CSheet",#N/A,FALSE,"C";"SmCap",#N/A,FALSE,"VAL1";"GulfCoast",#N/A,FALSE,"VAL1";"nav",#N/A,FALSE,"NAV";"Summary",#N/A,FALSE,"NAV"}</definedName>
    <definedName name="q_1" hidden="1">{"CSheet",#N/A,FALSE,"C";"SmCap",#N/A,FALSE,"VAL1";"GulfCoast",#N/A,FALSE,"VAL1";"nav",#N/A,FALSE,"NAV";"Summary",#N/A,FALSE,"NAV"}</definedName>
    <definedName name="q_1_1" localSheetId="28" hidden="1">{"CSheet",#N/A,FALSE,"C";"SmCap",#N/A,FALSE,"VAL1";"GulfCoast",#N/A,FALSE,"VAL1";"nav",#N/A,FALSE,"NAV";"Summary",#N/A,FALSE,"NAV"}</definedName>
    <definedName name="q_1_1" hidden="1">{"CSheet",#N/A,FALSE,"C";"SmCap",#N/A,FALSE,"VAL1";"GulfCoast",#N/A,FALSE,"VAL1";"nav",#N/A,FALSE,"NAV";"Summary",#N/A,FALSE,"NAV"}</definedName>
    <definedName name="Q_실적2" localSheetId="26">#REF!</definedName>
    <definedName name="Q_실적2" localSheetId="25">#REF!</definedName>
    <definedName name="Q_실적2" localSheetId="35">#REF!</definedName>
    <definedName name="Q_실적2" localSheetId="33">#REF!</definedName>
    <definedName name="Q_실적2">#REF!</definedName>
    <definedName name="QDRQ_2">#N/A</definedName>
    <definedName name="QDRQ_3">#N/A</definedName>
    <definedName name="QDRQ_5">#N/A</definedName>
    <definedName name="qeqw" localSheetId="26" hidden="1">#REF!</definedName>
    <definedName name="qeqw" localSheetId="25" hidden="1">#REF!</definedName>
    <definedName name="qeqw" localSheetId="35" hidden="1">#REF!</definedName>
    <definedName name="qeqw" localSheetId="33" hidden="1">#REF!</definedName>
    <definedName name="qeqw" localSheetId="36" hidden="1">#REF!</definedName>
    <definedName name="qeqw" hidden="1">#REF!</definedName>
    <definedName name="qer" localSheetId="28" hidden="1">{"mgmt forecast",#N/A,FALSE,"Mgmt Forecast";"dcf table",#N/A,FALSE,"Mgmt Forecast";"sensitivity",#N/A,FALSE,"Mgmt Forecast";"table inputs",#N/A,FALSE,"Mgmt Forecast";"calculations",#N/A,FALSE,"Mgmt Forecast"}</definedName>
    <definedName name="qer" hidden="1">{"mgmt forecast",#N/A,FALSE,"Mgmt Forecast";"dcf table",#N/A,FALSE,"Mgmt Forecast";"sensitivity",#N/A,FALSE,"Mgmt Forecast";"table inputs",#N/A,FALSE,"Mgmt Forecast";"calculations",#N/A,FALSE,"Mgmt Forecast"}</definedName>
    <definedName name="qer_1" localSheetId="28"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localSheetId="28"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6">#REF!</definedName>
    <definedName name="qqq" localSheetId="25">#REF!</definedName>
    <definedName name="qqq" localSheetId="35">#REF!</definedName>
    <definedName name="qqq" localSheetId="33">#REF!</definedName>
    <definedName name="qqq">#REF!</definedName>
    <definedName name="qqqqq" localSheetId="26" hidden="1">#REF!</definedName>
    <definedName name="qqqqq" localSheetId="25" hidden="1">#REF!</definedName>
    <definedName name="qqqqq" localSheetId="35" hidden="1">#REF!</definedName>
    <definedName name="qqqqq" localSheetId="33" hidden="1">#REF!</definedName>
    <definedName name="qqqqq" localSheetId="36" hidden="1">#REF!</definedName>
    <definedName name="qqqqq" hidden="1">#REF!</definedName>
    <definedName name="qqqqqqq" localSheetId="26">#REF!</definedName>
    <definedName name="qqqqqqq" localSheetId="25">#REF!</definedName>
    <definedName name="qqqqqqq" localSheetId="35">#REF!</definedName>
    <definedName name="qqqqqqq" localSheetId="33">#REF!</definedName>
    <definedName name="qqqqqqq">#REF!</definedName>
    <definedName name="qqqqqqqqqqqqqqq"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localSheetId="28" hidden="1">{"'home'!$F$26","'home'!$A$1:$J$25"}</definedName>
    <definedName name="qqqqqqqqqqqqqqqq" hidden="1">{"'home'!$F$26","'home'!$A$1:$J$25"}</definedName>
    <definedName name="qrqrqrqrrqra" localSheetId="26" hidden="1">#REF!</definedName>
    <definedName name="qrqrqrqrrqra" localSheetId="25" hidden="1">#REF!</definedName>
    <definedName name="qrqrqrqrrqra" localSheetId="35" hidden="1">#REF!</definedName>
    <definedName name="qrqrqrqrrqra" localSheetId="33" hidden="1">#REF!</definedName>
    <definedName name="qrqrqrqrrqra" localSheetId="36" hidden="1">#REF!</definedName>
    <definedName name="qrqrqrqrrqra" hidden="1">#REF!</definedName>
    <definedName name="QTD" localSheetId="28" hidden="1">{"'Check Request'!$A$1:$BF$37"}</definedName>
    <definedName name="QTD" hidden="1">{"'Check Request'!$A$1:$BF$37"}</definedName>
    <definedName name="QtrActualTotal" localSheetId="26">#REF!</definedName>
    <definedName name="QtrActualTotal" localSheetId="25">#REF!</definedName>
    <definedName name="QtrActualTotal" localSheetId="35">#REF!</definedName>
    <definedName name="QtrActualTotal" localSheetId="33">#REF!</definedName>
    <definedName name="QtrActualTotal" localSheetId="36">#REF!</definedName>
    <definedName name="QtrActualTotal">#REF!</definedName>
    <definedName name="QtrActualTotalDetail" localSheetId="26">#REF!</definedName>
    <definedName name="QtrActualTotalDetail" localSheetId="25">#REF!</definedName>
    <definedName name="QtrActualTotalDetail" localSheetId="35">#REF!</definedName>
    <definedName name="QtrActualTotalDetail" localSheetId="33">#REF!</definedName>
    <definedName name="QtrActualTotalDetail" localSheetId="36">#REF!</definedName>
    <definedName name="QtrActualTotalDetail">#REF!</definedName>
    <definedName name="QtrCAOTotal" localSheetId="26">#REF!</definedName>
    <definedName name="QtrCAOTotal" localSheetId="25">#REF!</definedName>
    <definedName name="QtrCAOTotal" localSheetId="35">#REF!</definedName>
    <definedName name="QtrCAOTotal" localSheetId="33">#REF!</definedName>
    <definedName name="QtrCAOTotal" localSheetId="36">#REF!</definedName>
    <definedName name="QtrCAOTotal">#REF!</definedName>
    <definedName name="QtrCAOTotalDetail" localSheetId="26">#REF!</definedName>
    <definedName name="QtrCAOTotalDetail" localSheetId="25">#REF!</definedName>
    <definedName name="QtrCAOTotalDetail" localSheetId="35">#REF!</definedName>
    <definedName name="QtrCAOTotalDetail" localSheetId="33">#REF!</definedName>
    <definedName name="QtrCAOTotalDetail" localSheetId="36">#REF!</definedName>
    <definedName name="QtrCAOTotalDetail">#REF!</definedName>
    <definedName name="QtrCWVTotal" localSheetId="26">#REF!</definedName>
    <definedName name="QtrCWVTotal" localSheetId="25">#REF!</definedName>
    <definedName name="QtrCWVTotal" localSheetId="35">#REF!</definedName>
    <definedName name="QtrCWVTotal" localSheetId="33">#REF!</definedName>
    <definedName name="QtrCWVTotal" localSheetId="36">#REF!</definedName>
    <definedName name="QtrCWVTotal">#REF!</definedName>
    <definedName name="QtrCWVTotalDetail" localSheetId="26">#REF!</definedName>
    <definedName name="QtrCWVTotalDetail" localSheetId="25">#REF!</definedName>
    <definedName name="QtrCWVTotalDetail" localSheetId="35">#REF!</definedName>
    <definedName name="QtrCWVTotalDetail" localSheetId="33">#REF!</definedName>
    <definedName name="QtrCWVTotalDetail" localSheetId="36">#REF!</definedName>
    <definedName name="QtrCWVTotalDetail">#REF!</definedName>
    <definedName name="QtrFunnelTotalDetail" localSheetId="26">#REF!</definedName>
    <definedName name="QtrFunnelTotalDetail" localSheetId="25">#REF!</definedName>
    <definedName name="QtrFunnelTotalDetail" localSheetId="35">#REF!</definedName>
    <definedName name="QtrFunnelTotalDetail" localSheetId="33">#REF!</definedName>
    <definedName name="QtrFunnelTotalDetail" localSheetId="36">#REF!</definedName>
    <definedName name="QtrFunnelTotalDetail">#REF!</definedName>
    <definedName name="QtrMLVTotalDetail" localSheetId="26">#REF!</definedName>
    <definedName name="QtrMLVTotalDetail" localSheetId="25">#REF!</definedName>
    <definedName name="QtrMLVTotalDetail" localSheetId="35">#REF!</definedName>
    <definedName name="QtrMLVTotalDetail" localSheetId="33">#REF!</definedName>
    <definedName name="QtrMLVTotalDetail" localSheetId="36">#REF!</definedName>
    <definedName name="QtrMLVTotalDetail">#REF!</definedName>
    <definedName name="QtrMustWinTotalDetail" localSheetId="26">#REF!</definedName>
    <definedName name="QtrMustWinTotalDetail" localSheetId="25">#REF!</definedName>
    <definedName name="QtrMustWinTotalDetail" localSheetId="35">#REF!</definedName>
    <definedName name="QtrMustWinTotalDetail" localSheetId="33">#REF!</definedName>
    <definedName name="QtrMustWinTotalDetail" localSheetId="36">#REF!</definedName>
    <definedName name="QtrMustWinTotalDetail">#REF!</definedName>
    <definedName name="QtrOutlookTotal" localSheetId="26">#REF!</definedName>
    <definedName name="QtrOutlookTotal" localSheetId="25">#REF!</definedName>
    <definedName name="QtrOutlookTotal" localSheetId="35">#REF!</definedName>
    <definedName name="QtrOutlookTotal" localSheetId="33">#REF!</definedName>
    <definedName name="QtrOutlookTotal" localSheetId="36">#REF!</definedName>
    <definedName name="QtrOutlookTotal">#REF!</definedName>
    <definedName name="QtrRange" localSheetId="26">#REF!</definedName>
    <definedName name="QtrRange" localSheetId="25">#REF!</definedName>
    <definedName name="QtrRange" localSheetId="35">#REF!</definedName>
    <definedName name="QtrRange" localSheetId="33">#REF!</definedName>
    <definedName name="QtrRange" localSheetId="36">#REF!</definedName>
    <definedName name="QtrRange">#REF!</definedName>
    <definedName name="Query1" localSheetId="26">#REF!</definedName>
    <definedName name="Query1" localSheetId="25">#REF!</definedName>
    <definedName name="Query1" localSheetId="35">#REF!</definedName>
    <definedName name="Query1" localSheetId="33">#REF!</definedName>
    <definedName name="Query1">#REF!</definedName>
    <definedName name="Question3" localSheetId="26">#REF!</definedName>
    <definedName name="Question3" localSheetId="25">#REF!</definedName>
    <definedName name="Question3" localSheetId="35">#REF!</definedName>
    <definedName name="Question3" localSheetId="33">#REF!</definedName>
    <definedName name="Question3" localSheetId="36">#REF!</definedName>
    <definedName name="Question3">#REF!</definedName>
    <definedName name="quit_button_Click">#N/A</definedName>
    <definedName name="qwe" localSheetId="26">#REF!</definedName>
    <definedName name="qwe" localSheetId="25">#REF!</definedName>
    <definedName name="qwe" localSheetId="35">#REF!</definedName>
    <definedName name="qwe" localSheetId="33">#REF!</definedName>
    <definedName name="qwe">#REF!</definedName>
    <definedName name="qwerqew" localSheetId="28" hidden="1">{"mgmt forecast",#N/A,FALSE,"Mgmt Forecast";"dcf table",#N/A,FALSE,"Mgmt Forecast";"sensitivity",#N/A,FALSE,"Mgmt Forecast";"table inputs",#N/A,FALSE,"Mgmt Forecast";"calculations",#N/A,FALSE,"Mgmt Forecast"}</definedName>
    <definedName name="qwerqew" hidden="1">{"mgmt forecast",#N/A,FALSE,"Mgmt Forecast";"dcf table",#N/A,FALSE,"Mgmt Forecast";"sensitivity",#N/A,FALSE,"Mgmt Forecast";"table inputs",#N/A,FALSE,"Mgmt Forecast";"calculations",#N/A,FALSE,"Mgmt Forecast"}</definedName>
    <definedName name="qwerqew_1" localSheetId="28"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localSheetId="28"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localSheetId="28" hidden="1">{"orixcsc",#N/A,FALSE,"ORIX CSC";"orixcsc2",#N/A,FALSE,"ORIX CSC"}</definedName>
    <definedName name="qwerqwerqwe" hidden="1">{"orixcsc",#N/A,FALSE,"ORIX CSC";"orixcsc2",#N/A,FALSE,"ORIX CSC"}</definedName>
    <definedName name="qwerqwerqwe_1" localSheetId="28" hidden="1">{"orixcsc",#N/A,FALSE,"ORIX CSC";"orixcsc2",#N/A,FALSE,"ORIX CSC"}</definedName>
    <definedName name="qwerqwerqwe_1" hidden="1">{"orixcsc",#N/A,FALSE,"ORIX CSC";"orixcsc2",#N/A,FALSE,"ORIX CSC"}</definedName>
    <definedName name="qwerqwerqwe_1_1" localSheetId="28" hidden="1">{"orixcsc",#N/A,FALSE,"ORIX CSC";"orixcsc2",#N/A,FALSE,"ORIX CSC"}</definedName>
    <definedName name="qwerqwerqwe_1_1" hidden="1">{"orixcsc",#N/A,FALSE,"ORIX CSC";"orixcsc2",#N/A,FALSE,"ORIX CSC"}</definedName>
    <definedName name="qwerty" localSheetId="28" hidden="1">{#N/A,#N/A,TRUE,"FOC_Product_Assumptions"}</definedName>
    <definedName name="qwerty" hidden="1">{#N/A,#N/A,TRUE,"FOC_Product_Assumptions"}</definedName>
    <definedName name="qwerty_1" localSheetId="28" hidden="1">{#N/A,#N/A,TRUE,"FOC_Product_Assumptions"}</definedName>
    <definedName name="qwerty_1" hidden="1">{#N/A,#N/A,TRUE,"FOC_Product_Assumptions"}</definedName>
    <definedName name="qwerty_1_1" localSheetId="28" hidden="1">{#N/A,#N/A,TRUE,"FOC_Product_Assumptions"}</definedName>
    <definedName name="qwerty_1_1" hidden="1">{#N/A,#N/A,TRUE,"FOC_Product_Assumptions"}</definedName>
    <definedName name="rack" localSheetId="26">#REF!</definedName>
    <definedName name="rack" localSheetId="25">#REF!</definedName>
    <definedName name="rack" localSheetId="35">#REF!</definedName>
    <definedName name="rack" localSheetId="33">#REF!</definedName>
    <definedName name="rack" localSheetId="36">#REF!</definedName>
    <definedName name="rack">#REF!</definedName>
    <definedName name="RATE1" localSheetId="26">#REF!</definedName>
    <definedName name="RATE1" localSheetId="25">#REF!</definedName>
    <definedName name="RATE1" localSheetId="35">#REF!</definedName>
    <definedName name="RATE1" localSheetId="33">#REF!</definedName>
    <definedName name="RATE1">#REF!</definedName>
    <definedName name="RATE2" localSheetId="26">#REF!</definedName>
    <definedName name="RATE2" localSheetId="25">#REF!</definedName>
    <definedName name="RATE2" localSheetId="35">#REF!</definedName>
    <definedName name="RATE2" localSheetId="33">#REF!</definedName>
    <definedName name="RATE2">#REF!</definedName>
    <definedName name="RATE3" localSheetId="26">#REF!</definedName>
    <definedName name="RATE3" localSheetId="25">#REF!</definedName>
    <definedName name="RATE3" localSheetId="35">#REF!</definedName>
    <definedName name="RATE3" localSheetId="33">#REF!</definedName>
    <definedName name="RATE3">#REF!</definedName>
    <definedName name="RATE4" localSheetId="26">#REF!</definedName>
    <definedName name="RATE4" localSheetId="25">#REF!</definedName>
    <definedName name="RATE4" localSheetId="35">#REF!</definedName>
    <definedName name="RATE4" localSheetId="33">#REF!</definedName>
    <definedName name="RATE4">#REF!</definedName>
    <definedName name="RATE6" localSheetId="26">#REF!</definedName>
    <definedName name="RATE6" localSheetId="25">#REF!</definedName>
    <definedName name="RATE6" localSheetId="35">#REF!</definedName>
    <definedName name="RATE6" localSheetId="33">#REF!</definedName>
    <definedName name="RATE6">#REF!</definedName>
    <definedName name="RATE7" localSheetId="26">#REF!</definedName>
    <definedName name="RATE7" localSheetId="25">#REF!</definedName>
    <definedName name="RATE7" localSheetId="35">#REF!</definedName>
    <definedName name="RATE7" localSheetId="33">#REF!</definedName>
    <definedName name="RATE7">#REF!</definedName>
    <definedName name="RATE9" localSheetId="26">#REF!</definedName>
    <definedName name="RATE9" localSheetId="25">#REF!</definedName>
    <definedName name="RATE9" localSheetId="35">#REF!</definedName>
    <definedName name="RATE9" localSheetId="33">#REF!</definedName>
    <definedName name="RATE9">#REF!</definedName>
    <definedName name="RATEA" localSheetId="26">#REF!</definedName>
    <definedName name="RATEA" localSheetId="25">#REF!</definedName>
    <definedName name="RATEA" localSheetId="35">#REF!</definedName>
    <definedName name="RATEA" localSheetId="33">#REF!</definedName>
    <definedName name="RATEA">#REF!</definedName>
    <definedName name="re" localSheetId="26" hidden="1">#REF!</definedName>
    <definedName name="re" localSheetId="25" hidden="1">#REF!</definedName>
    <definedName name="re" localSheetId="35" hidden="1">#REF!</definedName>
    <definedName name="re" localSheetId="33" hidden="1">#REF!</definedName>
    <definedName name="re" hidden="1">#REF!</definedName>
    <definedName name="redo" localSheetId="28" hidden="1">{#N/A,#N/A,FALSE,"ACQ_GRAPHS";#N/A,#N/A,FALSE,"T_1 GRAPHS";#N/A,#N/A,FALSE,"T_2 GRAPHS";#N/A,#N/A,FALSE,"COMB_GRAPHS"}</definedName>
    <definedName name="redo" hidden="1">{#N/A,#N/A,FALSE,"ACQ_GRAPHS";#N/A,#N/A,FALSE,"T_1 GRAPHS";#N/A,#N/A,FALSE,"T_2 GRAPHS";#N/A,#N/A,FALSE,"COMB_GRAPHS"}</definedName>
    <definedName name="redo_1" localSheetId="28" hidden="1">{#N/A,#N/A,FALSE,"ACQ_GRAPHS";#N/A,#N/A,FALSE,"T_1 GRAPHS";#N/A,#N/A,FALSE,"T_2 GRAPHS";#N/A,#N/A,FALSE,"COMB_GRAPHS"}</definedName>
    <definedName name="redo_1" hidden="1">{#N/A,#N/A,FALSE,"ACQ_GRAPHS";#N/A,#N/A,FALSE,"T_1 GRAPHS";#N/A,#N/A,FALSE,"T_2 GRAPHS";#N/A,#N/A,FALSE,"COMB_GRAPHS"}</definedName>
    <definedName name="redo_1_1" localSheetId="28" hidden="1">{#N/A,#N/A,FALSE,"ACQ_GRAPHS";#N/A,#N/A,FALSE,"T_1 GRAPHS";#N/A,#N/A,FALSE,"T_2 GRAPHS";#N/A,#N/A,FALSE,"COMB_GRAPHS"}</definedName>
    <definedName name="redo_1_1" hidden="1">{#N/A,#N/A,FALSE,"ACQ_GRAPHS";#N/A,#N/A,FALSE,"T_1 GRAPHS";#N/A,#N/A,FALSE,"T_2 GRAPHS";#N/A,#N/A,FALSE,"COMB_GRAPHS"}</definedName>
    <definedName name="Ref_1" localSheetId="26">#REF!</definedName>
    <definedName name="Ref_1" localSheetId="25">#REF!</definedName>
    <definedName name="Ref_1" localSheetId="35">#REF!</definedName>
    <definedName name="Ref_1" localSheetId="33">#REF!</definedName>
    <definedName name="Ref_1">#REF!</definedName>
    <definedName name="Ref_10" localSheetId="26">#REF!</definedName>
    <definedName name="Ref_10" localSheetId="25">#REF!</definedName>
    <definedName name="Ref_10" localSheetId="35">#REF!</definedName>
    <definedName name="Ref_10" localSheetId="33">#REF!</definedName>
    <definedName name="Ref_10">#REF!</definedName>
    <definedName name="Ref_11" localSheetId="26">#REF!</definedName>
    <definedName name="Ref_11" localSheetId="25">#REF!</definedName>
    <definedName name="Ref_11" localSheetId="35">#REF!</definedName>
    <definedName name="Ref_11" localSheetId="33">#REF!</definedName>
    <definedName name="Ref_11">#REF!</definedName>
    <definedName name="Ref_12" localSheetId="26">#REF!</definedName>
    <definedName name="Ref_12" localSheetId="25">#REF!</definedName>
    <definedName name="Ref_12" localSheetId="35">#REF!</definedName>
    <definedName name="Ref_12" localSheetId="33">#REF!</definedName>
    <definedName name="Ref_12">#REF!</definedName>
    <definedName name="Ref_13" localSheetId="26">#REF!</definedName>
    <definedName name="Ref_13" localSheetId="25">#REF!</definedName>
    <definedName name="Ref_13" localSheetId="35">#REF!</definedName>
    <definedName name="Ref_13" localSheetId="33">#REF!</definedName>
    <definedName name="Ref_13">#REF!</definedName>
    <definedName name="Ref_14" localSheetId="26">#REF!</definedName>
    <definedName name="Ref_14" localSheetId="25">#REF!</definedName>
    <definedName name="Ref_14" localSheetId="35">#REF!</definedName>
    <definedName name="Ref_14" localSheetId="33">#REF!</definedName>
    <definedName name="Ref_14">#REF!</definedName>
    <definedName name="Ref_15" localSheetId="26">#REF!</definedName>
    <definedName name="Ref_15" localSheetId="25">#REF!</definedName>
    <definedName name="Ref_15" localSheetId="35">#REF!</definedName>
    <definedName name="Ref_15" localSheetId="33">#REF!</definedName>
    <definedName name="Ref_15">#REF!</definedName>
    <definedName name="Ref_2" localSheetId="26">#REF!</definedName>
    <definedName name="Ref_2" localSheetId="25">#REF!</definedName>
    <definedName name="Ref_2" localSheetId="35">#REF!</definedName>
    <definedName name="Ref_2" localSheetId="33">#REF!</definedName>
    <definedName name="Ref_2">#REF!</definedName>
    <definedName name="Ref_3" localSheetId="26">#REF!</definedName>
    <definedName name="Ref_3" localSheetId="25">#REF!</definedName>
    <definedName name="Ref_3" localSheetId="35">#REF!</definedName>
    <definedName name="Ref_3" localSheetId="33">#REF!</definedName>
    <definedName name="Ref_3">#REF!</definedName>
    <definedName name="Ref_4" localSheetId="26">#REF!</definedName>
    <definedName name="Ref_4" localSheetId="25">#REF!</definedName>
    <definedName name="Ref_4" localSheetId="35">#REF!</definedName>
    <definedName name="Ref_4" localSheetId="33">#REF!</definedName>
    <definedName name="Ref_4">#REF!</definedName>
    <definedName name="Ref_5" localSheetId="26">#REF!</definedName>
    <definedName name="Ref_5" localSheetId="25">#REF!</definedName>
    <definedName name="Ref_5" localSheetId="35">#REF!</definedName>
    <definedName name="Ref_5" localSheetId="33">#REF!</definedName>
    <definedName name="Ref_5">#REF!</definedName>
    <definedName name="Ref_6" localSheetId="26">#REF!</definedName>
    <definedName name="Ref_6" localSheetId="25">#REF!</definedName>
    <definedName name="Ref_6" localSheetId="35">#REF!</definedName>
    <definedName name="Ref_6" localSheetId="33">#REF!</definedName>
    <definedName name="Ref_6">#REF!</definedName>
    <definedName name="Ref_7" localSheetId="26">#REF!</definedName>
    <definedName name="Ref_7" localSheetId="25">#REF!</definedName>
    <definedName name="Ref_7" localSheetId="35">#REF!</definedName>
    <definedName name="Ref_7" localSheetId="33">#REF!</definedName>
    <definedName name="Ref_7">#REF!</definedName>
    <definedName name="Ref_8" localSheetId="26">#REF!</definedName>
    <definedName name="Ref_8" localSheetId="25">#REF!</definedName>
    <definedName name="Ref_8" localSheetId="35">#REF!</definedName>
    <definedName name="Ref_8" localSheetId="33">#REF!</definedName>
    <definedName name="Ref_8">#REF!</definedName>
    <definedName name="Ref_9" localSheetId="26">#REF!</definedName>
    <definedName name="Ref_9" localSheetId="25">#REF!</definedName>
    <definedName name="Ref_9" localSheetId="35">#REF!</definedName>
    <definedName name="Ref_9" localSheetId="33">#REF!</definedName>
    <definedName name="Ref_9">#REF!</definedName>
    <definedName name="ReFiDate" localSheetId="26">#REF!</definedName>
    <definedName name="ReFiDate" localSheetId="25">#REF!</definedName>
    <definedName name="ReFiDate" localSheetId="35">#REF!</definedName>
    <definedName name="ReFiDate" localSheetId="33">#REF!</definedName>
    <definedName name="ReFiDate">#REF!</definedName>
    <definedName name="ReFiExist" localSheetId="26">#REF!</definedName>
    <definedName name="ReFiExist" localSheetId="25">#REF!</definedName>
    <definedName name="ReFiExist" localSheetId="35">#REF!</definedName>
    <definedName name="ReFiExist" localSheetId="33">#REF!</definedName>
    <definedName name="ReFiExist">#REF!</definedName>
    <definedName name="ReFiOption" localSheetId="26">#REF!</definedName>
    <definedName name="ReFiOption" localSheetId="25">#REF!</definedName>
    <definedName name="ReFiOption" localSheetId="35">#REF!</definedName>
    <definedName name="ReFiOption" localSheetId="33">#REF!</definedName>
    <definedName name="ReFiOption">#REF!</definedName>
    <definedName name="RefNOI" localSheetId="26">#REF!</definedName>
    <definedName name="RefNOI" localSheetId="25">#REF!</definedName>
    <definedName name="RefNOI" localSheetId="35">#REF!</definedName>
    <definedName name="RefNOI" localSheetId="33">#REF!</definedName>
    <definedName name="RefNOI">#REF!</definedName>
    <definedName name="RefYear" localSheetId="26">#REF!</definedName>
    <definedName name="RefYear" localSheetId="25">#REF!</definedName>
    <definedName name="RefYear" localSheetId="35">#REF!</definedName>
    <definedName name="RefYear" localSheetId="33">#REF!</definedName>
    <definedName name="RefYear">#REF!</definedName>
    <definedName name="rel" localSheetId="26">#REF!</definedName>
    <definedName name="rel" localSheetId="25">#REF!</definedName>
    <definedName name="rel" localSheetId="35">#REF!</definedName>
    <definedName name="rel" localSheetId="33">#REF!</definedName>
    <definedName name="rel" localSheetId="36">#REF!</definedName>
    <definedName name="rel">#REF!</definedName>
    <definedName name="rent" localSheetId="26">#REF!</definedName>
    <definedName name="rent" localSheetId="25">#REF!</definedName>
    <definedName name="rent" localSheetId="35">#REF!</definedName>
    <definedName name="rent" localSheetId="33">#REF!</definedName>
    <definedName name="rent">#REF!</definedName>
    <definedName name="Rent_Roll" localSheetId="26">#REF!</definedName>
    <definedName name="Rent_Roll" localSheetId="25">#REF!</definedName>
    <definedName name="Rent_Roll" localSheetId="35">#REF!</definedName>
    <definedName name="Rent_Roll" localSheetId="33">#REF!</definedName>
    <definedName name="Rent_Roll">#REF!</definedName>
    <definedName name="Report" localSheetId="26">#REF!</definedName>
    <definedName name="Report" localSheetId="25">#REF!</definedName>
    <definedName name="Report" localSheetId="35">#REF!</definedName>
    <definedName name="Report" localSheetId="33">#REF!</definedName>
    <definedName name="Report">#REF!</definedName>
    <definedName name="REPORT1" localSheetId="26">#REF!</definedName>
    <definedName name="REPORT1" localSheetId="25">#REF!</definedName>
    <definedName name="REPORT1" localSheetId="35">#REF!</definedName>
    <definedName name="REPORT1" localSheetId="33">#REF!</definedName>
    <definedName name="REPORT1">#REF!</definedName>
    <definedName name="REPORT2" localSheetId="26">#REF!</definedName>
    <definedName name="REPORT2" localSheetId="25">#REF!</definedName>
    <definedName name="REPORT2" localSheetId="35">#REF!</definedName>
    <definedName name="REPORT2" localSheetId="33">#REF!</definedName>
    <definedName name="REPORT2">#REF!</definedName>
    <definedName name="ReportCreated">TRUE</definedName>
    <definedName name="ReportFooter1" localSheetId="26">#REF!</definedName>
    <definedName name="ReportFooter1" localSheetId="25">#REF!</definedName>
    <definedName name="ReportFooter1" localSheetId="35">#REF!</definedName>
    <definedName name="ReportFooter1" localSheetId="33">#REF!</definedName>
    <definedName name="ReportFooter1" localSheetId="36">#REF!</definedName>
    <definedName name="ReportFooter1">#REF!</definedName>
    <definedName name="ReportFooter2" localSheetId="26">#REF!</definedName>
    <definedName name="ReportFooter2" localSheetId="25">#REF!</definedName>
    <definedName name="ReportFooter2" localSheetId="35">#REF!</definedName>
    <definedName name="ReportFooter2" localSheetId="33">#REF!</definedName>
    <definedName name="ReportFooter2" localSheetId="36">#REF!</definedName>
    <definedName name="ReportFooter2">#REF!</definedName>
    <definedName name="ReportFooter3" localSheetId="26">#REF!</definedName>
    <definedName name="ReportFooter3" localSheetId="25">#REF!</definedName>
    <definedName name="ReportFooter3" localSheetId="35">#REF!</definedName>
    <definedName name="ReportFooter3" localSheetId="33">#REF!</definedName>
    <definedName name="ReportFooter3" localSheetId="36">#REF!</definedName>
    <definedName name="ReportFooter3">#REF!</definedName>
    <definedName name="ReportGroup" hidden="1">0</definedName>
    <definedName name="reportPl">#N/A</definedName>
    <definedName name="rere" localSheetId="28" hidden="1">{#N/A,#N/A,FALSE,"ORIX CSC"}</definedName>
    <definedName name="rere" hidden="1">{#N/A,#N/A,FALSE,"ORIX CSC"}</definedName>
    <definedName name="rere_1" localSheetId="28" hidden="1">{#N/A,#N/A,FALSE,"ORIX CSC"}</definedName>
    <definedName name="rere_1" hidden="1">{#N/A,#N/A,FALSE,"ORIX CSC"}</definedName>
    <definedName name="rere_1_1" localSheetId="28" hidden="1">{#N/A,#N/A,FALSE,"ORIX CSC"}</definedName>
    <definedName name="rere_1_1" hidden="1">{#N/A,#N/A,FALSE,"ORIX CSC"}</definedName>
    <definedName name="rerere" localSheetId="28" hidden="1">{"mgmt forecast",#N/A,FALSE,"Mgmt Forecast";"dcf table",#N/A,FALSE,"Mgmt Forecast";"sensitivity",#N/A,FALSE,"Mgmt Forecast";"table inputs",#N/A,FALSE,"Mgmt Forecast";"calculations",#N/A,FALSE,"Mgmt Forecast"}</definedName>
    <definedName name="rerere" hidden="1">{"mgmt forecast",#N/A,FALSE,"Mgmt Forecast";"dcf table",#N/A,FALSE,"Mgmt Forecast";"sensitivity",#N/A,FALSE,"Mgmt Forecast";"table inputs",#N/A,FALSE,"Mgmt Forecast";"calculations",#N/A,FALSE,"Mgmt Forecast"}</definedName>
    <definedName name="rerere_1" localSheetId="28"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localSheetId="28"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6">#REF!</definedName>
    <definedName name="RetailRentalGrowth_evy3yr" localSheetId="25">#REF!</definedName>
    <definedName name="RetailRentalGrowth_evy3yr" localSheetId="35">#REF!</definedName>
    <definedName name="RetailRentalGrowth_evy3yr" localSheetId="33">#REF!</definedName>
    <definedName name="RetailRentalGrowth_evy3yr">#REF!</definedName>
    <definedName name="RevDCurSuffix" localSheetId="26">#REF!</definedName>
    <definedName name="RevDCurSuffix" localSheetId="25">#REF!</definedName>
    <definedName name="RevDCurSuffix" localSheetId="35">#REF!</definedName>
    <definedName name="RevDCurSuffix" localSheetId="33">#REF!</definedName>
    <definedName name="RevDCurSuffix" localSheetId="36">#REF!</definedName>
    <definedName name="RevDCurSuffix">#REF!</definedName>
    <definedName name="RevDCurSym" localSheetId="26">#REF!</definedName>
    <definedName name="RevDCurSym" localSheetId="25">#REF!</definedName>
    <definedName name="RevDCurSym" localSheetId="35">#REF!</definedName>
    <definedName name="RevDCurSym" localSheetId="33">#REF!</definedName>
    <definedName name="RevDCurSym" localSheetId="36">#REF!</definedName>
    <definedName name="RevDCurSym">#REF!</definedName>
    <definedName name="RevDSuffix" localSheetId="26">#REF!</definedName>
    <definedName name="RevDSuffix" localSheetId="25">#REF!</definedName>
    <definedName name="RevDSuffix" localSheetId="35">#REF!</definedName>
    <definedName name="RevDSuffix" localSheetId="33">#REF!</definedName>
    <definedName name="RevDSuffix" localSheetId="36">#REF!</definedName>
    <definedName name="RevDSuffix">#REF!</definedName>
    <definedName name="RevDSym" localSheetId="26">#REF!</definedName>
    <definedName name="RevDSym" localSheetId="25">#REF!</definedName>
    <definedName name="RevDSym" localSheetId="35">#REF!</definedName>
    <definedName name="RevDSym" localSheetId="33">#REF!</definedName>
    <definedName name="RevDSym" localSheetId="36">#REF!</definedName>
    <definedName name="RevDSym">#REF!</definedName>
    <definedName name="Revenue" localSheetId="28" hidden="1">{"mgmt forecast",#N/A,FALSE,"Mgmt Forecast";"dcf table",#N/A,FALSE,"Mgmt Forecast";"sensitivity",#N/A,FALSE,"Mgmt Forecast";"table inputs",#N/A,FALSE,"Mgmt Forecast";"calculations",#N/A,FALSE,"Mgmt Forecast"}</definedName>
    <definedName name="Revenue" hidden="1">{"mgmt forecast",#N/A,FALSE,"Mgmt Forecast";"dcf table",#N/A,FALSE,"Mgmt Forecast";"sensitivity",#N/A,FALSE,"Mgmt Forecast";"table inputs",#N/A,FALSE,"Mgmt Forecast";"calculations",#N/A,FALSE,"Mgmt Forecast"}</definedName>
    <definedName name="RevenueDenominator" localSheetId="26">#REF!</definedName>
    <definedName name="RevenueDenominator" localSheetId="25">#REF!</definedName>
    <definedName name="RevenueDenominator" localSheetId="35">#REF!</definedName>
    <definedName name="RevenueDenominator" localSheetId="33">#REF!</definedName>
    <definedName name="RevenueDenominator" localSheetId="36">#REF!</definedName>
    <definedName name="RevenueDenominator">#REF!</definedName>
    <definedName name="RevenueLimit" localSheetId="26">#REF!</definedName>
    <definedName name="RevenueLimit" localSheetId="25">#REF!</definedName>
    <definedName name="RevenueLimit" localSheetId="35">#REF!</definedName>
    <definedName name="RevenueLimit" localSheetId="33">#REF!</definedName>
    <definedName name="RevenueLimit" localSheetId="36">#REF!</definedName>
    <definedName name="RevenueLimit">#REF!</definedName>
    <definedName name="RevenueLimitHeading" localSheetId="26">#REF!</definedName>
    <definedName name="RevenueLimitHeading" localSheetId="25">#REF!</definedName>
    <definedName name="RevenueLimitHeading" localSheetId="35">#REF!</definedName>
    <definedName name="RevenueLimitHeading" localSheetId="33">#REF!</definedName>
    <definedName name="RevenueLimitHeading" localSheetId="36">#REF!</definedName>
    <definedName name="RevenueLimitHeading">#REF!</definedName>
    <definedName name="Revision" localSheetId="26">#REF!</definedName>
    <definedName name="Revision" localSheetId="25">#REF!</definedName>
    <definedName name="Revision" localSheetId="35">#REF!</definedName>
    <definedName name="Revision" localSheetId="33">#REF!</definedName>
    <definedName name="Revision" localSheetId="36">#REF!</definedName>
    <definedName name="Revision">#REF!</definedName>
    <definedName name="rgbrbwsd" localSheetId="26" hidden="1">#REF!</definedName>
    <definedName name="rgbrbwsd" localSheetId="25" hidden="1">#REF!</definedName>
    <definedName name="rgbrbwsd" localSheetId="35" hidden="1">#REF!</definedName>
    <definedName name="rgbrbwsd" localSheetId="33" hidden="1">#REF!</definedName>
    <definedName name="rgbrbwsd" localSheetId="36" hidden="1">#REF!</definedName>
    <definedName name="rgbrbwsd" hidden="1">#REF!</definedName>
    <definedName name="rhs" localSheetId="28" hidden="1">{#N/A,#N/A,TRUE,"KEY DATA";#N/A,#N/A,TRUE,"KEY DATA Base Case";#N/A,#N/A,TRUE,"JULY";#N/A,#N/A,TRUE,"AUG";#N/A,#N/A,TRUE,"SEPT";#N/A,#N/A,TRUE,"3Q"}</definedName>
    <definedName name="rhs" hidden="1">{#N/A,#N/A,TRUE,"KEY DATA";#N/A,#N/A,TRUE,"KEY DATA Base Case";#N/A,#N/A,TRUE,"JULY";#N/A,#N/A,TRUE,"AUG";#N/A,#N/A,TRUE,"SEPT";#N/A,#N/A,TRUE,"3Q"}</definedName>
    <definedName name="rhs_1" localSheetId="28" hidden="1">{#N/A,#N/A,TRUE,"KEY DATA";#N/A,#N/A,TRUE,"KEY DATA Base Case";#N/A,#N/A,TRUE,"JULY";#N/A,#N/A,TRUE,"AUG";#N/A,#N/A,TRUE,"SEPT";#N/A,#N/A,TRUE,"3Q"}</definedName>
    <definedName name="rhs_1" hidden="1">{#N/A,#N/A,TRUE,"KEY DATA";#N/A,#N/A,TRUE,"KEY DATA Base Case";#N/A,#N/A,TRUE,"JULY";#N/A,#N/A,TRUE,"AUG";#N/A,#N/A,TRUE,"SEPT";#N/A,#N/A,TRUE,"3Q"}</definedName>
    <definedName name="rhs_1_1" localSheetId="28" hidden="1">{#N/A,#N/A,TRUE,"KEY DATA";#N/A,#N/A,TRUE,"KEY DATA Base Case";#N/A,#N/A,TRUE,"JULY";#N/A,#N/A,TRUE,"AUG";#N/A,#N/A,TRUE,"SEPT";#N/A,#N/A,TRUE,"3Q"}</definedName>
    <definedName name="rhs_1_1" hidden="1">{#N/A,#N/A,TRUE,"KEY DATA";#N/A,#N/A,TRUE,"KEY DATA Base Case";#N/A,#N/A,TRUE,"JULY";#N/A,#N/A,TRUE,"AUG";#N/A,#N/A,TRUE,"SEPT";#N/A,#N/A,TRUE,"3Q"}</definedName>
    <definedName name="Riacove" localSheetId="26">#REF!</definedName>
    <definedName name="Riacove" localSheetId="25">#REF!</definedName>
    <definedName name="Riacove" localSheetId="35">#REF!</definedName>
    <definedName name="Riacove" localSheetId="33">#REF!</definedName>
    <definedName name="Riacove">#REF!</definedName>
    <definedName name="Rights_Issue_Price_for_IMM" localSheetId="26">#REF!</definedName>
    <definedName name="Rights_Issue_Price_for_IMM" localSheetId="25">#REF!</definedName>
    <definedName name="Rights_Issue_Price_for_IMM" localSheetId="35">#REF!</definedName>
    <definedName name="Rights_Issue_Price_for_IMM" localSheetId="33">#REF!</definedName>
    <definedName name="Rights_Issue_Price_for_IMM">#REF!</definedName>
    <definedName name="Rights_Issue_Price_Per_Unit_for_IMM" localSheetId="26">#REF!</definedName>
    <definedName name="Rights_Issue_Price_Per_Unit_for_IMM" localSheetId="25">#REF!</definedName>
    <definedName name="Rights_Issue_Price_Per_Unit_for_IMM" localSheetId="35">#REF!</definedName>
    <definedName name="Rights_Issue_Price_Per_Unit_for_IMM" localSheetId="33">#REF!</definedName>
    <definedName name="Rights_Issue_Price_Per_Unit_for_IMM">#REF!</definedName>
    <definedName name="RightsPrice" localSheetId="26">#REF!</definedName>
    <definedName name="RightsPrice" localSheetId="25">#REF!</definedName>
    <definedName name="RightsPrice" localSheetId="35">#REF!</definedName>
    <definedName name="RightsPrice" localSheetId="33">#REF!</definedName>
    <definedName name="RightsPrice">#REF!</definedName>
    <definedName name="RightsPx" localSheetId="26">#REF!</definedName>
    <definedName name="RightsPx" localSheetId="25">#REF!</definedName>
    <definedName name="RightsPx" localSheetId="35">#REF!</definedName>
    <definedName name="RightsPx" localSheetId="33">#REF!</definedName>
    <definedName name="RightsPx">#REF!</definedName>
    <definedName name="RISKFREERATE" localSheetId="26">#REF!</definedName>
    <definedName name="RISKFREERATE" localSheetId="25">#REF!</definedName>
    <definedName name="RISKFREERATE" localSheetId="35">#REF!</definedName>
    <definedName name="RISKFREERATE" localSheetId="33">#REF!</definedName>
    <definedName name="RISKFREERATE">#REF!</definedName>
    <definedName name="RK" localSheetId="28">BlankMacro1</definedName>
    <definedName name="RK" localSheetId="26">BlankMacro1</definedName>
    <definedName name="RK" localSheetId="25">BlankMacro1</definedName>
    <definedName name="RK" localSheetId="35">BlankMacro1</definedName>
    <definedName name="RK" localSheetId="33">BlankMacro1</definedName>
    <definedName name="RK">BlankMacro1</definedName>
    <definedName name="RmapAE_CTWINN" localSheetId="26">#REF!</definedName>
    <definedName name="RmapAE_CTWINN" localSheetId="25">#REF!</definedName>
    <definedName name="RmapAE_CTWINN" localSheetId="35">#REF!</definedName>
    <definedName name="RmapAE_CTWINN" localSheetId="33">#REF!</definedName>
    <definedName name="RmapAE_CTWINN" localSheetId="36">#REF!</definedName>
    <definedName name="RmapAE_CTWINN">#REF!</definedName>
    <definedName name="RmapAE_DROLFE" localSheetId="26">#REF!</definedName>
    <definedName name="RmapAE_DROLFE" localSheetId="25">#REF!</definedName>
    <definedName name="RmapAE_DROLFE" localSheetId="35">#REF!</definedName>
    <definedName name="RmapAE_DROLFE" localSheetId="33">#REF!</definedName>
    <definedName name="RmapAE_DROLFE" localSheetId="36">#REF!</definedName>
    <definedName name="RmapAE_DROLFE">#REF!</definedName>
    <definedName name="RmapAE_DUDLEYJOHNSON" localSheetId="26">#REF!</definedName>
    <definedName name="RmapAE_DUDLEYJOHNSON" localSheetId="25">#REF!</definedName>
    <definedName name="RmapAE_DUDLEYJOHNSON" localSheetId="35">#REF!</definedName>
    <definedName name="RmapAE_DUDLEYJOHNSON" localSheetId="33">#REF!</definedName>
    <definedName name="RmapAE_DUDLEYJOHNSON" localSheetId="36">#REF!</definedName>
    <definedName name="RmapAE_DUDLEYJOHNSON">#REF!</definedName>
    <definedName name="RmapAE_JIMDWYER" localSheetId="26">#REF!</definedName>
    <definedName name="RmapAE_JIMDWYER" localSheetId="25">#REF!</definedName>
    <definedName name="RmapAE_JIMDWYER" localSheetId="35">#REF!</definedName>
    <definedName name="RmapAE_JIMDWYER" localSheetId="33">#REF!</definedName>
    <definedName name="RmapAE_JIMDWYER" localSheetId="36">#REF!</definedName>
    <definedName name="RmapAE_JIMDWYER">#REF!</definedName>
    <definedName name="RmapAE_MVODONOGHUE" localSheetId="26">#REF!</definedName>
    <definedName name="RmapAE_MVODONOGHUE" localSheetId="25">#REF!</definedName>
    <definedName name="RmapAE_MVODONOGHUE" localSheetId="35">#REF!</definedName>
    <definedName name="RmapAE_MVODONOGHUE" localSheetId="33">#REF!</definedName>
    <definedName name="RmapAE_MVODONOGHUE" localSheetId="36">#REF!</definedName>
    <definedName name="RmapAE_MVODONOGHUE">#REF!</definedName>
    <definedName name="RmapAE_PASCOE" localSheetId="26">#REF!</definedName>
    <definedName name="RmapAE_PASCOE" localSheetId="25">#REF!</definedName>
    <definedName name="RmapAE_PASCOE" localSheetId="35">#REF!</definedName>
    <definedName name="RmapAE_PASCOE" localSheetId="33">#REF!</definedName>
    <definedName name="RmapAE_PASCOE" localSheetId="36">#REF!</definedName>
    <definedName name="RmapAE_PASCOE">#REF!</definedName>
    <definedName name="RmapAE_RSPALDING" localSheetId="26">#REF!</definedName>
    <definedName name="RmapAE_RSPALDING" localSheetId="25">#REF!</definedName>
    <definedName name="RmapAE_RSPALDING" localSheetId="35">#REF!</definedName>
    <definedName name="RmapAE_RSPALDING" localSheetId="33">#REF!</definedName>
    <definedName name="RmapAE_RSPALDING" localSheetId="36">#REF!</definedName>
    <definedName name="RmapAE_RSPALDING">#REF!</definedName>
    <definedName name="RmapAE_THIRU" localSheetId="26">#REF!</definedName>
    <definedName name="RmapAE_THIRU" localSheetId="25">#REF!</definedName>
    <definedName name="RmapAE_THIRU" localSheetId="35">#REF!</definedName>
    <definedName name="RmapAE_THIRU" localSheetId="33">#REF!</definedName>
    <definedName name="RmapAE_THIRU" localSheetId="36">#REF!</definedName>
    <definedName name="RmapAE_THIRU">#REF!</definedName>
    <definedName name="RMCOptions">"*100000000000000"</definedName>
    <definedName name="RND" localSheetId="26">#REF!</definedName>
    <definedName name="RND" localSheetId="25">#REF!</definedName>
    <definedName name="RND" localSheetId="35">#REF!</definedName>
    <definedName name="RND" localSheetId="33">#REF!</definedName>
    <definedName name="RND">#REF!</definedName>
    <definedName name="round">1</definedName>
    <definedName name="rr" localSheetId="26" hidden="1">#REF!</definedName>
    <definedName name="rr" localSheetId="25" hidden="1">#REF!</definedName>
    <definedName name="rr" localSheetId="35" hidden="1">#REF!</definedName>
    <definedName name="rr" localSheetId="33" hidden="1">#REF!</definedName>
    <definedName name="rr" localSheetId="36" hidden="1">#REF!</definedName>
    <definedName name="rr" hidden="1">#REF!</definedName>
    <definedName name="rs" localSheetId="26">#REF!</definedName>
    <definedName name="rs" localSheetId="25">#REF!</definedName>
    <definedName name="rs" localSheetId="35">#REF!</definedName>
    <definedName name="rs" localSheetId="33">#REF!</definedName>
    <definedName name="rs">#REF!</definedName>
    <definedName name="RunDate" localSheetId="26">#REF!</definedName>
    <definedName name="RunDate" localSheetId="25">#REF!</definedName>
    <definedName name="RunDate" localSheetId="35">#REF!</definedName>
    <definedName name="RunDate" localSheetId="33">#REF!</definedName>
    <definedName name="RunDate" localSheetId="36">#REF!</definedName>
    <definedName name="RunDate">#REF!</definedName>
    <definedName name="RunHorzHeader" localSheetId="26">#REF!</definedName>
    <definedName name="RunHorzHeader" localSheetId="25">#REF!</definedName>
    <definedName name="RunHorzHeader" localSheetId="35">#REF!</definedName>
    <definedName name="RunHorzHeader" localSheetId="33">#REF!</definedName>
    <definedName name="RunHorzHeader">#REF!</definedName>
    <definedName name="RunResults" localSheetId="26">#REF!</definedName>
    <definedName name="RunResults" localSheetId="25">#REF!</definedName>
    <definedName name="RunResults" localSheetId="35">#REF!</definedName>
    <definedName name="RunResults" localSheetId="33">#REF!</definedName>
    <definedName name="RunResults">#REF!</definedName>
    <definedName name="RunVertHeader" localSheetId="26">#REF!</definedName>
    <definedName name="RunVertHeader" localSheetId="25">#REF!</definedName>
    <definedName name="RunVertHeader" localSheetId="35">#REF!</definedName>
    <definedName name="RunVertHeader" localSheetId="33">#REF!</definedName>
    <definedName name="RunVertHeader">#REF!</definedName>
    <definedName name="s"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6">#REF!</definedName>
    <definedName name="S2GFA" localSheetId="25">#REF!</definedName>
    <definedName name="S2GFA" localSheetId="35">#REF!</definedName>
    <definedName name="S2GFA" localSheetId="33">#REF!</definedName>
    <definedName name="S2GFA">#REF!</definedName>
    <definedName name="S2P" localSheetId="26">#REF!</definedName>
    <definedName name="S2P" localSheetId="25">#REF!</definedName>
    <definedName name="S2P" localSheetId="35">#REF!</definedName>
    <definedName name="S2P" localSheetId="33">#REF!</definedName>
    <definedName name="S2P">#REF!</definedName>
    <definedName name="sadf" localSheetId="28" hidden="1">{"mgmt forecast",#N/A,FALSE,"Mgmt Forecast";"dcf table",#N/A,FALSE,"Mgmt Forecast";"sensitivity",#N/A,FALSE,"Mgmt Forecast";"table inputs",#N/A,FALSE,"Mgmt Forecast";"calculations",#N/A,FALSE,"Mgmt Forecast"}</definedName>
    <definedName name="sadf" hidden="1">{"mgmt forecast",#N/A,FALSE,"Mgmt Forecast";"dcf table",#N/A,FALSE,"Mgmt Forecast";"sensitivity",#N/A,FALSE,"Mgmt Forecast";"table inputs",#N/A,FALSE,"Mgmt Forecast";"calculations",#N/A,FALSE,"Mgmt Forecast"}</definedName>
    <definedName name="sadf_1" localSheetId="28"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localSheetId="28"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localSheetId="28" hidden="1">{"HOMEPAGE",#N/A,FALSE,"HOME";"Report1_Q1",#N/A,FALSE,"REPORT1"}</definedName>
    <definedName name="sadfasd" hidden="1">{"HOMEPAGE",#N/A,FALSE,"HOME";"Report1_Q1",#N/A,FALSE,"REPORT1"}</definedName>
    <definedName name="Sale" localSheetId="26">#REF!</definedName>
    <definedName name="Sale" localSheetId="25">#REF!</definedName>
    <definedName name="Sale" localSheetId="35">#REF!</definedName>
    <definedName name="Sale" localSheetId="33">#REF!</definedName>
    <definedName name="Sale">#REF!</definedName>
    <definedName name="SaleCap" localSheetId="26">#REF!</definedName>
    <definedName name="SaleCap" localSheetId="25">#REF!</definedName>
    <definedName name="SaleCap" localSheetId="35">#REF!</definedName>
    <definedName name="SaleCap" localSheetId="33">#REF!</definedName>
    <definedName name="SaleCap">#REF!</definedName>
    <definedName name="Sales_Stage_01_Color" localSheetId="26">#REF!</definedName>
    <definedName name="Sales_Stage_01_Color" localSheetId="25">#REF!</definedName>
    <definedName name="Sales_Stage_01_Color" localSheetId="35">#REF!</definedName>
    <definedName name="Sales_Stage_01_Color" localSheetId="33">#REF!</definedName>
    <definedName name="Sales_Stage_01_Color" localSheetId="36">#REF!</definedName>
    <definedName name="Sales_Stage_01_Color">#REF!</definedName>
    <definedName name="Sales_Stage_02_Color" localSheetId="26">#REF!</definedName>
    <definedName name="Sales_Stage_02_Color" localSheetId="25">#REF!</definedName>
    <definedName name="Sales_Stage_02_Color" localSheetId="35">#REF!</definedName>
    <definedName name="Sales_Stage_02_Color" localSheetId="33">#REF!</definedName>
    <definedName name="Sales_Stage_02_Color" localSheetId="36">#REF!</definedName>
    <definedName name="Sales_Stage_02_Color">#REF!</definedName>
    <definedName name="Sales_Stage_03_Color" localSheetId="26">#REF!</definedName>
    <definedName name="Sales_Stage_03_Color" localSheetId="25">#REF!</definedName>
    <definedName name="Sales_Stage_03_Color" localSheetId="35">#REF!</definedName>
    <definedName name="Sales_Stage_03_Color" localSheetId="33">#REF!</definedName>
    <definedName name="Sales_Stage_03_Color" localSheetId="36">#REF!</definedName>
    <definedName name="Sales_Stage_03_Color">#REF!</definedName>
    <definedName name="Sales_Stage_04_Color" localSheetId="26">#REF!</definedName>
    <definedName name="Sales_Stage_04_Color" localSheetId="25">#REF!</definedName>
    <definedName name="Sales_Stage_04_Color" localSheetId="35">#REF!</definedName>
    <definedName name="Sales_Stage_04_Color" localSheetId="33">#REF!</definedName>
    <definedName name="Sales_Stage_04_Color" localSheetId="36">#REF!</definedName>
    <definedName name="Sales_Stage_04_Color">#REF!</definedName>
    <definedName name="Sales_Stage_05_Color" localSheetId="26">#REF!</definedName>
    <definedName name="Sales_Stage_05_Color" localSheetId="25">#REF!</definedName>
    <definedName name="Sales_Stage_05_Color" localSheetId="35">#REF!</definedName>
    <definedName name="Sales_Stage_05_Color" localSheetId="33">#REF!</definedName>
    <definedName name="Sales_Stage_05_Color" localSheetId="36">#REF!</definedName>
    <definedName name="Sales_Stage_05_Color">#REF!</definedName>
    <definedName name="Sales_Stage_06_Color" localSheetId="26">#REF!</definedName>
    <definedName name="Sales_Stage_06_Color" localSheetId="25">#REF!</definedName>
    <definedName name="Sales_Stage_06_Color" localSheetId="35">#REF!</definedName>
    <definedName name="Sales_Stage_06_Color" localSheetId="33">#REF!</definedName>
    <definedName name="Sales_Stage_06_Color" localSheetId="36">#REF!</definedName>
    <definedName name="Sales_Stage_06_Color">#REF!</definedName>
    <definedName name="Sales_Stage_07_Color" localSheetId="26">#REF!</definedName>
    <definedName name="Sales_Stage_07_Color" localSheetId="25">#REF!</definedName>
    <definedName name="Sales_Stage_07_Color" localSheetId="35">#REF!</definedName>
    <definedName name="Sales_Stage_07_Color" localSheetId="33">#REF!</definedName>
    <definedName name="Sales_Stage_07_Color" localSheetId="36">#REF!</definedName>
    <definedName name="Sales_Stage_07_Color">#REF!</definedName>
    <definedName name="SalesFunnelIndirectKey" localSheetId="26">#REF!</definedName>
    <definedName name="SalesFunnelIndirectKey" localSheetId="25">#REF!</definedName>
    <definedName name="SalesFunnelIndirectKey" localSheetId="35">#REF!</definedName>
    <definedName name="SalesFunnelIndirectKey" localSheetId="33">#REF!</definedName>
    <definedName name="SalesFunnelIndirectKey" localSheetId="36">#REF!</definedName>
    <definedName name="SalesFunnelIndirectKey">#REF!</definedName>
    <definedName name="SAM" localSheetId="26">#REF!</definedName>
    <definedName name="SAM" localSheetId="25">#REF!</definedName>
    <definedName name="SAM" localSheetId="35">#REF!</definedName>
    <definedName name="SAM" localSheetId="33">#REF!</definedName>
    <definedName name="SAM">#REF!</definedName>
    <definedName name="SAMPLES" localSheetId="26">#REF!</definedName>
    <definedName name="SAMPLES" localSheetId="25">#REF!</definedName>
    <definedName name="SAMPLES" localSheetId="35">#REF!</definedName>
    <definedName name="SAMPLES" localSheetId="33">#REF!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8">Main.SAPF4Help()</definedName>
    <definedName name="SAPFuncF4Help" localSheetId="26">Main.SAPF4Help()</definedName>
    <definedName name="SAPFuncF4Help" localSheetId="25">Main.SAPF4Help()</definedName>
    <definedName name="SAPFuncF4Help" localSheetId="35">Main.SAPF4Help()</definedName>
    <definedName name="SAPFuncF4Help" localSheetId="33">Main.SAPF4Help()</definedName>
    <definedName name="SAPFuncF4Help" localSheetId="36">Main.SAPF4Help()</definedName>
    <definedName name="SAPFuncF4Help">Main.SAPF4Help()</definedName>
    <definedName name="SAPsysID" hidden="1">"708C5W7SBKP804JT78WJ0JNKI"</definedName>
    <definedName name="SAPwbID" hidden="1">"ARS"</definedName>
    <definedName name="SaveNewFile">#N/A</definedName>
    <definedName name="SCA" localSheetId="26">#REF!</definedName>
    <definedName name="SCA" localSheetId="25">#REF!</definedName>
    <definedName name="SCA" localSheetId="35">#REF!</definedName>
    <definedName name="SCA" localSheetId="33">#REF!</definedName>
    <definedName name="SCA" localSheetId="36">#REF!</definedName>
    <definedName name="SCA">#REF!</definedName>
    <definedName name="SCHED" localSheetId="26">#REF!</definedName>
    <definedName name="SCHED" localSheetId="25">#REF!</definedName>
    <definedName name="SCHED" localSheetId="35">#REF!</definedName>
    <definedName name="SCHED" localSheetId="33">#REF!</definedName>
    <definedName name="SCHED" localSheetId="36">#REF!</definedName>
    <definedName name="SCHED">#REF!</definedName>
    <definedName name="SChonsei" localSheetId="26">#REF!</definedName>
    <definedName name="SChonsei" localSheetId="25">#REF!</definedName>
    <definedName name="SChonsei" localSheetId="35">#REF!</definedName>
    <definedName name="SChonsei" localSheetId="33">#REF!</definedName>
    <definedName name="SChonsei">#REF!</definedName>
    <definedName name="SCREEN_OFF" localSheetId="26">#REF!</definedName>
    <definedName name="SCREEN_OFF" localSheetId="25">#REF!</definedName>
    <definedName name="SCREEN_OFF" localSheetId="35">#REF!</definedName>
    <definedName name="SCREEN_OFF" localSheetId="33">#REF!</definedName>
    <definedName name="SCREEN_OFF" localSheetId="36">#REF!</definedName>
    <definedName name="SCREEN_OFF">#REF!</definedName>
    <definedName name="SCREEN_ON" localSheetId="26">#REF!</definedName>
    <definedName name="SCREEN_ON" localSheetId="25">#REF!</definedName>
    <definedName name="SCREEN_ON" localSheetId="35">#REF!</definedName>
    <definedName name="SCREEN_ON" localSheetId="33">#REF!</definedName>
    <definedName name="SCREEN_ON" localSheetId="36">#REF!</definedName>
    <definedName name="SCREEN_ON">#REF!</definedName>
    <definedName name="sd" localSheetId="2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localSheetId="28" hidden="1">{#N/A,#N/A,FALSE,"TS";#N/A,#N/A,FALSE,"Combo";#N/A,#N/A,FALSE,"FAIR";#N/A,#N/A,FALSE,"RBC";#N/A,#N/A,FALSE,"xxxx";#N/A,#N/A,FALSE,"A_D";#N/A,#N/A,FALSE,"WACC";#N/A,#N/A,FALSE,"DCF";#N/A,#N/A,FALSE,"LBO";#N/A,#N/A,FALSE,"AcqMults";#N/A,#N/A,FALSE,"CompMults"}</definedName>
    <definedName name="sda" hidden="1">{#N/A,#N/A,FALSE,"TS";#N/A,#N/A,FALSE,"Combo";#N/A,#N/A,FALSE,"FAIR";#N/A,#N/A,FALSE,"RBC";#N/A,#N/A,FALSE,"xxxx";#N/A,#N/A,FALSE,"A_D";#N/A,#N/A,FALSE,"WACC";#N/A,#N/A,FALSE,"DCF";#N/A,#N/A,FALSE,"LBO";#N/A,#N/A,FALSE,"AcqMults";#N/A,#N/A,FALSE,"CompMults"}</definedName>
    <definedName name="sda_1" localSheetId="28"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localSheetId="28"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localSheetId="28" hidden="1">{#N/A,#N/A,TRUE,"Falcons_Standalone";#N/A,#N/A,TRUE,"Target_Input";#N/A,#N/A,TRUE,"Target_Calendarized"}</definedName>
    <definedName name="sdasdsad" hidden="1">{#N/A,#N/A,TRUE,"Falcons_Standalone";#N/A,#N/A,TRUE,"Target_Input";#N/A,#N/A,TRUE,"Target_Calendarized"}</definedName>
    <definedName name="sdasdsad_1" localSheetId="28" hidden="1">{#N/A,#N/A,TRUE,"Falcons_Standalone";#N/A,#N/A,TRUE,"Target_Input";#N/A,#N/A,TRUE,"Target_Calendarized"}</definedName>
    <definedName name="sdasdsad_1" hidden="1">{#N/A,#N/A,TRUE,"Falcons_Standalone";#N/A,#N/A,TRUE,"Target_Input";#N/A,#N/A,TRUE,"Target_Calendarized"}</definedName>
    <definedName name="sdasdsad_1_1" localSheetId="28" hidden="1">{#N/A,#N/A,TRUE,"Falcons_Standalone";#N/A,#N/A,TRUE,"Target_Input";#N/A,#N/A,TRUE,"Target_Calendarized"}</definedName>
    <definedName name="sdasdsad_1_1" hidden="1">{#N/A,#N/A,TRUE,"Falcons_Standalone";#N/A,#N/A,TRUE,"Target_Input";#N/A,#N/A,TRUE,"Target_Calendarized"}</definedName>
    <definedName name="sdf" localSheetId="28" hidden="1">{#N/A,#N/A,FALSE,"Aging Summary";#N/A,#N/A,FALSE,"Ratio Analysis";#N/A,#N/A,FALSE,"Test 120 Day Accts";#N/A,#N/A,FALSE,"Tickmarks"}</definedName>
    <definedName name="sdf" hidden="1">{#N/A,#N/A,FALSE,"Aging Summary";#N/A,#N/A,FALSE,"Ratio Analysis";#N/A,#N/A,FALSE,"Test 120 Day Accts";#N/A,#N/A,FALSE,"Tickmarks"}</definedName>
    <definedName name="sdf_1" localSheetId="28" hidden="1">{#N/A,#N/A,FALSE,"Aging Summary";#N/A,#N/A,FALSE,"Ratio Analysis";#N/A,#N/A,FALSE,"Test 120 Day Accts";#N/A,#N/A,FALSE,"Tickmarks"}</definedName>
    <definedName name="sdf_1" hidden="1">{#N/A,#N/A,FALSE,"Aging Summary";#N/A,#N/A,FALSE,"Ratio Analysis";#N/A,#N/A,FALSE,"Test 120 Day Accts";#N/A,#N/A,FALSE,"Tickmarks"}</definedName>
    <definedName name="sdf_1_1" localSheetId="28" hidden="1">{#N/A,#N/A,FALSE,"Aging Summary";#N/A,#N/A,FALSE,"Ratio Analysis";#N/A,#N/A,FALSE,"Test 120 Day Accts";#N/A,#N/A,FALSE,"Tickmarks"}</definedName>
    <definedName name="sdf_1_1" hidden="1">{#N/A,#N/A,FALSE,"Aging Summary";#N/A,#N/A,FALSE,"Ratio Analysis";#N/A,#N/A,FALSE,"Test 120 Day Accts";#N/A,#N/A,FALSE,"Tickmarks"}</definedName>
    <definedName name="sdfsdf" localSheetId="28" hidden="1">{#N/A,#N/A,TRUE,"Acquirer_Cases_Input";#N/A,#N/A,TRUE,"Acquirer_Input";#N/A,#N/A,TRUE,"Acquirer"}</definedName>
    <definedName name="sdfsdf" hidden="1">{#N/A,#N/A,TRUE,"Acquirer_Cases_Input";#N/A,#N/A,TRUE,"Acquirer_Input";#N/A,#N/A,TRUE,"Acquirer"}</definedName>
    <definedName name="sdfsdf_1" localSheetId="28" hidden="1">{#N/A,#N/A,TRUE,"Acquirer_Cases_Input";#N/A,#N/A,TRUE,"Acquirer_Input";#N/A,#N/A,TRUE,"Acquirer"}</definedName>
    <definedName name="sdfsdf_1" hidden="1">{#N/A,#N/A,TRUE,"Acquirer_Cases_Input";#N/A,#N/A,TRUE,"Acquirer_Input";#N/A,#N/A,TRUE,"Acquirer"}</definedName>
    <definedName name="sdfsdf_1_1" localSheetId="28" hidden="1">{#N/A,#N/A,TRUE,"Acquirer_Cases_Input";#N/A,#N/A,TRUE,"Acquirer_Input";#N/A,#N/A,TRUE,"Acquirer"}</definedName>
    <definedName name="sdfsdf_1_1" hidden="1">{#N/A,#N/A,TRUE,"Acquirer_Cases_Input";#N/A,#N/A,TRUE,"Acquirer_Input";#N/A,#N/A,TRUE,"Acquirer"}</definedName>
    <definedName name="SecondYear" localSheetId="26">#REF!</definedName>
    <definedName name="SecondYear" localSheetId="25">#REF!</definedName>
    <definedName name="SecondYear" localSheetId="35">#REF!</definedName>
    <definedName name="SecondYear" localSheetId="33">#REF!</definedName>
    <definedName name="SecondYear" localSheetId="36">#REF!</definedName>
    <definedName name="SecondYear">#REF!</definedName>
    <definedName name="SelectedYear" localSheetId="26">#REF!</definedName>
    <definedName name="SelectedYear" localSheetId="25">#REF!</definedName>
    <definedName name="SelectedYear" localSheetId="35">#REF!</definedName>
    <definedName name="SelectedYear" localSheetId="33">#REF!</definedName>
    <definedName name="SelectedYear" localSheetId="36">#REF!</definedName>
    <definedName name="SelectedYear">#REF!</definedName>
    <definedName name="Sell_price" localSheetId="26">#REF!</definedName>
    <definedName name="Sell_price" localSheetId="25">#REF!</definedName>
    <definedName name="Sell_price" localSheetId="35">#REF!</definedName>
    <definedName name="Sell_price" localSheetId="33">#REF!</definedName>
    <definedName name="Sell_price">#REF!</definedName>
    <definedName name="sencount" hidden="1">1</definedName>
    <definedName name="September" localSheetId="26">#REF!</definedName>
    <definedName name="September" localSheetId="25">#REF!</definedName>
    <definedName name="September" localSheetId="35">#REF!</definedName>
    <definedName name="September" localSheetId="33">#REF!</definedName>
    <definedName name="September">#REF!</definedName>
    <definedName name="SetCategory" localSheetId="26">#REF!</definedName>
    <definedName name="SetCategory" localSheetId="25">#REF!</definedName>
    <definedName name="SetCategory" localSheetId="35">#REF!</definedName>
    <definedName name="SetCategory" localSheetId="33">#REF!</definedName>
    <definedName name="SetCategory">#REF!</definedName>
    <definedName name="sfgsdfg" localSheetId="28" hidden="1">{"VIEW ACTUALS 1",#N/A,TRUE,"Report1";"VIEW ACTUALS 2",#N/A,TRUE,"Report1";"SCALE COMPARISON",#N/A,TRUE,"Report1"}</definedName>
    <definedName name="sfgsdfg" hidden="1">{"VIEW ACTUALS 1",#N/A,TRUE,"Report1";"VIEW ACTUALS 2",#N/A,TRUE,"Report1";"SCALE COMPARISON",#N/A,TRUE,"Report1"}</definedName>
    <definedName name="sfgsfdg" localSheetId="28" hidden="1">{"VIEW ACTUALS 1",#N/A,TRUE,"Report1";"VIEW ACTUALS 2",#N/A,TRUE,"Report1";"SCALE COMPARISON",#N/A,TRUE,"Report1"}</definedName>
    <definedName name="sfgsfdg" hidden="1">{"VIEW ACTUALS 1",#N/A,TRUE,"Report1";"VIEW ACTUALS 2",#N/A,TRUE,"Report1";"SCALE COMPARISON",#N/A,TRUE,"Report1"}</definedName>
    <definedName name="sfgsfg" localSheetId="28" hidden="1">{"HOMEPAGE",#N/A,FALSE,"HOME";"Report1_Q1",#N/A,FALSE,"REPORT1"}</definedName>
    <definedName name="sfgsfg" hidden="1">{"HOMEPAGE",#N/A,FALSE,"HOME";"Report1_Q1",#N/A,FALSE,"REPORT1"}</definedName>
    <definedName name="sgp" localSheetId="28" hidden="1">{"'0103'!$A$455:$O$585"}</definedName>
    <definedName name="sgp" hidden="1">{"'0103'!$A$455:$O$585"}</definedName>
    <definedName name="SHARED_FORMULA_0">#N/A</definedName>
    <definedName name="Sheet1" localSheetId="26">#REF!</definedName>
    <definedName name="Sheet1" localSheetId="25">#REF!</definedName>
    <definedName name="Sheet1" localSheetId="35">#REF!</definedName>
    <definedName name="Sheet1" localSheetId="33">#REF!</definedName>
    <definedName name="Sheet1" localSheetId="36">#REF!</definedName>
    <definedName name="Sheet1">#REF!</definedName>
    <definedName name="Sheet12" localSheetId="26">#REF!</definedName>
    <definedName name="Sheet12" localSheetId="25">#REF!</definedName>
    <definedName name="Sheet12" localSheetId="35">#REF!</definedName>
    <definedName name="Sheet12" localSheetId="33">#REF!</definedName>
    <definedName name="Sheet12" localSheetId="36">#REF!</definedName>
    <definedName name="Sheet12">#REF!</definedName>
    <definedName name="Sheet13" localSheetId="26">#REF!</definedName>
    <definedName name="Sheet13" localSheetId="25">#REF!</definedName>
    <definedName name="Sheet13" localSheetId="35">#REF!</definedName>
    <definedName name="Sheet13" localSheetId="33">#REF!</definedName>
    <definedName name="Sheet13" localSheetId="36">#REF!</definedName>
    <definedName name="Sheet13">#REF!</definedName>
    <definedName name="SheetHeaderRowCount" localSheetId="26">#REF!</definedName>
    <definedName name="SheetHeaderRowCount" localSheetId="25">#REF!</definedName>
    <definedName name="SheetHeaderRowCount" localSheetId="35">#REF!</definedName>
    <definedName name="SheetHeaderRowCount" localSheetId="33">#REF!</definedName>
    <definedName name="SheetHeaderRowCount" localSheetId="36">#REF!</definedName>
    <definedName name="SheetHeaderRowCount">#REF!</definedName>
    <definedName name="SheetName" localSheetId="26">#REF!</definedName>
    <definedName name="SheetName" localSheetId="25">#REF!</definedName>
    <definedName name="SheetName" localSheetId="35">#REF!</definedName>
    <definedName name="SheetName" localSheetId="33">#REF!</definedName>
    <definedName name="SheetName" localSheetId="36">#REF!</definedName>
    <definedName name="SheetName">#REF!</definedName>
    <definedName name="SheetRightmostCol" localSheetId="26">#REF!</definedName>
    <definedName name="SheetRightmostCol" localSheetId="25">#REF!</definedName>
    <definedName name="SheetRightmostCol" localSheetId="35">#REF!</definedName>
    <definedName name="SheetRightmostCol" localSheetId="33">#REF!</definedName>
    <definedName name="SheetRightmostCol" localSheetId="36">#REF!</definedName>
    <definedName name="SheetRightmostCol">#REF!</definedName>
    <definedName name="SHOA" localSheetId="28" hidden="1">{#N/A,#N/A,FALSE,"Virgin Flightdeck"}</definedName>
    <definedName name="SHOA" hidden="1">{#N/A,#N/A,FALSE,"Virgin Flightdeck"}</definedName>
    <definedName name="SHOA_1" localSheetId="28" hidden="1">{#N/A,#N/A,FALSE,"Virgin Flightdeck"}</definedName>
    <definedName name="SHOA_1" hidden="1">{#N/A,#N/A,FALSE,"Virgin Flightdeck"}</definedName>
    <definedName name="SHOA_1_1" localSheetId="28" hidden="1">{#N/A,#N/A,FALSE,"Virgin Flightdeck"}</definedName>
    <definedName name="SHOA_1_1" hidden="1">{#N/A,#N/A,FALSE,"Virgin Flightdeck"}</definedName>
    <definedName name="SleepmasterIncome" localSheetId="28"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eepmasterIncome_1" localSheetId="28"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localSheetId="28"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6">#REF!</definedName>
    <definedName name="SMA_HOUSE" localSheetId="25">#REF!</definedName>
    <definedName name="SMA_HOUSE" localSheetId="35">#REF!</definedName>
    <definedName name="SMA_HOUSE" localSheetId="33">#REF!</definedName>
    <definedName name="SMA_HOUSE">#REF!</definedName>
    <definedName name="small_ch" localSheetId="26">#REF!</definedName>
    <definedName name="small_ch" localSheetId="25">#REF!</definedName>
    <definedName name="small_ch" localSheetId="35">#REF!</definedName>
    <definedName name="small_ch" localSheetId="33">#REF!</definedName>
    <definedName name="small_ch">#REF!</definedName>
    <definedName name="SMC_overview" localSheetId="26">#REF!</definedName>
    <definedName name="SMC_overview" localSheetId="25">#REF!</definedName>
    <definedName name="SMC_overview" localSheetId="35">#REF!</definedName>
    <definedName name="SMC_overview" localSheetId="33">#REF!</definedName>
    <definedName name="SMC_overview" localSheetId="36">#REF!</definedName>
    <definedName name="SMC_overview">#REF!</definedName>
    <definedName name="SnapshotChartData" localSheetId="26">#REF!</definedName>
    <definedName name="SnapshotChartData" localSheetId="25">#REF!</definedName>
    <definedName name="SnapshotChartData" localSheetId="35">#REF!</definedName>
    <definedName name="SnapshotChartData" localSheetId="33">#REF!</definedName>
    <definedName name="SnapshotChartData" localSheetId="36">#REF!</definedName>
    <definedName name="SnapshotChartData">#REF!</definedName>
    <definedName name="SnapshotChartData_Weighted" localSheetId="26">#REF!</definedName>
    <definedName name="SnapshotChartData_Weighted" localSheetId="25">#REF!</definedName>
    <definedName name="SnapshotChartData_Weighted" localSheetId="35">#REF!</definedName>
    <definedName name="SnapshotChartData_Weighted" localSheetId="33">#REF!</definedName>
    <definedName name="SnapshotChartData_Weighted" localSheetId="36">#REF!</definedName>
    <definedName name="SnapshotChartData_Weighted">#REF!</definedName>
    <definedName name="SnapshotChartDataDetail" localSheetId="26">#REF!</definedName>
    <definedName name="SnapshotChartDataDetail" localSheetId="25">#REF!</definedName>
    <definedName name="SnapshotChartDataDetail" localSheetId="35">#REF!</definedName>
    <definedName name="SnapshotChartDataDetail" localSheetId="33">#REF!</definedName>
    <definedName name="SnapshotChartDataDetail" localSheetId="36">#REF!</definedName>
    <definedName name="SnapshotChartDataDetail">#REF!</definedName>
    <definedName name="SnapshotChartQtrData" localSheetId="26">#REF!</definedName>
    <definedName name="SnapshotChartQtrData" localSheetId="25">#REF!</definedName>
    <definedName name="SnapshotChartQtrData" localSheetId="35">#REF!</definedName>
    <definedName name="SnapshotChartQtrData" localSheetId="33">#REF!</definedName>
    <definedName name="SnapshotChartQtrData" localSheetId="36">#REF!</definedName>
    <definedName name="SnapshotChartQtrData">#REF!</definedName>
    <definedName name="SnapshotChartQtrDataDetail" localSheetId="26">#REF!</definedName>
    <definedName name="SnapshotChartQtrDataDetail" localSheetId="25">#REF!</definedName>
    <definedName name="SnapshotChartQtrDataDetail" localSheetId="35">#REF!</definedName>
    <definedName name="SnapshotChartQtrDataDetail" localSheetId="33">#REF!</definedName>
    <definedName name="SnapshotChartQtrDataDetail" localSheetId="36">#REF!</definedName>
    <definedName name="SnapshotChartQtrDataDetail">#REF!</definedName>
    <definedName name="SnapshotQuarterChartDataDetail" localSheetId="26">#REF!</definedName>
    <definedName name="SnapshotQuarterChartDataDetail" localSheetId="25">#REF!</definedName>
    <definedName name="SnapshotQuarterChartDataDetail" localSheetId="35">#REF!</definedName>
    <definedName name="SnapshotQuarterChartDataDetail" localSheetId="33">#REF!</definedName>
    <definedName name="SnapshotQuarterChartDataDetail" localSheetId="36">#REF!</definedName>
    <definedName name="SnapshotQuarterChartDataDetail">#REF!</definedName>
    <definedName name="Snow" localSheetId="28" hidden="1">{#N/A,#N/A,FALSE,"Virgin Flightdeck"}</definedName>
    <definedName name="Snow" hidden="1">{#N/A,#N/A,FALSE,"Virgin Flightdeck"}</definedName>
    <definedName name="Snow_1" localSheetId="28" hidden="1">{#N/A,#N/A,FALSE,"Virgin Flightdeck"}</definedName>
    <definedName name="Snow_1" hidden="1">{#N/A,#N/A,FALSE,"Virgin Flightdeck"}</definedName>
    <definedName name="Snow_1_1" localSheetId="28" hidden="1">{#N/A,#N/A,FALSE,"Virgin Flightdeck"}</definedName>
    <definedName name="Snow_1_1" hidden="1">{#N/A,#N/A,FALSE,"Virgin Flightdeck"}</definedName>
    <definedName name="solver_adj" localSheetId="26" hidden="1">#REF!</definedName>
    <definedName name="solver_adj" localSheetId="25" hidden="1">#REF!</definedName>
    <definedName name="solver_adj" localSheetId="35" hidden="1">#REF!</definedName>
    <definedName name="solver_adj" localSheetId="33" hidden="1">#REF!</definedName>
    <definedName name="solver_adj" localSheetId="36"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6" hidden="1">#REF!</definedName>
    <definedName name="solver_lhs1" localSheetId="25" hidden="1">#REF!</definedName>
    <definedName name="solver_lhs1" localSheetId="35" hidden="1">#REF!</definedName>
    <definedName name="solver_lhs1" localSheetId="33"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6" hidden="1">#REF!</definedName>
    <definedName name="solver_opt" localSheetId="25" hidden="1">#REF!</definedName>
    <definedName name="solver_opt" localSheetId="35" hidden="1">#REF!</definedName>
    <definedName name="solver_opt" localSheetId="33" hidden="1">#REF!</definedName>
    <definedName name="solver_opt" localSheetId="36" hidden="1">#REF!</definedName>
    <definedName name="solver_opt" hidden="1">#REF!</definedName>
    <definedName name="solver_pre" hidden="1">0.000001</definedName>
    <definedName name="solver_rel1" hidden="1">1</definedName>
    <definedName name="solver_rhs1" localSheetId="26" hidden="1">#REF!*1.5</definedName>
    <definedName name="solver_rhs1" localSheetId="25" hidden="1">#REF!*1.5</definedName>
    <definedName name="solver_rhs1" localSheetId="35" hidden="1">#REF!*1.5</definedName>
    <definedName name="solver_rhs1" localSheetId="33"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6">#REF!</definedName>
    <definedName name="Spec" localSheetId="25">#REF!</definedName>
    <definedName name="Spec" localSheetId="35">#REF!</definedName>
    <definedName name="Spec" localSheetId="33">#REF!</definedName>
    <definedName name="Spec">#REF!</definedName>
    <definedName name="spot" localSheetId="26">#REF!</definedName>
    <definedName name="spot" localSheetId="25">#REF!</definedName>
    <definedName name="spot" localSheetId="35">#REF!</definedName>
    <definedName name="spot" localSheetId="33">#REF!</definedName>
    <definedName name="spot">#REF!</definedName>
    <definedName name="sss" localSheetId="28" hidden="1">{#N/A,#N/A,FALSE,"资产负债表";#N/A,#N/A,FALSE,"资产负债表"}</definedName>
    <definedName name="sss" hidden="1">{#N/A,#N/A,FALSE,"资产负债表";#N/A,#N/A,FALSE,"资产负债表"}</definedName>
    <definedName name="ssss"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localSheetId="28" hidden="1">{"Issues1",#N/A,FALSE,"Issues"}</definedName>
    <definedName name="ssssssssssssd" hidden="1">{"Issues1",#N/A,FALSE,"Issues"}</definedName>
    <definedName name="sssssssssssssss" localSheetId="28" hidden="1">{"mgmt forecast",#N/A,FALSE,"Mgmt Forecast";"dcf table",#N/A,FALSE,"Mgmt Forecast";"sensitivity",#N/A,FALSE,"Mgmt Forecast";"table inputs",#N/A,FALSE,"Mgmt Forecast";"calculations",#N/A,FALSE,"Mgmt Forecast"}</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6">#REF!</definedName>
    <definedName name="standard" localSheetId="25">#REF!</definedName>
    <definedName name="standard" localSheetId="35">#REF!</definedName>
    <definedName name="standard" localSheetId="33">#REF!</definedName>
    <definedName name="standard" localSheetId="36">#REF!</definedName>
    <definedName name="standard">#REF!</definedName>
    <definedName name="StartingYear" localSheetId="26">#REF!</definedName>
    <definedName name="StartingYear" localSheetId="25">#REF!</definedName>
    <definedName name="StartingYear" localSheetId="35">#REF!</definedName>
    <definedName name="StartingYear" localSheetId="33">#REF!</definedName>
    <definedName name="StartingYear" localSheetId="36">#REF!</definedName>
    <definedName name="StartingYear">#REF!</definedName>
    <definedName name="ste" localSheetId="28" hidden="1">{#N/A,#N/A,FALSE,"Virgin Flightdeck"}</definedName>
    <definedName name="ste" hidden="1">{#N/A,#N/A,FALSE,"Virgin Flightdeck"}</definedName>
    <definedName name="ste_1" localSheetId="28" hidden="1">{#N/A,#N/A,FALSE,"Virgin Flightdeck"}</definedName>
    <definedName name="ste_1" hidden="1">{#N/A,#N/A,FALSE,"Virgin Flightdeck"}</definedName>
    <definedName name="ste_1_1" localSheetId="28" hidden="1">{#N/A,#N/A,FALSE,"Virgin Flightdeck"}</definedName>
    <definedName name="ste_1_1" hidden="1">{#N/A,#N/A,FALSE,"Virgin Flightdeck"}</definedName>
    <definedName name="stud13"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localSheetId="28" hidden="1">{"page1",#N/A,FALSE,"GIRLBO";"page2",#N/A,FALSE,"GIRLBO";"page3",#N/A,FALSE,"GIRLBO";"page4",#N/A,FALSE,"GIRLBO";"page5",#N/A,FALSE,"GIRLBO"}</definedName>
    <definedName name="SUMMARY_BOOK" hidden="1">{"page1",#N/A,FALSE,"GIRLBO";"page2",#N/A,FALSE,"GIRLBO";"page3",#N/A,FALSE,"GIRLBO";"page4",#N/A,FALSE,"GIRLBO";"page5",#N/A,FALSE,"GIRLBO"}</definedName>
    <definedName name="SUMMARY_BOOK_1" localSheetId="28"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localSheetId="28"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6">#REF!</definedName>
    <definedName name="Summary_Budget_Form_For_Development_Expenditure" localSheetId="25">#REF!</definedName>
    <definedName name="Summary_Budget_Form_For_Development_Expenditure" localSheetId="35">#REF!</definedName>
    <definedName name="Summary_Budget_Form_For_Development_Expenditure" localSheetId="33">#REF!</definedName>
    <definedName name="Summary_Budget_Form_For_Development_Expenditure">#REF!</definedName>
    <definedName name="summary3" localSheetId="28" hidden="1">{#N/A,#N/A,FALSE,"Virgin Flightdeck"}</definedName>
    <definedName name="summary3" hidden="1">{#N/A,#N/A,FALSE,"Virgin Flightdeck"}</definedName>
    <definedName name="summary3_1" localSheetId="28" hidden="1">{#N/A,#N/A,FALSE,"Virgin Flightdeck"}</definedName>
    <definedName name="summary3_1" hidden="1">{#N/A,#N/A,FALSE,"Virgin Flightdeck"}</definedName>
    <definedName name="summary3_1_1" localSheetId="28" hidden="1">{#N/A,#N/A,FALSE,"Virgin Flightdeck"}</definedName>
    <definedName name="summary3_1_1" hidden="1">{#N/A,#N/A,FALSE,"Virgin Flightdeck"}</definedName>
    <definedName name="SummaryBLG" localSheetId="26">#REF!</definedName>
    <definedName name="SummaryBLG" localSheetId="25">#REF!</definedName>
    <definedName name="SummaryBLG" localSheetId="35">#REF!</definedName>
    <definedName name="SummaryBLG" localSheetId="33">#REF!</definedName>
    <definedName name="SummaryBLG" localSheetId="36">#REF!</definedName>
    <definedName name="SummaryBLG">#REF!</definedName>
    <definedName name="SummaryDR" localSheetId="26">#REF!</definedName>
    <definedName name="SummaryDR" localSheetId="25">#REF!</definedName>
    <definedName name="SummaryDR" localSheetId="35">#REF!</definedName>
    <definedName name="SummaryDR" localSheetId="33">#REF!</definedName>
    <definedName name="SummaryDR" localSheetId="36">#REF!</definedName>
    <definedName name="SummaryDR">#REF!</definedName>
    <definedName name="summaryty" localSheetId="28" hidden="1">{#N/A,#N/A,TRUE,"KEY DATA";#N/A,#N/A,TRUE,"KEY DATA Base Case";#N/A,#N/A,TRUE,"JULY";#N/A,#N/A,TRUE,"AUG";#N/A,#N/A,TRUE,"SEPT";#N/A,#N/A,TRUE,"3Q"}</definedName>
    <definedName name="summaryty" hidden="1">{#N/A,#N/A,TRUE,"KEY DATA";#N/A,#N/A,TRUE,"KEY DATA Base Case";#N/A,#N/A,TRUE,"JULY";#N/A,#N/A,TRUE,"AUG";#N/A,#N/A,TRUE,"SEPT";#N/A,#N/A,TRUE,"3Q"}</definedName>
    <definedName name="summaryty." localSheetId="28" hidden="1">{#N/A,#N/A,TRUE,"KEY DATA";#N/A,#N/A,TRUE,"KEY DATA Base Case";#N/A,#N/A,TRUE,"JULY";#N/A,#N/A,TRUE,"AUG";#N/A,#N/A,TRUE,"SEPT";#N/A,#N/A,TRUE,"3Q"}</definedName>
    <definedName name="summaryty." hidden="1">{#N/A,#N/A,TRUE,"KEY DATA";#N/A,#N/A,TRUE,"KEY DATA Base Case";#N/A,#N/A,TRUE,"JULY";#N/A,#N/A,TRUE,"AUG";#N/A,#N/A,TRUE,"SEPT";#N/A,#N/A,TRUE,"3Q"}</definedName>
    <definedName name="summaryty._1" localSheetId="28" hidden="1">{#N/A,#N/A,TRUE,"KEY DATA";#N/A,#N/A,TRUE,"KEY DATA Base Case";#N/A,#N/A,TRUE,"JULY";#N/A,#N/A,TRUE,"AUG";#N/A,#N/A,TRUE,"SEPT";#N/A,#N/A,TRUE,"3Q"}</definedName>
    <definedName name="summaryty._1" hidden="1">{#N/A,#N/A,TRUE,"KEY DATA";#N/A,#N/A,TRUE,"KEY DATA Base Case";#N/A,#N/A,TRUE,"JULY";#N/A,#N/A,TRUE,"AUG";#N/A,#N/A,TRUE,"SEPT";#N/A,#N/A,TRUE,"3Q"}</definedName>
    <definedName name="summaryty._1_1" localSheetId="28" hidden="1">{#N/A,#N/A,TRUE,"KEY DATA";#N/A,#N/A,TRUE,"KEY DATA Base Case";#N/A,#N/A,TRUE,"JULY";#N/A,#N/A,TRUE,"AUG";#N/A,#N/A,TRUE,"SEPT";#N/A,#N/A,TRUE,"3Q"}</definedName>
    <definedName name="summaryty._1_1" hidden="1">{#N/A,#N/A,TRUE,"KEY DATA";#N/A,#N/A,TRUE,"KEY DATA Base Case";#N/A,#N/A,TRUE,"JULY";#N/A,#N/A,TRUE,"AUG";#N/A,#N/A,TRUE,"SEPT";#N/A,#N/A,TRUE,"3Q"}</definedName>
    <definedName name="summaryty_1" localSheetId="28" hidden="1">{#N/A,#N/A,TRUE,"KEY DATA";#N/A,#N/A,TRUE,"KEY DATA Base Case";#N/A,#N/A,TRUE,"JULY";#N/A,#N/A,TRUE,"AUG";#N/A,#N/A,TRUE,"SEPT";#N/A,#N/A,TRUE,"3Q"}</definedName>
    <definedName name="summaryty_1" hidden="1">{#N/A,#N/A,TRUE,"KEY DATA";#N/A,#N/A,TRUE,"KEY DATA Base Case";#N/A,#N/A,TRUE,"JULY";#N/A,#N/A,TRUE,"AUG";#N/A,#N/A,TRUE,"SEPT";#N/A,#N/A,TRUE,"3Q"}</definedName>
    <definedName name="summaryty_1_1" localSheetId="28" hidden="1">{#N/A,#N/A,TRUE,"KEY DATA";#N/A,#N/A,TRUE,"KEY DATA Base Case";#N/A,#N/A,TRUE,"JULY";#N/A,#N/A,TRUE,"AUG";#N/A,#N/A,TRUE,"SEPT";#N/A,#N/A,TRUE,"3Q"}</definedName>
    <definedName name="summaryty_1_1" hidden="1">{#N/A,#N/A,TRUE,"KEY DATA";#N/A,#N/A,TRUE,"KEY DATA Base Case";#N/A,#N/A,TRUE,"JULY";#N/A,#N/A,TRUE,"AUG";#N/A,#N/A,TRUE,"SEPT";#N/A,#N/A,TRUE,"3Q"}</definedName>
    <definedName name="SUPPLIER" localSheetId="28" hidden="1">{#N/A,#N/A,FALSE,"IS";#N/A,#N/A,FALSE,"BS";#N/A,#N/A,FALSE,"RMA";#N/A,#N/A,FALSE,"INCOME";#N/A,#N/A,FALSE,"DCF";#N/A,#N/A,FALSE,"MARKET"}</definedName>
    <definedName name="SUPPLIER" hidden="1">{#N/A,#N/A,FALSE,"IS";#N/A,#N/A,FALSE,"BS";#N/A,#N/A,FALSE,"RMA";#N/A,#N/A,FALSE,"INCOME";#N/A,#N/A,FALSE,"DCF";#N/A,#N/A,FALSE,"MARKET"}</definedName>
    <definedName name="SUPPLIER_1" localSheetId="28" hidden="1">{#N/A,#N/A,FALSE,"IS";#N/A,#N/A,FALSE,"BS";#N/A,#N/A,FALSE,"RMA";#N/A,#N/A,FALSE,"INCOME";#N/A,#N/A,FALSE,"DCF";#N/A,#N/A,FALSE,"MARKET"}</definedName>
    <definedName name="SUPPLIER_1" hidden="1">{#N/A,#N/A,FALSE,"IS";#N/A,#N/A,FALSE,"BS";#N/A,#N/A,FALSE,"RMA";#N/A,#N/A,FALSE,"INCOME";#N/A,#N/A,FALSE,"DCF";#N/A,#N/A,FALSE,"MARKET"}</definedName>
    <definedName name="SUPPLIER_1_1" localSheetId="28" hidden="1">{#N/A,#N/A,FALSE,"IS";#N/A,#N/A,FALSE,"BS";#N/A,#N/A,FALSE,"RMA";#N/A,#N/A,FALSE,"INCOME";#N/A,#N/A,FALSE,"DCF";#N/A,#N/A,FALSE,"MARKET"}</definedName>
    <definedName name="SUPPLIER_1_1" hidden="1">{#N/A,#N/A,FALSE,"IS";#N/A,#N/A,FALSE,"BS";#N/A,#N/A,FALSE,"RMA";#N/A,#N/A,FALSE,"INCOME";#N/A,#N/A,FALSE,"DCF";#N/A,#N/A,FALSE,"MARKET"}</definedName>
    <definedName name="SY" localSheetId="26">#REF!</definedName>
    <definedName name="SY" localSheetId="25">#REF!</definedName>
    <definedName name="SY" localSheetId="35">#REF!</definedName>
    <definedName name="SY" localSheetId="33">#REF!</definedName>
    <definedName name="SY">#REF!</definedName>
    <definedName name="T_Borr" localSheetId="26">#REF!</definedName>
    <definedName name="T_Borr" localSheetId="25">#REF!</definedName>
    <definedName name="T_Borr" localSheetId="35">#REF!</definedName>
    <definedName name="T_Borr" localSheetId="33">#REF!</definedName>
    <definedName name="T_Borr">#REF!</definedName>
    <definedName name="T_Pay" localSheetId="26">#REF!</definedName>
    <definedName name="T_Pay" localSheetId="25">#REF!</definedName>
    <definedName name="T_Pay" localSheetId="35">#REF!</definedName>
    <definedName name="T_Pay" localSheetId="33">#REF!</definedName>
    <definedName name="T_Pay">#REF!</definedName>
    <definedName name="tax" localSheetId="26">#REF!</definedName>
    <definedName name="tax" localSheetId="25">#REF!</definedName>
    <definedName name="tax" localSheetId="35">#REF!</definedName>
    <definedName name="tax" localSheetId="33">#REF!</definedName>
    <definedName name="tax">#REF!</definedName>
    <definedName name="TB" localSheetId="26">#REF!</definedName>
    <definedName name="TB" localSheetId="25">#REF!</definedName>
    <definedName name="TB" localSheetId="35">#REF!</definedName>
    <definedName name="TB" localSheetId="33">#REF!</definedName>
    <definedName name="TB">#REF!</definedName>
    <definedName name="TBTOP" localSheetId="26">#REF!</definedName>
    <definedName name="TBTOP" localSheetId="25">#REF!</definedName>
    <definedName name="TBTOP" localSheetId="35">#REF!</definedName>
    <definedName name="TBTOP" localSheetId="33">#REF!</definedName>
    <definedName name="TBTOP">#REF!</definedName>
    <definedName name="tc" localSheetId="26">#REF!</definedName>
    <definedName name="tc" localSheetId="25">#REF!</definedName>
    <definedName name="tc" localSheetId="35">#REF!</definedName>
    <definedName name="tc" localSheetId="33">#REF!</definedName>
    <definedName name="tc">#REF!</definedName>
    <definedName name="TChonsei" localSheetId="26">#REF!</definedName>
    <definedName name="TChonsei" localSheetId="25">#REF!</definedName>
    <definedName name="TChonsei" localSheetId="35">#REF!</definedName>
    <definedName name="TChonsei" localSheetId="33">#REF!</definedName>
    <definedName name="TChonsei">#REF!</definedName>
    <definedName name="TDeposit" localSheetId="26">#REF!</definedName>
    <definedName name="TDeposit" localSheetId="25">#REF!</definedName>
    <definedName name="TDeposit" localSheetId="35">#REF!</definedName>
    <definedName name="TDeposit" localSheetId="33">#REF!</definedName>
    <definedName name="TDeposit">#REF!</definedName>
    <definedName name="TDM" localSheetId="26">#REF!</definedName>
    <definedName name="TDM" localSheetId="25">#REF!</definedName>
    <definedName name="TDM" localSheetId="35">#REF!</definedName>
    <definedName name="TDM" localSheetId="33">#REF!</definedName>
    <definedName name="TDM" localSheetId="36">#REF!</definedName>
    <definedName name="TDM">#REF!</definedName>
    <definedName name="temp" localSheetId="28" hidden="1">{#N/A,#N/A,FALSE,"PL MAR";#N/A,#N/A,FALSE,"Trend99";#N/A,#N/A,FALSE,"Bal Sheets ";#N/A,#N/A,FALSE,"YTD"}</definedName>
    <definedName name="temp" hidden="1">{#N/A,#N/A,FALSE,"PL MAR";#N/A,#N/A,FALSE,"Trend99";#N/A,#N/A,FALSE,"Bal Sheets ";#N/A,#N/A,FALSE,"YTD"}</definedName>
    <definedName name="temp." localSheetId="28" hidden="1">{#N/A,#N/A,TRUE,"KEY DATA";#N/A,#N/A,TRUE,"KEY DATA Base Case";#N/A,#N/A,TRUE,"JULY";#N/A,#N/A,TRUE,"AUG";#N/A,#N/A,TRUE,"SEPT";#N/A,#N/A,TRUE,"3Q"}</definedName>
    <definedName name="temp." hidden="1">{#N/A,#N/A,TRUE,"KEY DATA";#N/A,#N/A,TRUE,"KEY DATA Base Case";#N/A,#N/A,TRUE,"JULY";#N/A,#N/A,TRUE,"AUG";#N/A,#N/A,TRUE,"SEPT";#N/A,#N/A,TRUE,"3Q"}</definedName>
    <definedName name="temp._1" localSheetId="28" hidden="1">{#N/A,#N/A,TRUE,"KEY DATA";#N/A,#N/A,TRUE,"KEY DATA Base Case";#N/A,#N/A,TRUE,"JULY";#N/A,#N/A,TRUE,"AUG";#N/A,#N/A,TRUE,"SEPT";#N/A,#N/A,TRUE,"3Q"}</definedName>
    <definedName name="temp._1" hidden="1">{#N/A,#N/A,TRUE,"KEY DATA";#N/A,#N/A,TRUE,"KEY DATA Base Case";#N/A,#N/A,TRUE,"JULY";#N/A,#N/A,TRUE,"AUG";#N/A,#N/A,TRUE,"SEPT";#N/A,#N/A,TRUE,"3Q"}</definedName>
    <definedName name="temp._1_1" localSheetId="28" hidden="1">{#N/A,#N/A,TRUE,"KEY DATA";#N/A,#N/A,TRUE,"KEY DATA Base Case";#N/A,#N/A,TRUE,"JULY";#N/A,#N/A,TRUE,"AUG";#N/A,#N/A,TRUE,"SEPT";#N/A,#N/A,TRUE,"3Q"}</definedName>
    <definedName name="temp._1_1" hidden="1">{#N/A,#N/A,TRUE,"KEY DATA";#N/A,#N/A,TRUE,"KEY DATA Base Case";#N/A,#N/A,TRUE,"JULY";#N/A,#N/A,TRUE,"AUG";#N/A,#N/A,TRUE,"SEPT";#N/A,#N/A,TRUE,"3Q"}</definedName>
    <definedName name="temp_1" localSheetId="28" hidden="1">{#N/A,#N/A,FALSE,"PL MAR";#N/A,#N/A,FALSE,"Trend99";#N/A,#N/A,FALSE,"Bal Sheets ";#N/A,#N/A,FALSE,"YTD"}</definedName>
    <definedName name="temp_1" hidden="1">{#N/A,#N/A,FALSE,"PL MAR";#N/A,#N/A,FALSE,"Trend99";#N/A,#N/A,FALSE,"Bal Sheets ";#N/A,#N/A,FALSE,"YTD"}</definedName>
    <definedName name="temp_1_1" localSheetId="28" hidden="1">{#N/A,#N/A,FALSE,"PL MAR";#N/A,#N/A,FALSE,"Trend99";#N/A,#N/A,FALSE,"Bal Sheets ";#N/A,#N/A,FALSE,"YTD"}</definedName>
    <definedName name="temp_1_1" hidden="1">{#N/A,#N/A,FALSE,"PL MAR";#N/A,#N/A,FALSE,"Trend99";#N/A,#N/A,FALSE,"Bal Sheets ";#N/A,#N/A,FALSE,"YTD"}</definedName>
    <definedName name="temp12" localSheetId="28" hidden="1">{#N/A,#N/A,TRUE,"KEY DATA";#N/A,#N/A,TRUE,"KEY DATA Base Case";#N/A,#N/A,TRUE,"JULY";#N/A,#N/A,TRUE,"AUG";#N/A,#N/A,TRUE,"SEPT";#N/A,#N/A,TRUE,"3Q"}</definedName>
    <definedName name="temp12" hidden="1">{#N/A,#N/A,TRUE,"KEY DATA";#N/A,#N/A,TRUE,"KEY DATA Base Case";#N/A,#N/A,TRUE,"JULY";#N/A,#N/A,TRUE,"AUG";#N/A,#N/A,TRUE,"SEPT";#N/A,#N/A,TRUE,"3Q"}</definedName>
    <definedName name="temp12." localSheetId="28" hidden="1">{#N/A,#N/A,TRUE,"KEY DATA";#N/A,#N/A,TRUE,"KEY DATA Base Case";#N/A,#N/A,TRUE,"JULY";#N/A,#N/A,TRUE,"AUG";#N/A,#N/A,TRUE,"SEPT";#N/A,#N/A,TRUE,"3Q"}</definedName>
    <definedName name="temp12." hidden="1">{#N/A,#N/A,TRUE,"KEY DATA";#N/A,#N/A,TRUE,"KEY DATA Base Case";#N/A,#N/A,TRUE,"JULY";#N/A,#N/A,TRUE,"AUG";#N/A,#N/A,TRUE,"SEPT";#N/A,#N/A,TRUE,"3Q"}</definedName>
    <definedName name="temp12._1" localSheetId="28" hidden="1">{#N/A,#N/A,TRUE,"KEY DATA";#N/A,#N/A,TRUE,"KEY DATA Base Case";#N/A,#N/A,TRUE,"JULY";#N/A,#N/A,TRUE,"AUG";#N/A,#N/A,TRUE,"SEPT";#N/A,#N/A,TRUE,"3Q"}</definedName>
    <definedName name="temp12._1" hidden="1">{#N/A,#N/A,TRUE,"KEY DATA";#N/A,#N/A,TRUE,"KEY DATA Base Case";#N/A,#N/A,TRUE,"JULY";#N/A,#N/A,TRUE,"AUG";#N/A,#N/A,TRUE,"SEPT";#N/A,#N/A,TRUE,"3Q"}</definedName>
    <definedName name="temp12._1_1" localSheetId="28" hidden="1">{#N/A,#N/A,TRUE,"KEY DATA";#N/A,#N/A,TRUE,"KEY DATA Base Case";#N/A,#N/A,TRUE,"JULY";#N/A,#N/A,TRUE,"AUG";#N/A,#N/A,TRUE,"SEPT";#N/A,#N/A,TRUE,"3Q"}</definedName>
    <definedName name="temp12._1_1" hidden="1">{#N/A,#N/A,TRUE,"KEY DATA";#N/A,#N/A,TRUE,"KEY DATA Base Case";#N/A,#N/A,TRUE,"JULY";#N/A,#N/A,TRUE,"AUG";#N/A,#N/A,TRUE,"SEPT";#N/A,#N/A,TRUE,"3Q"}</definedName>
    <definedName name="temp12_1" localSheetId="28" hidden="1">{#N/A,#N/A,TRUE,"KEY DATA";#N/A,#N/A,TRUE,"KEY DATA Base Case";#N/A,#N/A,TRUE,"JULY";#N/A,#N/A,TRUE,"AUG";#N/A,#N/A,TRUE,"SEPT";#N/A,#N/A,TRUE,"3Q"}</definedName>
    <definedName name="temp12_1" hidden="1">{#N/A,#N/A,TRUE,"KEY DATA";#N/A,#N/A,TRUE,"KEY DATA Base Case";#N/A,#N/A,TRUE,"JULY";#N/A,#N/A,TRUE,"AUG";#N/A,#N/A,TRUE,"SEPT";#N/A,#N/A,TRUE,"3Q"}</definedName>
    <definedName name="temp12_1_1" localSheetId="28"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6">#REF!</definedName>
    <definedName name="Tenant_Type" localSheetId="25">#REF!</definedName>
    <definedName name="Tenant_Type" localSheetId="35">#REF!</definedName>
    <definedName name="Tenant_Type" localSheetId="33">#REF!</definedName>
    <definedName name="Tenant_Type">#REF!</definedName>
    <definedName name="test"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6">#REF!</definedName>
    <definedName name="TEST0" localSheetId="25">#REF!</definedName>
    <definedName name="TEST0" localSheetId="35">#REF!</definedName>
    <definedName name="TEST0" localSheetId="33">#REF!</definedName>
    <definedName name="TEST0" localSheetId="36">#REF!</definedName>
    <definedName name="TEST0">#REF!</definedName>
    <definedName name="test1" localSheetId="28" hidden="1">{#N/A,#N/A,TRUE,"MAIN FT TERM";#N/A,#N/A,TRUE,"MCI  FT TERM ";#N/A,#N/A,TRUE,"OC12 EQV"}</definedName>
    <definedName name="test1" hidden="1">{#N/A,#N/A,TRUE,"MAIN FT TERM";#N/A,#N/A,TRUE,"MCI  FT TERM ";#N/A,#N/A,TRUE,"OC12 EQV"}</definedName>
    <definedName name="TESTHKEY" localSheetId="26">#REF!</definedName>
    <definedName name="TESTHKEY" localSheetId="25">#REF!</definedName>
    <definedName name="TESTHKEY" localSheetId="35">#REF!</definedName>
    <definedName name="TESTHKEY" localSheetId="33">#REF!</definedName>
    <definedName name="TESTHKEY" localSheetId="36">#REF!</definedName>
    <definedName name="TESTHKEY">#REF!</definedName>
    <definedName name="TESTKEYS" localSheetId="26">#REF!</definedName>
    <definedName name="TESTKEYS" localSheetId="25">#REF!</definedName>
    <definedName name="TESTKEYS" localSheetId="35">#REF!</definedName>
    <definedName name="TESTKEYS" localSheetId="33">#REF!</definedName>
    <definedName name="TESTKEYS" localSheetId="36">#REF!</definedName>
    <definedName name="TESTKEYS">#REF!</definedName>
    <definedName name="TESTVKEY" localSheetId="26">#REF!</definedName>
    <definedName name="TESTVKEY" localSheetId="25">#REF!</definedName>
    <definedName name="TESTVKEY" localSheetId="35">#REF!</definedName>
    <definedName name="TESTVKEY" localSheetId="33">#REF!</definedName>
    <definedName name="TESTVKEY" localSheetId="36">#REF!</definedName>
    <definedName name="TESTVKEY">#REF!</definedName>
    <definedName name="TextRefCopy100" localSheetId="26">#REF!</definedName>
    <definedName name="TextRefCopy100" localSheetId="25">#REF!</definedName>
    <definedName name="TextRefCopy100" localSheetId="35">#REF!</definedName>
    <definedName name="TextRefCopy100" localSheetId="33">#REF!</definedName>
    <definedName name="TextRefCopy100">#REF!</definedName>
    <definedName name="TextRefCopy102" localSheetId="26">#REF!</definedName>
    <definedName name="TextRefCopy102" localSheetId="25">#REF!</definedName>
    <definedName name="TextRefCopy102" localSheetId="35">#REF!</definedName>
    <definedName name="TextRefCopy102" localSheetId="33">#REF!</definedName>
    <definedName name="TextRefCopy102">#REF!</definedName>
    <definedName name="TextRefCopy103" localSheetId="26">#REF!</definedName>
    <definedName name="TextRefCopy103" localSheetId="25">#REF!</definedName>
    <definedName name="TextRefCopy103" localSheetId="35">#REF!</definedName>
    <definedName name="TextRefCopy103" localSheetId="33">#REF!</definedName>
    <definedName name="TextRefCopy103">#REF!</definedName>
    <definedName name="TextRefCopy104" localSheetId="26">#REF!</definedName>
    <definedName name="TextRefCopy104" localSheetId="25">#REF!</definedName>
    <definedName name="TextRefCopy104" localSheetId="35">#REF!</definedName>
    <definedName name="TextRefCopy104" localSheetId="33">#REF!</definedName>
    <definedName name="TextRefCopy104">#REF!</definedName>
    <definedName name="TextRefCopy105" localSheetId="26">#REF!</definedName>
    <definedName name="TextRefCopy105" localSheetId="25">#REF!</definedName>
    <definedName name="TextRefCopy105" localSheetId="35">#REF!</definedName>
    <definedName name="TextRefCopy105" localSheetId="33">#REF!</definedName>
    <definedName name="TextRefCopy105">#REF!</definedName>
    <definedName name="TextRefCopy106" localSheetId="26">#REF!</definedName>
    <definedName name="TextRefCopy106" localSheetId="25">#REF!</definedName>
    <definedName name="TextRefCopy106" localSheetId="35">#REF!</definedName>
    <definedName name="TextRefCopy106" localSheetId="33">#REF!</definedName>
    <definedName name="TextRefCopy106">#REF!</definedName>
    <definedName name="TextRefCopy107" localSheetId="26">#REF!</definedName>
    <definedName name="TextRefCopy107" localSheetId="25">#REF!</definedName>
    <definedName name="TextRefCopy107" localSheetId="35">#REF!</definedName>
    <definedName name="TextRefCopy107" localSheetId="33">#REF!</definedName>
    <definedName name="TextRefCopy107">#REF!</definedName>
    <definedName name="TextRefCopy109" localSheetId="26">#REF!</definedName>
    <definedName name="TextRefCopy109" localSheetId="25">#REF!</definedName>
    <definedName name="TextRefCopy109" localSheetId="35">#REF!</definedName>
    <definedName name="TextRefCopy109" localSheetId="33">#REF!</definedName>
    <definedName name="TextRefCopy109">#REF!</definedName>
    <definedName name="TextRefCopy12" localSheetId="26">#REF!</definedName>
    <definedName name="TextRefCopy12" localSheetId="25">#REF!</definedName>
    <definedName name="TextRefCopy12" localSheetId="35">#REF!</definedName>
    <definedName name="TextRefCopy12" localSheetId="33">#REF!</definedName>
    <definedName name="TextRefCopy12" localSheetId="36">#REF!</definedName>
    <definedName name="TextRefCopy12">#REF!</definedName>
    <definedName name="TextRefCopy128" localSheetId="26">#REF!</definedName>
    <definedName name="TextRefCopy128" localSheetId="25">#REF!</definedName>
    <definedName name="TextRefCopy128" localSheetId="35">#REF!</definedName>
    <definedName name="TextRefCopy128" localSheetId="33">#REF!</definedName>
    <definedName name="TextRefCopy128">#REF!</definedName>
    <definedName name="TextRefCopy129" localSheetId="26">#REF!</definedName>
    <definedName name="TextRefCopy129" localSheetId="25">#REF!</definedName>
    <definedName name="TextRefCopy129" localSheetId="35">#REF!</definedName>
    <definedName name="TextRefCopy129" localSheetId="33">#REF!</definedName>
    <definedName name="TextRefCopy129" localSheetId="36">#REF!</definedName>
    <definedName name="TextRefCopy129">#REF!</definedName>
    <definedName name="TextRefCopy130" localSheetId="26">#REF!</definedName>
    <definedName name="TextRefCopy130" localSheetId="25">#REF!</definedName>
    <definedName name="TextRefCopy130" localSheetId="35">#REF!</definedName>
    <definedName name="TextRefCopy130" localSheetId="33">#REF!</definedName>
    <definedName name="TextRefCopy130">#REF!</definedName>
    <definedName name="TextRefCopy131" localSheetId="26">#REF!</definedName>
    <definedName name="TextRefCopy131" localSheetId="25">#REF!</definedName>
    <definedName name="TextRefCopy131" localSheetId="35">#REF!</definedName>
    <definedName name="TextRefCopy131" localSheetId="33">#REF!</definedName>
    <definedName name="TextRefCopy131">#REF!</definedName>
    <definedName name="TextRefCopy132" localSheetId="26">#REF!</definedName>
    <definedName name="TextRefCopy132" localSheetId="25">#REF!</definedName>
    <definedName name="TextRefCopy132" localSheetId="35">#REF!</definedName>
    <definedName name="TextRefCopy132" localSheetId="33">#REF!</definedName>
    <definedName name="TextRefCopy132">#REF!</definedName>
    <definedName name="TextRefCopy133" localSheetId="26">#REF!</definedName>
    <definedName name="TextRefCopy133" localSheetId="25">#REF!</definedName>
    <definedName name="TextRefCopy133" localSheetId="35">#REF!</definedName>
    <definedName name="TextRefCopy133" localSheetId="33">#REF!</definedName>
    <definedName name="TextRefCopy133">#REF!</definedName>
    <definedName name="TextRefCopy134" localSheetId="26">#REF!</definedName>
    <definedName name="TextRefCopy134" localSheetId="25">#REF!</definedName>
    <definedName name="TextRefCopy134" localSheetId="35">#REF!</definedName>
    <definedName name="TextRefCopy134" localSheetId="33">#REF!</definedName>
    <definedName name="TextRefCopy134">#REF!</definedName>
    <definedName name="TextRefCopy135" localSheetId="26">#REF!</definedName>
    <definedName name="TextRefCopy135" localSheetId="25">#REF!</definedName>
    <definedName name="TextRefCopy135" localSheetId="35">#REF!</definedName>
    <definedName name="TextRefCopy135" localSheetId="33">#REF!</definedName>
    <definedName name="TextRefCopy135">#REF!</definedName>
    <definedName name="TextRefCopy136" localSheetId="26">#REF!</definedName>
    <definedName name="TextRefCopy136" localSheetId="25">#REF!</definedName>
    <definedName name="TextRefCopy136" localSheetId="35">#REF!</definedName>
    <definedName name="TextRefCopy136" localSheetId="33">#REF!</definedName>
    <definedName name="TextRefCopy136">#REF!</definedName>
    <definedName name="TextRefCopy137" localSheetId="26">#REF!</definedName>
    <definedName name="TextRefCopy137" localSheetId="25">#REF!</definedName>
    <definedName name="TextRefCopy137" localSheetId="35">#REF!</definedName>
    <definedName name="TextRefCopy137" localSheetId="33">#REF!</definedName>
    <definedName name="TextRefCopy137">#REF!</definedName>
    <definedName name="TextRefCopy138" localSheetId="26">#REF!</definedName>
    <definedName name="TextRefCopy138" localSheetId="25">#REF!</definedName>
    <definedName name="TextRefCopy138" localSheetId="35">#REF!</definedName>
    <definedName name="TextRefCopy138" localSheetId="33">#REF!</definedName>
    <definedName name="TextRefCopy138">#REF!</definedName>
    <definedName name="TextRefCopy139" localSheetId="26">#REF!</definedName>
    <definedName name="TextRefCopy139" localSheetId="25">#REF!</definedName>
    <definedName name="TextRefCopy139" localSheetId="35">#REF!</definedName>
    <definedName name="TextRefCopy139" localSheetId="33">#REF!</definedName>
    <definedName name="TextRefCopy139">#REF!</definedName>
    <definedName name="TextRefCopy140" localSheetId="26">#REF!</definedName>
    <definedName name="TextRefCopy140" localSheetId="25">#REF!</definedName>
    <definedName name="TextRefCopy140" localSheetId="35">#REF!</definedName>
    <definedName name="TextRefCopy140" localSheetId="33">#REF!</definedName>
    <definedName name="TextRefCopy140">#REF!</definedName>
    <definedName name="TextRefCopy141" localSheetId="26">#REF!</definedName>
    <definedName name="TextRefCopy141" localSheetId="25">#REF!</definedName>
    <definedName name="TextRefCopy141" localSheetId="35">#REF!</definedName>
    <definedName name="TextRefCopy141" localSheetId="33">#REF!</definedName>
    <definedName name="TextRefCopy141">#REF!</definedName>
    <definedName name="TextRefCopy142" localSheetId="26">#REF!</definedName>
    <definedName name="TextRefCopy142" localSheetId="25">#REF!</definedName>
    <definedName name="TextRefCopy142" localSheetId="35">#REF!</definedName>
    <definedName name="TextRefCopy142" localSheetId="33">#REF!</definedName>
    <definedName name="TextRefCopy142">#REF!</definedName>
    <definedName name="TextRefCopy143" localSheetId="26">#REF!</definedName>
    <definedName name="TextRefCopy143" localSheetId="25">#REF!</definedName>
    <definedName name="TextRefCopy143" localSheetId="35">#REF!</definedName>
    <definedName name="TextRefCopy143" localSheetId="33">#REF!</definedName>
    <definedName name="TextRefCopy143">#REF!</definedName>
    <definedName name="TextRefCopy144" localSheetId="26">#REF!</definedName>
    <definedName name="TextRefCopy144" localSheetId="25">#REF!</definedName>
    <definedName name="TextRefCopy144" localSheetId="35">#REF!</definedName>
    <definedName name="TextRefCopy144" localSheetId="33">#REF!</definedName>
    <definedName name="TextRefCopy144">#REF!</definedName>
    <definedName name="TextRefCopy145" localSheetId="26">#REF!</definedName>
    <definedName name="TextRefCopy145" localSheetId="25">#REF!</definedName>
    <definedName name="TextRefCopy145" localSheetId="35">#REF!</definedName>
    <definedName name="TextRefCopy145" localSheetId="33">#REF!</definedName>
    <definedName name="TextRefCopy145">#REF!</definedName>
    <definedName name="TextRefCopy146" localSheetId="26">#REF!</definedName>
    <definedName name="TextRefCopy146" localSheetId="25">#REF!</definedName>
    <definedName name="TextRefCopy146" localSheetId="35">#REF!</definedName>
    <definedName name="TextRefCopy146" localSheetId="33">#REF!</definedName>
    <definedName name="TextRefCopy146">#REF!</definedName>
    <definedName name="TextRefCopy147" localSheetId="26">#REF!</definedName>
    <definedName name="TextRefCopy147" localSheetId="25">#REF!</definedName>
    <definedName name="TextRefCopy147" localSheetId="35">#REF!</definedName>
    <definedName name="TextRefCopy147" localSheetId="33">#REF!</definedName>
    <definedName name="TextRefCopy147">#REF!</definedName>
    <definedName name="TextRefCopy148" localSheetId="26">#REF!</definedName>
    <definedName name="TextRefCopy148" localSheetId="25">#REF!</definedName>
    <definedName name="TextRefCopy148" localSheetId="35">#REF!</definedName>
    <definedName name="TextRefCopy148" localSheetId="33">#REF!</definedName>
    <definedName name="TextRefCopy148">#REF!</definedName>
    <definedName name="TextRefCopy151" localSheetId="26">#REF!</definedName>
    <definedName name="TextRefCopy151" localSheetId="25">#REF!</definedName>
    <definedName name="TextRefCopy151" localSheetId="35">#REF!</definedName>
    <definedName name="TextRefCopy151" localSheetId="33">#REF!</definedName>
    <definedName name="TextRefCopy151">#REF!</definedName>
    <definedName name="TextRefCopy152" localSheetId="26">#REF!</definedName>
    <definedName name="TextRefCopy152" localSheetId="25">#REF!</definedName>
    <definedName name="TextRefCopy152" localSheetId="35">#REF!</definedName>
    <definedName name="TextRefCopy152" localSheetId="33">#REF!</definedName>
    <definedName name="TextRefCopy152">#REF!</definedName>
    <definedName name="TextRefCopy153" localSheetId="26">#REF!</definedName>
    <definedName name="TextRefCopy153" localSheetId="25">#REF!</definedName>
    <definedName name="TextRefCopy153" localSheetId="35">#REF!</definedName>
    <definedName name="TextRefCopy153" localSheetId="33">#REF!</definedName>
    <definedName name="TextRefCopy153">#REF!</definedName>
    <definedName name="TextRefCopy154" localSheetId="26">#REF!</definedName>
    <definedName name="TextRefCopy154" localSheetId="25">#REF!</definedName>
    <definedName name="TextRefCopy154" localSheetId="35">#REF!</definedName>
    <definedName name="TextRefCopy154" localSheetId="33">#REF!</definedName>
    <definedName name="TextRefCopy154">#REF!</definedName>
    <definedName name="TextRefCopy159" localSheetId="26">#REF!</definedName>
    <definedName name="TextRefCopy159" localSheetId="25">#REF!</definedName>
    <definedName name="TextRefCopy159" localSheetId="35">#REF!</definedName>
    <definedName name="TextRefCopy159" localSheetId="33">#REF!</definedName>
    <definedName name="TextRefCopy159">#REF!</definedName>
    <definedName name="TextRefCopy160" localSheetId="26">#REF!</definedName>
    <definedName name="TextRefCopy160" localSheetId="25">#REF!</definedName>
    <definedName name="TextRefCopy160" localSheetId="35">#REF!</definedName>
    <definedName name="TextRefCopy160" localSheetId="33">#REF!</definedName>
    <definedName name="TextRefCopy160">#REF!</definedName>
    <definedName name="TextRefCopy162" localSheetId="26">#REF!</definedName>
    <definedName name="TextRefCopy162" localSheetId="25">#REF!</definedName>
    <definedName name="TextRefCopy162" localSheetId="35">#REF!</definedName>
    <definedName name="TextRefCopy162" localSheetId="33">#REF!</definedName>
    <definedName name="TextRefCopy162">#REF!</definedName>
    <definedName name="TextRefCopy163" localSheetId="26">#REF!</definedName>
    <definedName name="TextRefCopy163" localSheetId="25">#REF!</definedName>
    <definedName name="TextRefCopy163" localSheetId="35">#REF!</definedName>
    <definedName name="TextRefCopy163" localSheetId="33">#REF!</definedName>
    <definedName name="TextRefCopy163">#REF!</definedName>
    <definedName name="TextRefCopy164" localSheetId="26">#REF!</definedName>
    <definedName name="TextRefCopy164" localSheetId="25">#REF!</definedName>
    <definedName name="TextRefCopy164" localSheetId="35">#REF!</definedName>
    <definedName name="TextRefCopy164" localSheetId="33">#REF!</definedName>
    <definedName name="TextRefCopy164">#REF!</definedName>
    <definedName name="TextRefCopy165" localSheetId="26">#REF!</definedName>
    <definedName name="TextRefCopy165" localSheetId="25">#REF!</definedName>
    <definedName name="TextRefCopy165" localSheetId="35">#REF!</definedName>
    <definedName name="TextRefCopy165" localSheetId="33">#REF!</definedName>
    <definedName name="TextRefCopy165">#REF!</definedName>
    <definedName name="TextRefCopy166" localSheetId="26">#REF!</definedName>
    <definedName name="TextRefCopy166" localSheetId="25">#REF!</definedName>
    <definedName name="TextRefCopy166" localSheetId="35">#REF!</definedName>
    <definedName name="TextRefCopy166" localSheetId="33">#REF!</definedName>
    <definedName name="TextRefCopy166">#REF!</definedName>
    <definedName name="TextRefCopy169" localSheetId="26">#REF!</definedName>
    <definedName name="TextRefCopy169" localSheetId="25">#REF!</definedName>
    <definedName name="TextRefCopy169" localSheetId="35">#REF!</definedName>
    <definedName name="TextRefCopy169" localSheetId="33">#REF!</definedName>
    <definedName name="TextRefCopy169">#REF!</definedName>
    <definedName name="TextRefCopy17" localSheetId="26">#REF!</definedName>
    <definedName name="TextRefCopy17" localSheetId="25">#REF!</definedName>
    <definedName name="TextRefCopy17" localSheetId="35">#REF!</definedName>
    <definedName name="TextRefCopy17" localSheetId="33">#REF!</definedName>
    <definedName name="TextRefCopy17" localSheetId="36">#REF!</definedName>
    <definedName name="TextRefCopy17">#REF!</definedName>
    <definedName name="TextRefCopy170" localSheetId="26">#REF!</definedName>
    <definedName name="TextRefCopy170" localSheetId="25">#REF!</definedName>
    <definedName name="TextRefCopy170" localSheetId="35">#REF!</definedName>
    <definedName name="TextRefCopy170" localSheetId="33">#REF!</definedName>
    <definedName name="TextRefCopy170">#REF!</definedName>
    <definedName name="TextRefCopy171" localSheetId="26">#REF!</definedName>
    <definedName name="TextRefCopy171" localSheetId="25">#REF!</definedName>
    <definedName name="TextRefCopy171" localSheetId="35">#REF!</definedName>
    <definedName name="TextRefCopy171" localSheetId="33">#REF!</definedName>
    <definedName name="TextRefCopy171">#REF!</definedName>
    <definedName name="TextRefCopy172" localSheetId="26">#REF!</definedName>
    <definedName name="TextRefCopy172" localSheetId="25">#REF!</definedName>
    <definedName name="TextRefCopy172" localSheetId="35">#REF!</definedName>
    <definedName name="TextRefCopy172" localSheetId="33">#REF!</definedName>
    <definedName name="TextRefCopy172">#REF!</definedName>
    <definedName name="TextRefCopy184" localSheetId="26">#REF!</definedName>
    <definedName name="TextRefCopy184" localSheetId="25">#REF!</definedName>
    <definedName name="TextRefCopy184" localSheetId="35">#REF!</definedName>
    <definedName name="TextRefCopy184" localSheetId="33">#REF!</definedName>
    <definedName name="TextRefCopy184" localSheetId="36">#REF!</definedName>
    <definedName name="TextRefCopy184">#REF!</definedName>
    <definedName name="TextRefCopy186" localSheetId="26">#REF!</definedName>
    <definedName name="TextRefCopy186" localSheetId="25">#REF!</definedName>
    <definedName name="TextRefCopy186" localSheetId="35">#REF!</definedName>
    <definedName name="TextRefCopy186" localSheetId="33">#REF!</definedName>
    <definedName name="TextRefCopy186" localSheetId="36">#REF!</definedName>
    <definedName name="TextRefCopy186">#REF!</definedName>
    <definedName name="TextRefCopy187" localSheetId="26">#REF!</definedName>
    <definedName name="TextRefCopy187" localSheetId="25">#REF!</definedName>
    <definedName name="TextRefCopy187" localSheetId="35">#REF!</definedName>
    <definedName name="TextRefCopy187" localSheetId="33">#REF!</definedName>
    <definedName name="TextRefCopy187" localSheetId="36">#REF!</definedName>
    <definedName name="TextRefCopy187">#REF!</definedName>
    <definedName name="TextRefCopy188" localSheetId="26">#REF!</definedName>
    <definedName name="TextRefCopy188" localSheetId="25">#REF!</definedName>
    <definedName name="TextRefCopy188" localSheetId="35">#REF!</definedName>
    <definedName name="TextRefCopy188" localSheetId="33">#REF!</definedName>
    <definedName name="TextRefCopy188" localSheetId="36">#REF!</definedName>
    <definedName name="TextRefCopy188">#REF!</definedName>
    <definedName name="TextRefCopy189" localSheetId="26">#REF!</definedName>
    <definedName name="TextRefCopy189" localSheetId="25">#REF!</definedName>
    <definedName name="TextRefCopy189" localSheetId="35">#REF!</definedName>
    <definedName name="TextRefCopy189" localSheetId="33">#REF!</definedName>
    <definedName name="TextRefCopy189" localSheetId="36">#REF!</definedName>
    <definedName name="TextRefCopy189">#REF!</definedName>
    <definedName name="TextRefCopy2" localSheetId="26">#REF!</definedName>
    <definedName name="TextRefCopy2" localSheetId="25">#REF!</definedName>
    <definedName name="TextRefCopy2" localSheetId="35">#REF!</definedName>
    <definedName name="TextRefCopy2" localSheetId="33">#REF!</definedName>
    <definedName name="TextRefCopy2" localSheetId="36">#REF!</definedName>
    <definedName name="TextRefCopy2">#REF!</definedName>
    <definedName name="TextRefCopy21" localSheetId="26">#REF!</definedName>
    <definedName name="TextRefCopy21" localSheetId="25">#REF!</definedName>
    <definedName name="TextRefCopy21" localSheetId="35">#REF!</definedName>
    <definedName name="TextRefCopy21" localSheetId="33">#REF!</definedName>
    <definedName name="TextRefCopy21" localSheetId="36">#REF!</definedName>
    <definedName name="TextRefCopy21">#REF!</definedName>
    <definedName name="TextRefCopy22" localSheetId="26">#REF!</definedName>
    <definedName name="TextRefCopy22" localSheetId="25">#REF!</definedName>
    <definedName name="TextRefCopy22" localSheetId="35">#REF!</definedName>
    <definedName name="TextRefCopy22" localSheetId="33">#REF!</definedName>
    <definedName name="TextRefCopy22" localSheetId="36">#REF!</definedName>
    <definedName name="TextRefCopy22">#REF!</definedName>
    <definedName name="TextRefCopy23" localSheetId="26">#REF!</definedName>
    <definedName name="TextRefCopy23" localSheetId="25">#REF!</definedName>
    <definedName name="TextRefCopy23" localSheetId="35">#REF!</definedName>
    <definedName name="TextRefCopy23" localSheetId="33">#REF!</definedName>
    <definedName name="TextRefCopy23" localSheetId="36">#REF!</definedName>
    <definedName name="TextRefCopy23">#REF!</definedName>
    <definedName name="TextRefCopy24" localSheetId="26">#REF!</definedName>
    <definedName name="TextRefCopy24" localSheetId="25">#REF!</definedName>
    <definedName name="TextRefCopy24" localSheetId="35">#REF!</definedName>
    <definedName name="TextRefCopy24" localSheetId="33">#REF!</definedName>
    <definedName name="TextRefCopy24" localSheetId="36">#REF!</definedName>
    <definedName name="TextRefCopy24">#REF!</definedName>
    <definedName name="TextRefCopy26" localSheetId="26">#REF!</definedName>
    <definedName name="TextRefCopy26" localSheetId="25">#REF!</definedName>
    <definedName name="TextRefCopy26" localSheetId="35">#REF!</definedName>
    <definedName name="TextRefCopy26" localSheetId="33">#REF!</definedName>
    <definedName name="TextRefCopy26" localSheetId="36">#REF!</definedName>
    <definedName name="TextRefCopy26">#REF!</definedName>
    <definedName name="TextRefCopy262" localSheetId="26">#REF!</definedName>
    <definedName name="TextRefCopy262" localSheetId="25">#REF!</definedName>
    <definedName name="TextRefCopy262" localSheetId="35">#REF!</definedName>
    <definedName name="TextRefCopy262" localSheetId="33">#REF!</definedName>
    <definedName name="TextRefCopy262" localSheetId="36">#REF!</definedName>
    <definedName name="TextRefCopy262">#REF!</definedName>
    <definedName name="TextRefCopy263" localSheetId="26">#REF!</definedName>
    <definedName name="TextRefCopy263" localSheetId="25">#REF!</definedName>
    <definedName name="TextRefCopy263" localSheetId="35">#REF!</definedName>
    <definedName name="TextRefCopy263" localSheetId="33">#REF!</definedName>
    <definedName name="TextRefCopy263" localSheetId="36">#REF!</definedName>
    <definedName name="TextRefCopy263">#REF!</definedName>
    <definedName name="TextRefCopy264" localSheetId="26">#REF!</definedName>
    <definedName name="TextRefCopy264" localSheetId="25">#REF!</definedName>
    <definedName name="TextRefCopy264" localSheetId="35">#REF!</definedName>
    <definedName name="TextRefCopy264" localSheetId="33">#REF!</definedName>
    <definedName name="TextRefCopy264" localSheetId="36">#REF!</definedName>
    <definedName name="TextRefCopy264">#REF!</definedName>
    <definedName name="TextRefCopy265" localSheetId="26">#REF!</definedName>
    <definedName name="TextRefCopy265" localSheetId="25">#REF!</definedName>
    <definedName name="TextRefCopy265" localSheetId="35">#REF!</definedName>
    <definedName name="TextRefCopy265" localSheetId="33">#REF!</definedName>
    <definedName name="TextRefCopy265" localSheetId="36">#REF!</definedName>
    <definedName name="TextRefCopy265">#REF!</definedName>
    <definedName name="TextRefCopy266" localSheetId="26">#REF!</definedName>
    <definedName name="TextRefCopy266" localSheetId="25">#REF!</definedName>
    <definedName name="TextRefCopy266" localSheetId="35">#REF!</definedName>
    <definedName name="TextRefCopy266" localSheetId="33">#REF!</definedName>
    <definedName name="TextRefCopy266" localSheetId="36">#REF!</definedName>
    <definedName name="TextRefCopy266">#REF!</definedName>
    <definedName name="TextRefCopy267" localSheetId="26">#REF!</definedName>
    <definedName name="TextRefCopy267" localSheetId="25">#REF!</definedName>
    <definedName name="TextRefCopy267" localSheetId="35">#REF!</definedName>
    <definedName name="TextRefCopy267" localSheetId="33">#REF!</definedName>
    <definedName name="TextRefCopy267" localSheetId="36">#REF!</definedName>
    <definedName name="TextRefCopy267">#REF!</definedName>
    <definedName name="TextRefCopy268" localSheetId="26">#REF!</definedName>
    <definedName name="TextRefCopy268" localSheetId="25">#REF!</definedName>
    <definedName name="TextRefCopy268" localSheetId="35">#REF!</definedName>
    <definedName name="TextRefCopy268" localSheetId="33">#REF!</definedName>
    <definedName name="TextRefCopy268" localSheetId="36">#REF!</definedName>
    <definedName name="TextRefCopy268">#REF!</definedName>
    <definedName name="TextRefCopy269" localSheetId="26">#REF!</definedName>
    <definedName name="TextRefCopy269" localSheetId="25">#REF!</definedName>
    <definedName name="TextRefCopy269" localSheetId="35">#REF!</definedName>
    <definedName name="TextRefCopy269" localSheetId="33">#REF!</definedName>
    <definedName name="TextRefCopy269" localSheetId="36">#REF!</definedName>
    <definedName name="TextRefCopy269">#REF!</definedName>
    <definedName name="TextRefCopy27" localSheetId="26">#REF!</definedName>
    <definedName name="TextRefCopy27" localSheetId="25">#REF!</definedName>
    <definedName name="TextRefCopy27" localSheetId="35">#REF!</definedName>
    <definedName name="TextRefCopy27" localSheetId="33">#REF!</definedName>
    <definedName name="TextRefCopy27" localSheetId="36">#REF!</definedName>
    <definedName name="TextRefCopy27">#REF!</definedName>
    <definedName name="TextRefCopy270" localSheetId="26">#REF!</definedName>
    <definedName name="TextRefCopy270" localSheetId="25">#REF!</definedName>
    <definedName name="TextRefCopy270" localSheetId="35">#REF!</definedName>
    <definedName name="TextRefCopy270" localSheetId="33">#REF!</definedName>
    <definedName name="TextRefCopy270" localSheetId="36">#REF!</definedName>
    <definedName name="TextRefCopy270">#REF!</definedName>
    <definedName name="TextRefCopy273" localSheetId="26">#REF!</definedName>
    <definedName name="TextRefCopy273" localSheetId="25">#REF!</definedName>
    <definedName name="TextRefCopy273" localSheetId="35">#REF!</definedName>
    <definedName name="TextRefCopy273" localSheetId="33">#REF!</definedName>
    <definedName name="TextRefCopy273" localSheetId="36">#REF!</definedName>
    <definedName name="TextRefCopy273">#REF!</definedName>
    <definedName name="TextRefCopy28" localSheetId="26">#REF!</definedName>
    <definedName name="TextRefCopy28" localSheetId="25">#REF!</definedName>
    <definedName name="TextRefCopy28" localSheetId="35">#REF!</definedName>
    <definedName name="TextRefCopy28" localSheetId="33">#REF!</definedName>
    <definedName name="TextRefCopy28" localSheetId="36">#REF!</definedName>
    <definedName name="TextRefCopy28">#REF!</definedName>
    <definedName name="TextRefCopy294" localSheetId="26">#REF!</definedName>
    <definedName name="TextRefCopy294" localSheetId="25">#REF!</definedName>
    <definedName name="TextRefCopy294" localSheetId="35">#REF!</definedName>
    <definedName name="TextRefCopy294" localSheetId="33">#REF!</definedName>
    <definedName name="TextRefCopy294" localSheetId="36">#REF!</definedName>
    <definedName name="TextRefCopy294">#REF!</definedName>
    <definedName name="TextRefCopy295" localSheetId="26">#REF!</definedName>
    <definedName name="TextRefCopy295" localSheetId="25">#REF!</definedName>
    <definedName name="TextRefCopy295" localSheetId="35">#REF!</definedName>
    <definedName name="TextRefCopy295" localSheetId="33">#REF!</definedName>
    <definedName name="TextRefCopy295" localSheetId="36">#REF!</definedName>
    <definedName name="TextRefCopy295">#REF!</definedName>
    <definedName name="TextRefCopy296" localSheetId="26">#REF!</definedName>
    <definedName name="TextRefCopy296" localSheetId="25">#REF!</definedName>
    <definedName name="TextRefCopy296" localSheetId="35">#REF!</definedName>
    <definedName name="TextRefCopy296" localSheetId="33">#REF!</definedName>
    <definedName name="TextRefCopy296" localSheetId="36">#REF!</definedName>
    <definedName name="TextRefCopy296">#REF!</definedName>
    <definedName name="TextRefCopy297" localSheetId="26">#REF!</definedName>
    <definedName name="TextRefCopy297" localSheetId="25">#REF!</definedName>
    <definedName name="TextRefCopy297" localSheetId="35">#REF!</definedName>
    <definedName name="TextRefCopy297" localSheetId="33">#REF!</definedName>
    <definedName name="TextRefCopy297" localSheetId="36">#REF!</definedName>
    <definedName name="TextRefCopy297">#REF!</definedName>
    <definedName name="TextRefCopy298" localSheetId="26">#REF!</definedName>
    <definedName name="TextRefCopy298" localSheetId="25">#REF!</definedName>
    <definedName name="TextRefCopy298" localSheetId="35">#REF!</definedName>
    <definedName name="TextRefCopy298" localSheetId="33">#REF!</definedName>
    <definedName name="TextRefCopy298" localSheetId="36">#REF!</definedName>
    <definedName name="TextRefCopy298">#REF!</definedName>
    <definedName name="TextRefCopy299" localSheetId="26">#REF!</definedName>
    <definedName name="TextRefCopy299" localSheetId="25">#REF!</definedName>
    <definedName name="TextRefCopy299" localSheetId="35">#REF!</definedName>
    <definedName name="TextRefCopy299" localSheetId="33">#REF!</definedName>
    <definedName name="TextRefCopy299" localSheetId="36">#REF!</definedName>
    <definedName name="TextRefCopy299">#REF!</definedName>
    <definedName name="TextRefCopy300" localSheetId="26">#REF!</definedName>
    <definedName name="TextRefCopy300" localSheetId="25">#REF!</definedName>
    <definedName name="TextRefCopy300" localSheetId="35">#REF!</definedName>
    <definedName name="TextRefCopy300" localSheetId="33">#REF!</definedName>
    <definedName name="TextRefCopy300" localSheetId="36">#REF!</definedName>
    <definedName name="TextRefCopy300">#REF!</definedName>
    <definedName name="TextRefCopy302" localSheetId="26">#REF!</definedName>
    <definedName name="TextRefCopy302" localSheetId="25">#REF!</definedName>
    <definedName name="TextRefCopy302" localSheetId="35">#REF!</definedName>
    <definedName name="TextRefCopy302" localSheetId="33">#REF!</definedName>
    <definedName name="TextRefCopy302" localSheetId="36">#REF!</definedName>
    <definedName name="TextRefCopy302">#REF!</definedName>
    <definedName name="TextRefCopy306" localSheetId="26">#REF!</definedName>
    <definedName name="TextRefCopy306" localSheetId="25">#REF!</definedName>
    <definedName name="TextRefCopy306" localSheetId="35">#REF!</definedName>
    <definedName name="TextRefCopy306" localSheetId="33">#REF!</definedName>
    <definedName name="TextRefCopy306" localSheetId="36">#REF!</definedName>
    <definedName name="TextRefCopy306">#REF!</definedName>
    <definedName name="TextRefCopy307" localSheetId="26">#REF!</definedName>
    <definedName name="TextRefCopy307" localSheetId="25">#REF!</definedName>
    <definedName name="TextRefCopy307" localSheetId="35">#REF!</definedName>
    <definedName name="TextRefCopy307" localSheetId="33">#REF!</definedName>
    <definedName name="TextRefCopy307" localSheetId="36">#REF!</definedName>
    <definedName name="TextRefCopy307">#REF!</definedName>
    <definedName name="TextRefCopy308" localSheetId="26">#REF!</definedName>
    <definedName name="TextRefCopy308" localSheetId="25">#REF!</definedName>
    <definedName name="TextRefCopy308" localSheetId="35">#REF!</definedName>
    <definedName name="TextRefCopy308" localSheetId="33">#REF!</definedName>
    <definedName name="TextRefCopy308" localSheetId="36">#REF!</definedName>
    <definedName name="TextRefCopy308">#REF!</definedName>
    <definedName name="TextRefCopy311" localSheetId="26">#REF!</definedName>
    <definedName name="TextRefCopy311" localSheetId="25">#REF!</definedName>
    <definedName name="TextRefCopy311" localSheetId="35">#REF!</definedName>
    <definedName name="TextRefCopy311" localSheetId="33">#REF!</definedName>
    <definedName name="TextRefCopy311" localSheetId="36">#REF!</definedName>
    <definedName name="TextRefCopy311">#REF!</definedName>
    <definedName name="TextRefCopy312" localSheetId="26">#REF!</definedName>
    <definedName name="TextRefCopy312" localSheetId="25">#REF!</definedName>
    <definedName name="TextRefCopy312" localSheetId="35">#REF!</definedName>
    <definedName name="TextRefCopy312" localSheetId="33">#REF!</definedName>
    <definedName name="TextRefCopy312" localSheetId="36">#REF!</definedName>
    <definedName name="TextRefCopy312">#REF!</definedName>
    <definedName name="TextRefCopy313" localSheetId="26">#REF!</definedName>
    <definedName name="TextRefCopy313" localSheetId="25">#REF!</definedName>
    <definedName name="TextRefCopy313" localSheetId="35">#REF!</definedName>
    <definedName name="TextRefCopy313" localSheetId="33">#REF!</definedName>
    <definedName name="TextRefCopy313" localSheetId="36">#REF!</definedName>
    <definedName name="TextRefCopy313">#REF!</definedName>
    <definedName name="TextRefCopy314" localSheetId="26">#REF!</definedName>
    <definedName name="TextRefCopy314" localSheetId="25">#REF!</definedName>
    <definedName name="TextRefCopy314" localSheetId="35">#REF!</definedName>
    <definedName name="TextRefCopy314" localSheetId="33">#REF!</definedName>
    <definedName name="TextRefCopy314" localSheetId="36">#REF!</definedName>
    <definedName name="TextRefCopy314">#REF!</definedName>
    <definedName name="TextRefCopy335" localSheetId="26">#REF!</definedName>
    <definedName name="TextRefCopy335" localSheetId="25">#REF!</definedName>
    <definedName name="TextRefCopy335" localSheetId="35">#REF!</definedName>
    <definedName name="TextRefCopy335" localSheetId="33">#REF!</definedName>
    <definedName name="TextRefCopy335" localSheetId="36">#REF!</definedName>
    <definedName name="TextRefCopy335">#REF!</definedName>
    <definedName name="TextRefCopy345" localSheetId="26">#REF!</definedName>
    <definedName name="TextRefCopy345" localSheetId="25">#REF!</definedName>
    <definedName name="TextRefCopy345" localSheetId="35">#REF!</definedName>
    <definedName name="TextRefCopy345" localSheetId="33">#REF!</definedName>
    <definedName name="TextRefCopy345" localSheetId="36">#REF!</definedName>
    <definedName name="TextRefCopy345">#REF!</definedName>
    <definedName name="TextRefCopy346" localSheetId="26">#REF!</definedName>
    <definedName name="TextRefCopy346" localSheetId="25">#REF!</definedName>
    <definedName name="TextRefCopy346" localSheetId="35">#REF!</definedName>
    <definedName name="TextRefCopy346" localSheetId="33">#REF!</definedName>
    <definedName name="TextRefCopy346" localSheetId="36">#REF!</definedName>
    <definedName name="TextRefCopy346">#REF!</definedName>
    <definedName name="TextRefCopy347" localSheetId="26">#REF!</definedName>
    <definedName name="TextRefCopy347" localSheetId="25">#REF!</definedName>
    <definedName name="TextRefCopy347" localSheetId="35">#REF!</definedName>
    <definedName name="TextRefCopy347" localSheetId="33">#REF!</definedName>
    <definedName name="TextRefCopy347" localSheetId="36">#REF!</definedName>
    <definedName name="TextRefCopy347">#REF!</definedName>
    <definedName name="TextRefCopy348" localSheetId="26">#REF!</definedName>
    <definedName name="TextRefCopy348" localSheetId="25">#REF!</definedName>
    <definedName name="TextRefCopy348" localSheetId="35">#REF!</definedName>
    <definedName name="TextRefCopy348" localSheetId="33">#REF!</definedName>
    <definedName name="TextRefCopy348" localSheetId="36">#REF!</definedName>
    <definedName name="TextRefCopy348">#REF!</definedName>
    <definedName name="TextRefCopy349" localSheetId="26">#REF!</definedName>
    <definedName name="TextRefCopy349" localSheetId="25">#REF!</definedName>
    <definedName name="TextRefCopy349" localSheetId="35">#REF!</definedName>
    <definedName name="TextRefCopy349" localSheetId="33">#REF!</definedName>
    <definedName name="TextRefCopy349" localSheetId="36">#REF!</definedName>
    <definedName name="TextRefCopy349">#REF!</definedName>
    <definedName name="TextRefCopy350" localSheetId="26">#REF!</definedName>
    <definedName name="TextRefCopy350" localSheetId="25">#REF!</definedName>
    <definedName name="TextRefCopy350" localSheetId="35">#REF!</definedName>
    <definedName name="TextRefCopy350" localSheetId="33">#REF!</definedName>
    <definedName name="TextRefCopy350" localSheetId="36">#REF!</definedName>
    <definedName name="TextRefCopy350">#REF!</definedName>
    <definedName name="TextRefCopy351" localSheetId="26">#REF!</definedName>
    <definedName name="TextRefCopy351" localSheetId="25">#REF!</definedName>
    <definedName name="TextRefCopy351" localSheetId="35">#REF!</definedName>
    <definedName name="TextRefCopy351" localSheetId="33">#REF!</definedName>
    <definedName name="TextRefCopy351" localSheetId="36">#REF!</definedName>
    <definedName name="TextRefCopy351">#REF!</definedName>
    <definedName name="TextRefCopy352" localSheetId="26">#REF!</definedName>
    <definedName name="TextRefCopy352" localSheetId="25">#REF!</definedName>
    <definedName name="TextRefCopy352" localSheetId="35">#REF!</definedName>
    <definedName name="TextRefCopy352" localSheetId="33">#REF!</definedName>
    <definedName name="TextRefCopy352" localSheetId="36">#REF!</definedName>
    <definedName name="TextRefCopy352">#REF!</definedName>
    <definedName name="TextRefCopy36" localSheetId="26">#REF!</definedName>
    <definedName name="TextRefCopy36" localSheetId="25">#REF!</definedName>
    <definedName name="TextRefCopy36" localSheetId="35">#REF!</definedName>
    <definedName name="TextRefCopy36" localSheetId="33">#REF!</definedName>
    <definedName name="TextRefCopy36">#REF!</definedName>
    <definedName name="TextRefCopy368" localSheetId="26">#REF!</definedName>
    <definedName name="TextRefCopy368" localSheetId="25">#REF!</definedName>
    <definedName name="TextRefCopy368" localSheetId="35">#REF!</definedName>
    <definedName name="TextRefCopy368" localSheetId="33">#REF!</definedName>
    <definedName name="TextRefCopy368" localSheetId="36">#REF!</definedName>
    <definedName name="TextRefCopy368">#REF!</definedName>
    <definedName name="TextRefCopy6" localSheetId="26">#REF!</definedName>
    <definedName name="TextRefCopy6" localSheetId="25">#REF!</definedName>
    <definedName name="TextRefCopy6" localSheetId="35">#REF!</definedName>
    <definedName name="TextRefCopy6" localSheetId="33">#REF!</definedName>
    <definedName name="TextRefCopy6" localSheetId="36">#REF!</definedName>
    <definedName name="TextRefCopy6">#REF!</definedName>
    <definedName name="TextRefCopy66" localSheetId="26">#REF!</definedName>
    <definedName name="TextRefCopy66" localSheetId="25">#REF!</definedName>
    <definedName name="TextRefCopy66" localSheetId="35">#REF!</definedName>
    <definedName name="TextRefCopy66" localSheetId="33">#REF!</definedName>
    <definedName name="TextRefCopy66">#REF!</definedName>
    <definedName name="TextRefCopy7" localSheetId="26">#REF!</definedName>
    <definedName name="TextRefCopy7" localSheetId="25">#REF!</definedName>
    <definedName name="TextRefCopy7" localSheetId="35">#REF!</definedName>
    <definedName name="TextRefCopy7" localSheetId="33">#REF!</definedName>
    <definedName name="TextRefCopy7" localSheetId="36">#REF!</definedName>
    <definedName name="TextRefCopy7">#REF!</definedName>
    <definedName name="TextRefCopy71" localSheetId="26">#REF!</definedName>
    <definedName name="TextRefCopy71" localSheetId="25">#REF!</definedName>
    <definedName name="TextRefCopy71" localSheetId="35">#REF!</definedName>
    <definedName name="TextRefCopy71" localSheetId="33">#REF!</definedName>
    <definedName name="TextRefCopy71">#REF!</definedName>
    <definedName name="TextRefCopy72" localSheetId="26">#REF!</definedName>
    <definedName name="TextRefCopy72" localSheetId="25">#REF!</definedName>
    <definedName name="TextRefCopy72" localSheetId="35">#REF!</definedName>
    <definedName name="TextRefCopy72" localSheetId="33">#REF!</definedName>
    <definedName name="TextRefCopy72">#REF!</definedName>
    <definedName name="TextRefCopy73" localSheetId="26">#REF!</definedName>
    <definedName name="TextRefCopy73" localSheetId="25">#REF!</definedName>
    <definedName name="TextRefCopy73" localSheetId="35">#REF!</definedName>
    <definedName name="TextRefCopy73" localSheetId="33">#REF!</definedName>
    <definedName name="TextRefCopy73">#REF!</definedName>
    <definedName name="TextRefCopy74" localSheetId="26">#REF!</definedName>
    <definedName name="TextRefCopy74" localSheetId="25">#REF!</definedName>
    <definedName name="TextRefCopy74" localSheetId="35">#REF!</definedName>
    <definedName name="TextRefCopy74" localSheetId="33">#REF!</definedName>
    <definedName name="TextRefCopy74">#REF!</definedName>
    <definedName name="TextRefCopy75" localSheetId="26">#REF!</definedName>
    <definedName name="TextRefCopy75" localSheetId="25">#REF!</definedName>
    <definedName name="TextRefCopy75" localSheetId="35">#REF!</definedName>
    <definedName name="TextRefCopy75" localSheetId="33">#REF!</definedName>
    <definedName name="TextRefCopy75">#REF!</definedName>
    <definedName name="TextRefCopy76" localSheetId="26">#REF!</definedName>
    <definedName name="TextRefCopy76" localSheetId="25">#REF!</definedName>
    <definedName name="TextRefCopy76" localSheetId="35">#REF!</definedName>
    <definedName name="TextRefCopy76" localSheetId="33">#REF!</definedName>
    <definedName name="TextRefCopy76">#REF!</definedName>
    <definedName name="TextRefCopy77" localSheetId="26">#REF!</definedName>
    <definedName name="TextRefCopy77" localSheetId="25">#REF!</definedName>
    <definedName name="TextRefCopy77" localSheetId="35">#REF!</definedName>
    <definedName name="TextRefCopy77" localSheetId="33">#REF!</definedName>
    <definedName name="TextRefCopy77">#REF!</definedName>
    <definedName name="TextRefCopy78" localSheetId="26">#REF!</definedName>
    <definedName name="TextRefCopy78" localSheetId="25">#REF!</definedName>
    <definedName name="TextRefCopy78" localSheetId="35">#REF!</definedName>
    <definedName name="TextRefCopy78" localSheetId="33">#REF!</definedName>
    <definedName name="TextRefCopy78">#REF!</definedName>
    <definedName name="TextRefCopy8" localSheetId="26">#REF!</definedName>
    <definedName name="TextRefCopy8" localSheetId="25">#REF!</definedName>
    <definedName name="TextRefCopy8" localSheetId="35">#REF!</definedName>
    <definedName name="TextRefCopy8" localSheetId="33">#REF!</definedName>
    <definedName name="TextRefCopy8" localSheetId="36">#REF!</definedName>
    <definedName name="TextRefCopy8">#REF!</definedName>
    <definedName name="TextRefCopy80" localSheetId="26">#REF!</definedName>
    <definedName name="TextRefCopy80" localSheetId="25">#REF!</definedName>
    <definedName name="TextRefCopy80" localSheetId="35">#REF!</definedName>
    <definedName name="TextRefCopy80" localSheetId="33">#REF!</definedName>
    <definedName name="TextRefCopy80">#REF!</definedName>
    <definedName name="TextRefCopy81" localSheetId="26">#REF!</definedName>
    <definedName name="TextRefCopy81" localSheetId="25">#REF!</definedName>
    <definedName name="TextRefCopy81" localSheetId="35">#REF!</definedName>
    <definedName name="TextRefCopy81" localSheetId="33">#REF!</definedName>
    <definedName name="TextRefCopy81">#REF!</definedName>
    <definedName name="TextRefCopy82" localSheetId="26">#REF!</definedName>
    <definedName name="TextRefCopy82" localSheetId="25">#REF!</definedName>
    <definedName name="TextRefCopy82" localSheetId="35">#REF!</definedName>
    <definedName name="TextRefCopy82" localSheetId="33">#REF!</definedName>
    <definedName name="TextRefCopy82">#REF!</definedName>
    <definedName name="TextRefCopy83" localSheetId="26">#REF!</definedName>
    <definedName name="TextRefCopy83" localSheetId="25">#REF!</definedName>
    <definedName name="TextRefCopy83" localSheetId="35">#REF!</definedName>
    <definedName name="TextRefCopy83" localSheetId="33">#REF!</definedName>
    <definedName name="TextRefCopy83">#REF!</definedName>
    <definedName name="TextRefCopy85" localSheetId="26">#REF!</definedName>
    <definedName name="TextRefCopy85" localSheetId="25">#REF!</definedName>
    <definedName name="TextRefCopy85" localSheetId="35">#REF!</definedName>
    <definedName name="TextRefCopy85" localSheetId="33">#REF!</definedName>
    <definedName name="TextRefCopy85">#REF!</definedName>
    <definedName name="TextRefCopy86" localSheetId="26">#REF!</definedName>
    <definedName name="TextRefCopy86" localSheetId="25">#REF!</definedName>
    <definedName name="TextRefCopy86" localSheetId="35">#REF!</definedName>
    <definedName name="TextRefCopy86" localSheetId="33">#REF!</definedName>
    <definedName name="TextRefCopy86">#REF!</definedName>
    <definedName name="TextRefCopy93" localSheetId="26">#REF!</definedName>
    <definedName name="TextRefCopy93" localSheetId="25">#REF!</definedName>
    <definedName name="TextRefCopy93" localSheetId="35">#REF!</definedName>
    <definedName name="TextRefCopy93" localSheetId="33">#REF!</definedName>
    <definedName name="TextRefCopy93">#REF!</definedName>
    <definedName name="TextRefCopy99" localSheetId="26">#REF!</definedName>
    <definedName name="TextRefCopy99" localSheetId="25">#REF!</definedName>
    <definedName name="TextRefCopy99" localSheetId="35">#REF!</definedName>
    <definedName name="TextRefCopy99" localSheetId="33">#REF!</definedName>
    <definedName name="TextRefCopy99">#REF!</definedName>
    <definedName name="TextRefCopyRangeCount" hidden="1">4</definedName>
    <definedName name="ThirdYear" localSheetId="26">#REF!</definedName>
    <definedName name="ThirdYear" localSheetId="25">#REF!</definedName>
    <definedName name="ThirdYear" localSheetId="35">#REF!</definedName>
    <definedName name="ThirdYear" localSheetId="33">#REF!</definedName>
    <definedName name="ThirdYear" localSheetId="36">#REF!</definedName>
    <definedName name="ThirdYear">#REF!</definedName>
    <definedName name="timing" localSheetId="26">#REF!</definedName>
    <definedName name="timing" localSheetId="25">#REF!</definedName>
    <definedName name="timing" localSheetId="35">#REF!</definedName>
    <definedName name="timing" localSheetId="33">#REF!</definedName>
    <definedName name="timing" localSheetId="36">#REF!</definedName>
    <definedName name="timing">#REF!</definedName>
    <definedName name="TitleFontSize" localSheetId="26">#REF!</definedName>
    <definedName name="TitleFontSize" localSheetId="25">#REF!</definedName>
    <definedName name="TitleFontSize" localSheetId="35">#REF!</definedName>
    <definedName name="TitleFontSize" localSheetId="33">#REF!</definedName>
    <definedName name="TitleFontSize" localSheetId="36">#REF!</definedName>
    <definedName name="TitleFontSize">#REF!</definedName>
    <definedName name="TitleLine1" localSheetId="26">#REF!</definedName>
    <definedName name="TitleLine1" localSheetId="25">#REF!</definedName>
    <definedName name="TitleLine1" localSheetId="35">#REF!</definedName>
    <definedName name="TitleLine1" localSheetId="33">#REF!</definedName>
    <definedName name="TitleLine1" localSheetId="36">#REF!</definedName>
    <definedName name="TitleLine1">#REF!</definedName>
    <definedName name="TitleLine2" localSheetId="26">#REF!</definedName>
    <definedName name="TitleLine2" localSheetId="25">#REF!</definedName>
    <definedName name="TitleLine2" localSheetId="35">#REF!</definedName>
    <definedName name="TitleLine2" localSheetId="33">#REF!</definedName>
    <definedName name="TitleLine2" localSheetId="36">#REF!</definedName>
    <definedName name="TitleLine2">#REF!</definedName>
    <definedName name="TitleLine3" localSheetId="26">#REF!</definedName>
    <definedName name="TitleLine3" localSheetId="25">#REF!</definedName>
    <definedName name="TitleLine3" localSheetId="35">#REF!</definedName>
    <definedName name="TitleLine3" localSheetId="33">#REF!</definedName>
    <definedName name="TitleLine3" localSheetId="36">#REF!</definedName>
    <definedName name="TitleLine3">#REF!</definedName>
    <definedName name="TitleLine4" localSheetId="26">#REF!</definedName>
    <definedName name="TitleLine4" localSheetId="25">#REF!</definedName>
    <definedName name="TitleLine4" localSheetId="35">#REF!</definedName>
    <definedName name="TitleLine4" localSheetId="33">#REF!</definedName>
    <definedName name="TitleLine4" localSheetId="36">#REF!</definedName>
    <definedName name="TitleLine4">#REF!</definedName>
    <definedName name="TitleLine5" localSheetId="26">#REF!</definedName>
    <definedName name="TitleLine5" localSheetId="25">#REF!</definedName>
    <definedName name="TitleLine5" localSheetId="35">#REF!</definedName>
    <definedName name="TitleLine5" localSheetId="33">#REF!</definedName>
    <definedName name="TitleLine5" localSheetId="36">#REF!</definedName>
    <definedName name="TitleLine5">#REF!</definedName>
    <definedName name="TLBB" localSheetId="28" hidden="1">{"'Check Request'!$A$1:$BF$37"}</definedName>
    <definedName name="TLBB" hidden="1">{"'Check Request'!$A$1:$BF$37"}</definedName>
    <definedName name="tobacco" localSheetId="26">#REF!</definedName>
    <definedName name="tobacco" localSheetId="25">#REF!</definedName>
    <definedName name="tobacco" localSheetId="35">#REF!</definedName>
    <definedName name="tobacco" localSheetId="33">#REF!</definedName>
    <definedName name="tobacco">#REF!</definedName>
    <definedName name="token" localSheetId="28" hidden="1">{"'page 1'!$K$13","'page 1'!$A$1:$V$50"}</definedName>
    <definedName name="token" hidden="1">{"'page 1'!$K$13","'page 1'!$A$1:$V$50"}</definedName>
    <definedName name="TOL">#N/A</definedName>
    <definedName name="Total_Debt" localSheetId="26">#REF!+#REF!</definedName>
    <definedName name="Total_Debt" localSheetId="25">#REF!+#REF!</definedName>
    <definedName name="Total_Debt" localSheetId="35">#REF!+#REF!</definedName>
    <definedName name="Total_Debt" localSheetId="33">#REF!+#REF!</definedName>
    <definedName name="Total_Debt">#REF!+#REF!</definedName>
    <definedName name="TotalCMTGearing2003" localSheetId="26">#REF!</definedName>
    <definedName name="TotalCMTGearing2003" localSheetId="25">#REF!</definedName>
    <definedName name="TotalCMTGearing2003" localSheetId="35">#REF!</definedName>
    <definedName name="TotalCMTGearing2003" localSheetId="33">#REF!</definedName>
    <definedName name="TotalCMTGearing2003">#REF!</definedName>
    <definedName name="TotalFunnelColor" localSheetId="26">#REF!</definedName>
    <definedName name="TotalFunnelColor" localSheetId="25">#REF!</definedName>
    <definedName name="TotalFunnelColor" localSheetId="35">#REF!</definedName>
    <definedName name="TotalFunnelColor" localSheetId="33">#REF!</definedName>
    <definedName name="TotalFunnelColor" localSheetId="36">#REF!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6" hidden="1">#REF!</definedName>
    <definedName name="TREND1" localSheetId="25" hidden="1">#REF!</definedName>
    <definedName name="TREND1" localSheetId="35" hidden="1">#REF!</definedName>
    <definedName name="TREND1" localSheetId="33" hidden="1">#REF!</definedName>
    <definedName name="TREND1" localSheetId="36" hidden="1">#REF!</definedName>
    <definedName name="TREND1" hidden="1">#REF!</definedName>
    <definedName name="TREND10" localSheetId="26" hidden="1">#REF!</definedName>
    <definedName name="TREND10" localSheetId="25" hidden="1">#REF!</definedName>
    <definedName name="TREND10" localSheetId="35" hidden="1">#REF!</definedName>
    <definedName name="TREND10" localSheetId="33" hidden="1">#REF!</definedName>
    <definedName name="TREND10" localSheetId="36" hidden="1">#REF!</definedName>
    <definedName name="TREND10" hidden="1">#REF!</definedName>
    <definedName name="TREND11" localSheetId="26" hidden="1">#REF!</definedName>
    <definedName name="TREND11" localSheetId="25" hidden="1">#REF!</definedName>
    <definedName name="TREND11" localSheetId="35" hidden="1">#REF!</definedName>
    <definedName name="TREND11" localSheetId="33" hidden="1">#REF!</definedName>
    <definedName name="TREND11" localSheetId="36" hidden="1">#REF!</definedName>
    <definedName name="TREND11" hidden="1">#REF!</definedName>
    <definedName name="TREND2" localSheetId="26" hidden="1">#REF!</definedName>
    <definedName name="TREND2" localSheetId="25" hidden="1">#REF!</definedName>
    <definedName name="TREND2" localSheetId="35" hidden="1">#REF!</definedName>
    <definedName name="TREND2" localSheetId="33" hidden="1">#REF!</definedName>
    <definedName name="TREND2" localSheetId="36" hidden="1">#REF!</definedName>
    <definedName name="TREND2" hidden="1">#REF!</definedName>
    <definedName name="TREND3" localSheetId="26" hidden="1">#REF!</definedName>
    <definedName name="TREND3" localSheetId="25" hidden="1">#REF!</definedName>
    <definedName name="TREND3" localSheetId="35" hidden="1">#REF!</definedName>
    <definedName name="TREND3" localSheetId="33" hidden="1">#REF!</definedName>
    <definedName name="TREND3" localSheetId="36" hidden="1">#REF!</definedName>
    <definedName name="TREND3" hidden="1">#REF!</definedName>
    <definedName name="TREND4" localSheetId="26" hidden="1">#REF!</definedName>
    <definedName name="TREND4" localSheetId="25" hidden="1">#REF!</definedName>
    <definedName name="TREND4" localSheetId="35" hidden="1">#REF!</definedName>
    <definedName name="TREND4" localSheetId="33" hidden="1">#REF!</definedName>
    <definedName name="TREND4" localSheetId="36" hidden="1">#REF!</definedName>
    <definedName name="TREND4" hidden="1">#REF!</definedName>
    <definedName name="TREND5" localSheetId="26" hidden="1">#REF!</definedName>
    <definedName name="TREND5" localSheetId="25" hidden="1">#REF!</definedName>
    <definedName name="TREND5" localSheetId="35" hidden="1">#REF!</definedName>
    <definedName name="TREND5" localSheetId="33" hidden="1">#REF!</definedName>
    <definedName name="TREND5" localSheetId="36" hidden="1">#REF!</definedName>
    <definedName name="TREND5" hidden="1">#REF!</definedName>
    <definedName name="TREND6" localSheetId="26" hidden="1">#REF!</definedName>
    <definedName name="TREND6" localSheetId="25" hidden="1">#REF!</definedName>
    <definedName name="TREND6" localSheetId="35" hidden="1">#REF!</definedName>
    <definedName name="TREND6" localSheetId="33" hidden="1">#REF!</definedName>
    <definedName name="TREND6" localSheetId="36" hidden="1">#REF!</definedName>
    <definedName name="TREND6" hidden="1">#REF!</definedName>
    <definedName name="TREND7" localSheetId="26" hidden="1">#REF!</definedName>
    <definedName name="TREND7" localSheetId="25" hidden="1">#REF!</definedName>
    <definedName name="TREND7" localSheetId="35" hidden="1">#REF!</definedName>
    <definedName name="TREND7" localSheetId="33" hidden="1">#REF!</definedName>
    <definedName name="TREND7" localSheetId="36" hidden="1">#REF!</definedName>
    <definedName name="TREND7" hidden="1">#REF!</definedName>
    <definedName name="trend8" localSheetId="26" hidden="1">#REF!</definedName>
    <definedName name="trend8" localSheetId="25" hidden="1">#REF!</definedName>
    <definedName name="trend8" localSheetId="35" hidden="1">#REF!</definedName>
    <definedName name="trend8" localSheetId="33" hidden="1">#REF!</definedName>
    <definedName name="trend8" localSheetId="36" hidden="1">#REF!</definedName>
    <definedName name="trend8" hidden="1">#REF!</definedName>
    <definedName name="TREND9" localSheetId="26" hidden="1">#REF!</definedName>
    <definedName name="TREND9" localSheetId="25" hidden="1">#REF!</definedName>
    <definedName name="TREND9" localSheetId="35" hidden="1">#REF!</definedName>
    <definedName name="TREND9" localSheetId="33" hidden="1">#REF!</definedName>
    <definedName name="TREND9" localSheetId="36" hidden="1">#REF!</definedName>
    <definedName name="TREND9" hidden="1">#REF!</definedName>
    <definedName name="TRent" localSheetId="26">#REF!</definedName>
    <definedName name="TRent" localSheetId="25">#REF!</definedName>
    <definedName name="TRent" localSheetId="35">#REF!</definedName>
    <definedName name="TRent" localSheetId="33">#REF!</definedName>
    <definedName name="TRent">#REF!</definedName>
    <definedName name="TSALES" localSheetId="26">#REF!</definedName>
    <definedName name="TSALES" localSheetId="25">#REF!</definedName>
    <definedName name="TSALES" localSheetId="35">#REF!</definedName>
    <definedName name="TSALES" localSheetId="33">#REF!</definedName>
    <definedName name="TSALES">#REF!</definedName>
    <definedName name="tta" localSheetId="28" hidden="1">{#N/A,#N/A,FALSE,"Virgin Flightdeck"}</definedName>
    <definedName name="tta" hidden="1">{#N/A,#N/A,FALSE,"Virgin Flightdeck"}</definedName>
    <definedName name="tta_1" localSheetId="28" hidden="1">{#N/A,#N/A,FALSE,"Virgin Flightdeck"}</definedName>
    <definedName name="tta_1" hidden="1">{#N/A,#N/A,FALSE,"Virgin Flightdeck"}</definedName>
    <definedName name="tta_1_1" localSheetId="28" hidden="1">{#N/A,#N/A,FALSE,"Virgin Flightdeck"}</definedName>
    <definedName name="tta_1_1" hidden="1">{#N/A,#N/A,FALSE,"Virgin Flightdeck"}</definedName>
    <definedName name="ttt" localSheetId="28" hidden="1">{#N/A,#N/A,TRUE,"Funnel";#N/A,#N/A,TRUE,"FunnelMatrix"}</definedName>
    <definedName name="ttt" hidden="1">{#N/A,#N/A,TRUE,"Funnel";#N/A,#N/A,TRUE,"FunnelMatrix"}</definedName>
    <definedName name="tttt" localSheetId="28" hidden="1">{#N/A,#N/A,FALSE,"Report Data";#N/A,#N/A,FALSE,"COMP POOL";#N/A,#N/A,FALSE,"COMP POOL NB95";#N/A,#N/A,FALSE,"COMP POOL NB94"}</definedName>
    <definedName name="tttt" hidden="1">{#N/A,#N/A,FALSE,"Report Data";#N/A,#N/A,FALSE,"COMP POOL";#N/A,#N/A,FALSE,"COMP POOL NB95";#N/A,#N/A,FALSE,"COMP POOL NB94"}</definedName>
    <definedName name="tttt_1" localSheetId="28" hidden="1">{#N/A,#N/A,FALSE,"Report Data";#N/A,#N/A,FALSE,"COMP POOL";#N/A,#N/A,FALSE,"COMP POOL NB95";#N/A,#N/A,FALSE,"COMP POOL NB94"}</definedName>
    <definedName name="tttt_1" hidden="1">{#N/A,#N/A,FALSE,"Report Data";#N/A,#N/A,FALSE,"COMP POOL";#N/A,#N/A,FALSE,"COMP POOL NB95";#N/A,#N/A,FALSE,"COMP POOL NB94"}</definedName>
    <definedName name="tttt_1_1" localSheetId="28" hidden="1">{#N/A,#N/A,FALSE,"Report Data";#N/A,#N/A,FALSE,"COMP POOL";#N/A,#N/A,FALSE,"COMP POOL NB95";#N/A,#N/A,FALSE,"COMP POOL NB94"}</definedName>
    <definedName name="tttt_1_1" hidden="1">{#N/A,#N/A,FALSE,"Report Data";#N/A,#N/A,FALSE,"COMP POOL";#N/A,#N/A,FALSE,"COMP POOL NB95";#N/A,#N/A,FALSE,"COMP POOL NB94"}</definedName>
    <definedName name="tttt2222222" localSheetId="26">#REF!</definedName>
    <definedName name="tttt2222222" localSheetId="25">#REF!</definedName>
    <definedName name="tttt2222222" localSheetId="35">#REF!</definedName>
    <definedName name="tttt2222222" localSheetId="33">#REF!</definedName>
    <definedName name="tttt2222222">#REF!</definedName>
    <definedName name="ttxxxx" localSheetId="26">#REF!</definedName>
    <definedName name="ttxxxx" localSheetId="25">#REF!</definedName>
    <definedName name="ttxxxx" localSheetId="35">#REF!</definedName>
    <definedName name="ttxxxx" localSheetId="33">#REF!</definedName>
    <definedName name="ttxxxx">#REF!</definedName>
    <definedName name="ttxxxxx" localSheetId="26">#REF!</definedName>
    <definedName name="ttxxxxx" localSheetId="25">#REF!</definedName>
    <definedName name="ttxxxxx" localSheetId="35">#REF!</definedName>
    <definedName name="ttxxxxx" localSheetId="33">#REF!</definedName>
    <definedName name="ttxxxxx">#REF!</definedName>
    <definedName name="Tulsa" localSheetId="28" hidden="1">{#N/A,#N/A,FALSE,"Report Data";#N/A,#N/A,FALSE,"COMP POOL";#N/A,#N/A,FALSE,"COMP POOL NB95";#N/A,#N/A,FALSE,"COMP POOL NB94"}</definedName>
    <definedName name="Tulsa" hidden="1">{#N/A,#N/A,FALSE,"Report Data";#N/A,#N/A,FALSE,"COMP POOL";#N/A,#N/A,FALSE,"COMP POOL NB95";#N/A,#N/A,FALSE,"COMP POOL NB94"}</definedName>
    <definedName name="Tulsa_1" localSheetId="28" hidden="1">{#N/A,#N/A,FALSE,"Report Data";#N/A,#N/A,FALSE,"COMP POOL";#N/A,#N/A,FALSE,"COMP POOL NB95";#N/A,#N/A,FALSE,"COMP POOL NB94"}</definedName>
    <definedName name="Tulsa_1" hidden="1">{#N/A,#N/A,FALSE,"Report Data";#N/A,#N/A,FALSE,"COMP POOL";#N/A,#N/A,FALSE,"COMP POOL NB95";#N/A,#N/A,FALSE,"COMP POOL NB94"}</definedName>
    <definedName name="Tulsa_1_1" localSheetId="28" hidden="1">{#N/A,#N/A,FALSE,"Report Data";#N/A,#N/A,FALSE,"COMP POOL";#N/A,#N/A,FALSE,"COMP POOL NB95";#N/A,#N/A,FALSE,"COMP POOL NB94"}</definedName>
    <definedName name="Tulsa_1_1" hidden="1">{#N/A,#N/A,FALSE,"Report Data";#N/A,#N/A,FALSE,"COMP POOL";#N/A,#N/A,FALSE,"COMP POOL NB95";#N/A,#N/A,FALSE,"COMP POOL NB94"}</definedName>
    <definedName name="u" localSheetId="28" hidden="1">{"mgmt forecast",#N/A,FALSE,"Mgmt Forecast";"dcf table",#N/A,FALSE,"Mgmt Forecast";"sensitivity",#N/A,FALSE,"Mgmt Forecast";"table inputs",#N/A,FALSE,"Mgmt Forecast";"calculations",#N/A,FALSE,"Mgmt Forecast"}</definedName>
    <definedName name="u" hidden="1">{"mgmt forecast",#N/A,FALSE,"Mgmt Forecast";"dcf table",#N/A,FALSE,"Mgmt Forecast";"sensitivity",#N/A,FALSE,"Mgmt Forecast";"table inputs",#N/A,FALSE,"Mgmt Forecast";"calculations",#N/A,FALSE,"Mgmt Forecast"}</definedName>
    <definedName name="u_1" localSheetId="28"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localSheetId="28"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6" hidden="1">#REF!</definedName>
    <definedName name="ucucucucucu" localSheetId="25" hidden="1">#REF!</definedName>
    <definedName name="ucucucucucu" localSheetId="35" hidden="1">#REF!</definedName>
    <definedName name="ucucucucucu" localSheetId="33" hidden="1">#REF!</definedName>
    <definedName name="ucucucucucu" localSheetId="36" hidden="1">#REF!</definedName>
    <definedName name="ucucucucucu" hidden="1">#REF!</definedName>
    <definedName name="ufliuf" localSheetId="28" hidden="1">{#N/A,#N/A,FALSE,"Virgin Flightdeck"}</definedName>
    <definedName name="ufliuf" hidden="1">{#N/A,#N/A,FALSE,"Virgin Flightdeck"}</definedName>
    <definedName name="ufliuf_1" localSheetId="28" hidden="1">{#N/A,#N/A,FALSE,"Virgin Flightdeck"}</definedName>
    <definedName name="ufliuf_1" hidden="1">{#N/A,#N/A,FALSE,"Virgin Flightdeck"}</definedName>
    <definedName name="ufliuf_1_1" localSheetId="28" hidden="1">{#N/A,#N/A,FALSE,"Virgin Flightdeck"}</definedName>
    <definedName name="ufliuf_1_1" hidden="1">{#N/A,#N/A,FALSE,"Virgin Flightdeck"}</definedName>
    <definedName name="UFPrn20021021133940" localSheetId="26">#REF!</definedName>
    <definedName name="UFPrn20021021133940" localSheetId="25">#REF!</definedName>
    <definedName name="UFPrn20021021133940" localSheetId="35">#REF!</definedName>
    <definedName name="UFPrn20021021133940" localSheetId="33">#REF!</definedName>
    <definedName name="UFPrn20021021133940" localSheetId="36">#REF!</definedName>
    <definedName name="UFPrn20021021133940">#REF!</definedName>
    <definedName name="UFPrn20040313123513" localSheetId="26">#REF!</definedName>
    <definedName name="UFPrn20040313123513" localSheetId="25">#REF!</definedName>
    <definedName name="UFPrn20040313123513" localSheetId="35">#REF!</definedName>
    <definedName name="UFPrn20040313123513" localSheetId="33">#REF!</definedName>
    <definedName name="UFPrn20040313123513" localSheetId="36">#REF!</definedName>
    <definedName name="UFPrn20040313123513">#REF!</definedName>
    <definedName name="UFPrn20040313123541" localSheetId="26">#REF!</definedName>
    <definedName name="UFPrn20040313123541" localSheetId="25">#REF!</definedName>
    <definedName name="UFPrn20040313123541" localSheetId="35">#REF!</definedName>
    <definedName name="UFPrn20040313123541" localSheetId="33">#REF!</definedName>
    <definedName name="UFPrn20040313123541" localSheetId="36">#REF!</definedName>
    <definedName name="UFPrn20040313123541">#REF!</definedName>
    <definedName name="UFPrn20040330183527" localSheetId="26">#REF!</definedName>
    <definedName name="UFPrn20040330183527" localSheetId="25">#REF!</definedName>
    <definedName name="UFPrn20040330183527" localSheetId="35">#REF!</definedName>
    <definedName name="UFPrn20040330183527" localSheetId="33">#REF!</definedName>
    <definedName name="UFPrn20040330183527" localSheetId="36">#REF!</definedName>
    <definedName name="UFPrn20040330183527">#REF!</definedName>
    <definedName name="UFPrn20040806192158" localSheetId="26">#REF!</definedName>
    <definedName name="UFPrn20040806192158" localSheetId="25">#REF!</definedName>
    <definedName name="UFPrn20040806192158" localSheetId="35">#REF!</definedName>
    <definedName name="UFPrn20040806192158" localSheetId="33">#REF!</definedName>
    <definedName name="UFPrn20040806192158">#REF!</definedName>
    <definedName name="UFPrn20050125150746" localSheetId="26">#REF!</definedName>
    <definedName name="UFPrn20050125150746" localSheetId="25">#REF!</definedName>
    <definedName name="UFPrn20050125150746" localSheetId="35">#REF!</definedName>
    <definedName name="UFPrn20050125150746" localSheetId="33">#REF!</definedName>
    <definedName name="UFPrn20050125150746" localSheetId="36">#REF!</definedName>
    <definedName name="UFPrn20050125150746">#REF!</definedName>
    <definedName name="UFPrn20060217172025" localSheetId="26">#REF!</definedName>
    <definedName name="UFPrn20060217172025" localSheetId="25">#REF!</definedName>
    <definedName name="UFPrn20060217172025" localSheetId="35">#REF!</definedName>
    <definedName name="UFPrn20060217172025" localSheetId="33">#REF!</definedName>
    <definedName name="UFPrn20060217172025" localSheetId="36">#REF!</definedName>
    <definedName name="UFPrn20060217172025">#REF!</definedName>
    <definedName name="UFPrn20060217173233" localSheetId="26">#REF!</definedName>
    <definedName name="UFPrn20060217173233" localSheetId="25">#REF!</definedName>
    <definedName name="UFPrn20060217173233" localSheetId="35">#REF!</definedName>
    <definedName name="UFPrn20060217173233" localSheetId="33">#REF!</definedName>
    <definedName name="UFPrn20060217173233" localSheetId="36">#REF!</definedName>
    <definedName name="UFPrn20060217173233">#REF!</definedName>
    <definedName name="UFPrn20060217173451" localSheetId="26">#REF!</definedName>
    <definedName name="UFPrn20060217173451" localSheetId="25">#REF!</definedName>
    <definedName name="UFPrn20060217173451" localSheetId="35">#REF!</definedName>
    <definedName name="UFPrn20060217173451" localSheetId="33">#REF!</definedName>
    <definedName name="UFPrn20060217173451" localSheetId="36">#REF!</definedName>
    <definedName name="UFPrn20060217173451">#REF!</definedName>
    <definedName name="UFPrn20060321142051" localSheetId="26">#REF!</definedName>
    <definedName name="UFPrn20060321142051" localSheetId="25">#REF!</definedName>
    <definedName name="UFPrn20060321142051" localSheetId="35">#REF!</definedName>
    <definedName name="UFPrn20060321142051" localSheetId="33">#REF!</definedName>
    <definedName name="UFPrn20060321142051" localSheetId="36">#REF!</definedName>
    <definedName name="UFPrn20060321142051">#REF!</definedName>
    <definedName name="UFPrn20060321142218" localSheetId="26">#REF!</definedName>
    <definedName name="UFPrn20060321142218" localSheetId="25">#REF!</definedName>
    <definedName name="UFPrn20060321142218" localSheetId="35">#REF!</definedName>
    <definedName name="UFPrn20060321142218" localSheetId="33">#REF!</definedName>
    <definedName name="UFPrn20060321142218" localSheetId="36">#REF!</definedName>
    <definedName name="UFPrn20060321142218">#REF!</definedName>
    <definedName name="UFPrn20060321142239" localSheetId="26">#REF!</definedName>
    <definedName name="UFPrn20060321142239" localSheetId="25">#REF!</definedName>
    <definedName name="UFPrn20060321142239" localSheetId="35">#REF!</definedName>
    <definedName name="UFPrn20060321142239" localSheetId="33">#REF!</definedName>
    <definedName name="UFPrn20060321142239" localSheetId="36">#REF!</definedName>
    <definedName name="UFPrn20060321142239">#REF!</definedName>
    <definedName name="UFPrn20060407162520" localSheetId="26">#REF!</definedName>
    <definedName name="UFPrn20060407162520" localSheetId="25">#REF!</definedName>
    <definedName name="UFPrn20060407162520" localSheetId="35">#REF!</definedName>
    <definedName name="UFPrn20060407162520" localSheetId="33">#REF!</definedName>
    <definedName name="UFPrn20060407162520" localSheetId="36">#REF!</definedName>
    <definedName name="UFPrn20060407162520">#REF!</definedName>
    <definedName name="UFPrn20060407163451" localSheetId="26">#REF!</definedName>
    <definedName name="UFPrn20060407163451" localSheetId="25">#REF!</definedName>
    <definedName name="UFPrn20060407163451" localSheetId="35">#REF!</definedName>
    <definedName name="UFPrn20060407163451" localSheetId="33">#REF!</definedName>
    <definedName name="UFPrn20060407163451" localSheetId="36">#REF!</definedName>
    <definedName name="UFPrn20060407163451">#REF!</definedName>
    <definedName name="UFPrn20060407163501" localSheetId="26">#REF!</definedName>
    <definedName name="UFPrn20060407163501" localSheetId="25">#REF!</definedName>
    <definedName name="UFPrn20060407163501" localSheetId="35">#REF!</definedName>
    <definedName name="UFPrn20060407163501" localSheetId="33">#REF!</definedName>
    <definedName name="UFPrn20060407163501" localSheetId="36">#REF!</definedName>
    <definedName name="UFPrn20060407163501">#REF!</definedName>
    <definedName name="UFPrn20060407163512" localSheetId="26">#REF!</definedName>
    <definedName name="UFPrn20060407163512" localSheetId="25">#REF!</definedName>
    <definedName name="UFPrn20060407163512" localSheetId="35">#REF!</definedName>
    <definedName name="UFPrn20060407163512" localSheetId="33">#REF!</definedName>
    <definedName name="UFPrn20060407163512" localSheetId="36">#REF!</definedName>
    <definedName name="UFPrn20060407163512">#REF!</definedName>
    <definedName name="UFPrn20060412165425" localSheetId="26">#REF!</definedName>
    <definedName name="UFPrn20060412165425" localSheetId="25">#REF!</definedName>
    <definedName name="UFPrn20060412165425" localSheetId="35">#REF!</definedName>
    <definedName name="UFPrn20060412165425" localSheetId="33">#REF!</definedName>
    <definedName name="UFPrn20060412165425">#REF!</definedName>
    <definedName name="UFPrn20060420165121" localSheetId="26">#REF!</definedName>
    <definedName name="UFPrn20060420165121" localSheetId="25">#REF!</definedName>
    <definedName name="UFPrn20060420165121" localSheetId="35">#REF!</definedName>
    <definedName name="UFPrn20060420165121" localSheetId="33">#REF!</definedName>
    <definedName name="UFPrn20060420165121" localSheetId="36">#REF!</definedName>
    <definedName name="UFPrn20060420165121">#REF!</definedName>
    <definedName name="UFPrn20060429170330" localSheetId="26">#REF!</definedName>
    <definedName name="UFPrn20060429170330" localSheetId="25">#REF!</definedName>
    <definedName name="UFPrn20060429170330" localSheetId="35">#REF!</definedName>
    <definedName name="UFPrn20060429170330" localSheetId="33">#REF!</definedName>
    <definedName name="UFPrn20060429170330" localSheetId="36">#REF!</definedName>
    <definedName name="UFPrn20060429170330">#REF!</definedName>
    <definedName name="UFPrn20060809121159" localSheetId="26">#REF!</definedName>
    <definedName name="UFPrn20060809121159" localSheetId="25">#REF!</definedName>
    <definedName name="UFPrn20060809121159" localSheetId="35">#REF!</definedName>
    <definedName name="UFPrn20060809121159" localSheetId="33">#REF!</definedName>
    <definedName name="UFPrn20060809121159">#REF!</definedName>
    <definedName name="UFPrn20061017171437" localSheetId="26">#REF!</definedName>
    <definedName name="UFPrn20061017171437" localSheetId="25">#REF!</definedName>
    <definedName name="UFPrn20061017171437" localSheetId="35">#REF!</definedName>
    <definedName name="UFPrn20061017171437" localSheetId="33">#REF!</definedName>
    <definedName name="UFPrn20061017171437" localSheetId="36">#REF!</definedName>
    <definedName name="UFPrn20061017171437">#REF!</definedName>
    <definedName name="UFPrn20061020083749" localSheetId="26">#REF!</definedName>
    <definedName name="UFPrn20061020083749" localSheetId="25">#REF!</definedName>
    <definedName name="UFPrn20061020083749" localSheetId="35">#REF!</definedName>
    <definedName name="UFPrn20061020083749" localSheetId="33">#REF!</definedName>
    <definedName name="UFPrn20061020083749" localSheetId="36">#REF!</definedName>
    <definedName name="UFPrn20061020083749">#REF!</definedName>
    <definedName name="UFPrn20081216115043" localSheetId="26">#REF!</definedName>
    <definedName name="UFPrn20081216115043" localSheetId="25">#REF!</definedName>
    <definedName name="UFPrn20081216115043" localSheetId="35">#REF!</definedName>
    <definedName name="UFPrn20081216115043" localSheetId="33">#REF!</definedName>
    <definedName name="UFPrn20081216115043">#REF!</definedName>
    <definedName name="UFPrn20081216120053" localSheetId="26">#REF!</definedName>
    <definedName name="UFPrn20081216120053" localSheetId="25">#REF!</definedName>
    <definedName name="UFPrn20081216120053" localSheetId="35">#REF!</definedName>
    <definedName name="UFPrn20081216120053" localSheetId="33">#REF!</definedName>
    <definedName name="UFPrn20081216120053">#REF!</definedName>
    <definedName name="UFPrn20081216120925" localSheetId="26">#REF!</definedName>
    <definedName name="UFPrn20081216120925" localSheetId="25">#REF!</definedName>
    <definedName name="UFPrn20081216120925" localSheetId="35">#REF!</definedName>
    <definedName name="UFPrn20081216120925" localSheetId="33">#REF!</definedName>
    <definedName name="UFPrn20081216120925">#REF!</definedName>
    <definedName name="UFPrn20081216121510" localSheetId="26">#REF!</definedName>
    <definedName name="UFPrn20081216121510" localSheetId="25">#REF!</definedName>
    <definedName name="UFPrn20081216121510" localSheetId="35">#REF!</definedName>
    <definedName name="UFPrn20081216121510" localSheetId="33">#REF!</definedName>
    <definedName name="UFPrn20081216121510">#REF!</definedName>
    <definedName name="UFPrn20081216121837" localSheetId="26">#REF!</definedName>
    <definedName name="UFPrn20081216121837" localSheetId="25">#REF!</definedName>
    <definedName name="UFPrn20081216121837" localSheetId="35">#REF!</definedName>
    <definedName name="UFPrn20081216121837" localSheetId="33">#REF!</definedName>
    <definedName name="UFPrn20081216121837">#REF!</definedName>
    <definedName name="UFPrn20081216122615" localSheetId="26">#REF!</definedName>
    <definedName name="UFPrn20081216122615" localSheetId="25">#REF!</definedName>
    <definedName name="UFPrn20081216122615" localSheetId="35">#REF!</definedName>
    <definedName name="UFPrn20081216122615" localSheetId="33">#REF!</definedName>
    <definedName name="UFPrn20081216122615">#REF!</definedName>
    <definedName name="UFPrn20081216123055" localSheetId="26">#REF!</definedName>
    <definedName name="UFPrn20081216123055" localSheetId="25">#REF!</definedName>
    <definedName name="UFPrn20081216123055" localSheetId="35">#REF!</definedName>
    <definedName name="UFPrn20081216123055" localSheetId="33">#REF!</definedName>
    <definedName name="UFPrn20081216123055">#REF!</definedName>
    <definedName name="UFPrn20081216123335" localSheetId="26">#REF!</definedName>
    <definedName name="UFPrn20081216123335" localSheetId="25">#REF!</definedName>
    <definedName name="UFPrn20081216123335" localSheetId="35">#REF!</definedName>
    <definedName name="UFPrn20081216123335" localSheetId="33">#REF!</definedName>
    <definedName name="UFPrn20081216123335">#REF!</definedName>
    <definedName name="UFPrn20081216123843" localSheetId="26">#REF!</definedName>
    <definedName name="UFPrn20081216123843" localSheetId="25">#REF!</definedName>
    <definedName name="UFPrn20081216123843" localSheetId="35">#REF!</definedName>
    <definedName name="UFPrn20081216123843" localSheetId="33">#REF!</definedName>
    <definedName name="UFPrn20081216123843">#REF!</definedName>
    <definedName name="UFPrn20081216124245" localSheetId="26">#REF!</definedName>
    <definedName name="UFPrn20081216124245" localSheetId="25">#REF!</definedName>
    <definedName name="UFPrn20081216124245" localSheetId="35">#REF!</definedName>
    <definedName name="UFPrn20081216124245" localSheetId="33">#REF!</definedName>
    <definedName name="UFPrn20081216124245">#REF!</definedName>
    <definedName name="UFPrn20081216124427" localSheetId="26">#REF!</definedName>
    <definedName name="UFPrn20081216124427" localSheetId="25">#REF!</definedName>
    <definedName name="UFPrn20081216124427" localSheetId="35">#REF!</definedName>
    <definedName name="UFPrn20081216124427" localSheetId="33">#REF!</definedName>
    <definedName name="UFPrn20081216124427">#REF!</definedName>
    <definedName name="UFPrn20081216125352" localSheetId="26">#REF!</definedName>
    <definedName name="UFPrn20081216125352" localSheetId="25">#REF!</definedName>
    <definedName name="UFPrn20081216125352" localSheetId="35">#REF!</definedName>
    <definedName name="UFPrn20081216125352" localSheetId="33">#REF!</definedName>
    <definedName name="UFPrn20081216125352">#REF!</definedName>
    <definedName name="UFPrn20081216125725" localSheetId="26">#REF!</definedName>
    <definedName name="UFPrn20081216125725" localSheetId="25">#REF!</definedName>
    <definedName name="UFPrn20081216125725" localSheetId="35">#REF!</definedName>
    <definedName name="UFPrn20081216125725" localSheetId="33">#REF!</definedName>
    <definedName name="UFPrn20081216125725">#REF!</definedName>
    <definedName name="UFPrn20081216130157" localSheetId="26">#REF!</definedName>
    <definedName name="UFPrn20081216130157" localSheetId="25">#REF!</definedName>
    <definedName name="UFPrn20081216130157" localSheetId="35">#REF!</definedName>
    <definedName name="UFPrn20081216130157" localSheetId="33">#REF!</definedName>
    <definedName name="UFPrn20081216130157">#REF!</definedName>
    <definedName name="UFPrn20081216130943" localSheetId="26">#REF!</definedName>
    <definedName name="UFPrn20081216130943" localSheetId="25">#REF!</definedName>
    <definedName name="UFPrn20081216130943" localSheetId="35">#REF!</definedName>
    <definedName name="UFPrn20081216130943" localSheetId="33">#REF!</definedName>
    <definedName name="UFPrn20081216130943">#REF!</definedName>
    <definedName name="UFPrn20081216180002" localSheetId="26">#REF!</definedName>
    <definedName name="UFPrn20081216180002" localSheetId="25">#REF!</definedName>
    <definedName name="UFPrn20081216180002" localSheetId="35">#REF!</definedName>
    <definedName name="UFPrn20081216180002" localSheetId="33">#REF!</definedName>
    <definedName name="UFPrn20081216180002">#REF!</definedName>
    <definedName name="UFPrn20081217091353" localSheetId="26">#REF!</definedName>
    <definedName name="UFPrn20081217091353" localSheetId="25">#REF!</definedName>
    <definedName name="UFPrn20081217091353" localSheetId="35">#REF!</definedName>
    <definedName name="UFPrn20081217091353" localSheetId="33">#REF!</definedName>
    <definedName name="UFPrn20081217091353">#REF!</definedName>
    <definedName name="UFPrn20081217091619" localSheetId="26">#REF!</definedName>
    <definedName name="UFPrn20081217091619" localSheetId="25">#REF!</definedName>
    <definedName name="UFPrn20081217091619" localSheetId="35">#REF!</definedName>
    <definedName name="UFPrn20081217091619" localSheetId="33">#REF!</definedName>
    <definedName name="UFPrn20081217091619">#REF!</definedName>
    <definedName name="uio" localSheetId="28" hidden="1">{"mgmt forecast",#N/A,FALSE,"Mgmt Forecast";"dcf table",#N/A,FALSE,"Mgmt Forecast";"sensitivity",#N/A,FALSE,"Mgmt Forecast";"table inputs",#N/A,FALSE,"Mgmt Forecast";"calculations",#N/A,FALSE,"Mgmt Forecast"}</definedName>
    <definedName name="uio" hidden="1">{"mgmt forecast",#N/A,FALSE,"Mgmt Forecast";"dcf table",#N/A,FALSE,"Mgmt Forecast";"sensitivity",#N/A,FALSE,"Mgmt Forecast";"table inputs",#N/A,FALSE,"Mgmt Forecast";"calculations",#N/A,FALSE,"Mgmt Forecast"}</definedName>
    <definedName name="uio_1" localSheetId="28"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localSheetId="28"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6">#REF!</definedName>
    <definedName name="uit" localSheetId="25">#REF!</definedName>
    <definedName name="uit" localSheetId="35">#REF!</definedName>
    <definedName name="uit" localSheetId="33">#REF!</definedName>
    <definedName name="uit">#REF!</definedName>
    <definedName name="ululululu" localSheetId="26" hidden="1">#REF!</definedName>
    <definedName name="ululululu" localSheetId="25" hidden="1">#REF!</definedName>
    <definedName name="ululululu" localSheetId="35" hidden="1">#REF!</definedName>
    <definedName name="ululululu" localSheetId="33" hidden="1">#REF!</definedName>
    <definedName name="ululululu" localSheetId="36" hidden="1">#REF!</definedName>
    <definedName name="ululululu" hidden="1">#REF!</definedName>
    <definedName name="UMTS" localSheetId="28">Main.SAPF4Help()</definedName>
    <definedName name="UMTS" localSheetId="26">Main.SAPF4Help()</definedName>
    <definedName name="UMTS" localSheetId="25">Main.SAPF4Help()</definedName>
    <definedName name="UMTS" localSheetId="35">Main.SAPF4Help()</definedName>
    <definedName name="UMTS" localSheetId="33">Main.SAPF4Help()</definedName>
    <definedName name="UMTS" localSheetId="36">Main.SAPF4Help()</definedName>
    <definedName name="UMTS">Main.SAPF4Help()</definedName>
    <definedName name="upgr" localSheetId="26">#REF!</definedName>
    <definedName name="upgr" localSheetId="25">#REF!</definedName>
    <definedName name="upgr" localSheetId="35">#REF!</definedName>
    <definedName name="upgr" localSheetId="33">#REF!</definedName>
    <definedName name="upgr" localSheetId="36">#REF!</definedName>
    <definedName name="upgr">#REF!</definedName>
    <definedName name="ups" localSheetId="28" hidden="1">{"'Sheet1'!$A$1:$J$57","'Sheet1'!$F$32:$F$35","'Sheet1'!$F$32:$F$36"}</definedName>
    <definedName name="ups" hidden="1">{"'Sheet1'!$A$1:$J$57","'Sheet1'!$F$32:$F$35","'Sheet1'!$F$32:$F$36"}</definedName>
    <definedName name="User_Bytes" localSheetId="26">#REF!</definedName>
    <definedName name="User_Bytes" localSheetId="25">#REF!</definedName>
    <definedName name="User_Bytes" localSheetId="35">#REF!</definedName>
    <definedName name="User_Bytes" localSheetId="33">#REF!</definedName>
    <definedName name="User_Bytes" localSheetId="36">#REF!</definedName>
    <definedName name="User_Bytes">#REF!</definedName>
    <definedName name="UserName" localSheetId="26">#REF!</definedName>
    <definedName name="UserName" localSheetId="25">#REF!</definedName>
    <definedName name="UserName" localSheetId="35">#REF!</definedName>
    <definedName name="UserName" localSheetId="33">#REF!</definedName>
    <definedName name="UserName" localSheetId="36">#REF!</definedName>
    <definedName name="UserName">#REF!</definedName>
    <definedName name="uy" localSheetId="26">#REF!</definedName>
    <definedName name="uy" localSheetId="25">#REF!</definedName>
    <definedName name="uy" localSheetId="35">#REF!</definedName>
    <definedName name="uy" localSheetId="33">#REF!</definedName>
    <definedName name="uy">#REF!</definedName>
    <definedName name="uytry" localSheetId="28" hidden="1">{"mgmt forecast",#N/A,FALSE,"Mgmt Forecast";"dcf table",#N/A,FALSE,"Mgmt Forecast";"sensitivity",#N/A,FALSE,"Mgmt Forecast";"table inputs",#N/A,FALSE,"Mgmt Forecast";"calculations",#N/A,FALSE,"Mgmt Forecast"}</definedName>
    <definedName name="uytry" hidden="1">{"mgmt forecast",#N/A,FALSE,"Mgmt Forecast";"dcf table",#N/A,FALSE,"Mgmt Forecast";"sensitivity",#N/A,FALSE,"Mgmt Forecast";"table inputs",#N/A,FALSE,"Mgmt Forecast";"calculations",#N/A,FALSE,"Mgmt Forecast"}</definedName>
    <definedName name="uytry_1" localSheetId="28"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localSheetId="28"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localSheetId="28" hidden="1">{#N/A,#N/A,FALSE,"Aging Summary";#N/A,#N/A,FALSE,"Ratio Analysis";#N/A,#N/A,FALSE,"Test 120 Day Accts";#N/A,#N/A,FALSE,"Tickmarks"}</definedName>
    <definedName name="v" hidden="1">{#N/A,#N/A,FALSE,"Aging Summary";#N/A,#N/A,FALSE,"Ratio Analysis";#N/A,#N/A,FALSE,"Test 120 Day Accts";#N/A,#N/A,FALSE,"Tickmarks"}</definedName>
    <definedName name="v_1" localSheetId="28" hidden="1">{#N/A,#N/A,FALSE,"Aging Summary";#N/A,#N/A,FALSE,"Ratio Analysis";#N/A,#N/A,FALSE,"Test 120 Day Accts";#N/A,#N/A,FALSE,"Tickmarks"}</definedName>
    <definedName name="v_1" hidden="1">{#N/A,#N/A,FALSE,"Aging Summary";#N/A,#N/A,FALSE,"Ratio Analysis";#N/A,#N/A,FALSE,"Test 120 Day Accts";#N/A,#N/A,FALSE,"Tickmarks"}</definedName>
    <definedName name="v_1_1" localSheetId="28"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6">#REF!</definedName>
    <definedName name="v2222222222222222" localSheetId="25">#REF!</definedName>
    <definedName name="v2222222222222222" localSheetId="35">#REF!</definedName>
    <definedName name="v2222222222222222" localSheetId="33">#REF!</definedName>
    <definedName name="v2222222222222222">#REF!</definedName>
    <definedName name="ValRule" localSheetId="26">#REF!</definedName>
    <definedName name="ValRule" localSheetId="25">#REF!</definedName>
    <definedName name="ValRule" localSheetId="35">#REF!</definedName>
    <definedName name="ValRule" localSheetId="33">#REF!</definedName>
    <definedName name="ValRule">#REF!</definedName>
    <definedName name="ValuationOffset" localSheetId="26">#REF!</definedName>
    <definedName name="ValuationOffset" localSheetId="25">#REF!</definedName>
    <definedName name="ValuationOffset" localSheetId="35">#REF!</definedName>
    <definedName name="ValuationOffset" localSheetId="33">#REF!</definedName>
    <definedName name="ValuationOffset">#REF!</definedName>
    <definedName name="value">3</definedName>
    <definedName name="VAT_Paid" localSheetId="26">#REF!</definedName>
    <definedName name="VAT_Paid" localSheetId="25">#REF!</definedName>
    <definedName name="VAT_Paid" localSheetId="35">#REF!</definedName>
    <definedName name="VAT_Paid" localSheetId="33">#REF!</definedName>
    <definedName name="VAT_Paid">#REF!</definedName>
    <definedName name="vb" localSheetId="28" hidden="1">{"HOMEPAGE",#N/A,FALSE,"HOME";"Report1_Q1",#N/A,FALSE,"REPORT1"}</definedName>
    <definedName name="vb" hidden="1">{"HOMEPAGE",#N/A,FALSE,"HOME";"Report1_Q1",#N/A,FALSE,"REPORT1"}</definedName>
    <definedName name="versionno">1</definedName>
    <definedName name="vfvfvxf" localSheetId="26" hidden="1">#REF!</definedName>
    <definedName name="vfvfvxf" localSheetId="25" hidden="1">#REF!</definedName>
    <definedName name="vfvfvxf" localSheetId="35" hidden="1">#REF!</definedName>
    <definedName name="vfvfvxf" localSheetId="33" hidden="1">#REF!</definedName>
    <definedName name="vfvfvxf" localSheetId="36" hidden="1">#REF!</definedName>
    <definedName name="vfvfvxf" hidden="1">#REF!</definedName>
    <definedName name="vv" localSheetId="2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localSheetId="28" hidden="1">{"contributory1",#N/A,FALSE,"Contributory Assets Detail";"contributory2",#N/A,FALSE,"Contributory Assets Detail"}</definedName>
    <definedName name="vv_1" hidden="1">{"contributory1",#N/A,FALSE,"Contributory Assets Detail";"contributory2",#N/A,FALSE,"Contributory Assets Detail"}</definedName>
    <definedName name="vv_1_1" localSheetId="28" hidden="1">{"contributory1",#N/A,FALSE,"Contributory Assets Detail";"contributory2",#N/A,FALSE,"Contributory Assets Detail"}</definedName>
    <definedName name="vv_1_1" hidden="1">{"contributory1",#N/A,FALSE,"Contributory Assets Detail";"contributory2",#N/A,FALSE,"Contributory Assets Detail"}</definedName>
    <definedName name="vvc" localSheetId="28" hidden="1">{"test2",#N/A,TRUE,"Prices"}</definedName>
    <definedName name="vvc" hidden="1">{"test2",#N/A,TRUE,"Prices"}</definedName>
    <definedName name="vvv" localSheetId="28" hidden="1">{"ReportTop",#N/A,FALSE,"report top"}</definedName>
    <definedName name="vvv" hidden="1">{"ReportTop",#N/A,FALSE,"report top"}</definedName>
    <definedName name="vvv_1" localSheetId="28" hidden="1">{"ReportTop",#N/A,FALSE,"report top"}</definedName>
    <definedName name="vvv_1" hidden="1">{"ReportTop",#N/A,FALSE,"report top"}</definedName>
    <definedName name="vvv_1_1" localSheetId="28" hidden="1">{"ReportTop",#N/A,FALSE,"report top"}</definedName>
    <definedName name="vvv_1_1" hidden="1">{"ReportTop",#N/A,FALSE,"report top"}</definedName>
    <definedName name="vvvv" localSheetId="28" hidden="1">{"documentation1",#N/A,FALSE,"Documentation";"documentation2",#N/A,FALSE,"Documentation"}</definedName>
    <definedName name="vvvv" hidden="1">{"documentation1",#N/A,FALSE,"Documentation";"documentation2",#N/A,FALSE,"Documentation"}</definedName>
    <definedName name="vvvv_1" localSheetId="28" hidden="1">{"documentation1",#N/A,FALSE,"Documentation";"documentation2",#N/A,FALSE,"Documentation"}</definedName>
    <definedName name="vvvv_1" hidden="1">{"documentation1",#N/A,FALSE,"Documentation";"documentation2",#N/A,FALSE,"Documentation"}</definedName>
    <definedName name="vvvv_1_1" localSheetId="28" hidden="1">{"documentation1",#N/A,FALSE,"Documentation";"documentation2",#N/A,FALSE,"Documentation"}</definedName>
    <definedName name="vvvv_1_1" hidden="1">{"documentation1",#N/A,FALSE,"Documentation";"documentation2",#N/A,FALSE,"Documentation"}</definedName>
    <definedName name="vvvvv"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localSheetId="28" hidden="1">{#N/A,#N/A,TRUE,"Fiber_Optic_Cable_Input ";#N/A,#N/A,TRUE,"Specialty_Fiber_Devices_Input";#N/A,#N/A,TRUE,"Optical_Fiber_Apparatus_Input"}</definedName>
    <definedName name="vvvvvv" hidden="1">{#N/A,#N/A,TRUE,"Fiber_Optic_Cable_Input ";#N/A,#N/A,TRUE,"Specialty_Fiber_Devices_Input";#N/A,#N/A,TRUE,"Optical_Fiber_Apparatus_Input"}</definedName>
    <definedName name="vvvvvv_1" localSheetId="28"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localSheetId="28"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localSheetId="28" hidden="1">{#N/A,#N/A,TRUE,"Falcons_Standalone";#N/A,#N/A,TRUE,"Target_Input";#N/A,#N/A,TRUE,"Target_Calendarized"}</definedName>
    <definedName name="vvvvvvv" hidden="1">{#N/A,#N/A,TRUE,"Falcons_Standalone";#N/A,#N/A,TRUE,"Target_Input";#N/A,#N/A,TRUE,"Target_Calendarized"}</definedName>
    <definedName name="vvvvvvv_1" localSheetId="28" hidden="1">{#N/A,#N/A,TRUE,"Falcons_Standalone";#N/A,#N/A,TRUE,"Target_Input";#N/A,#N/A,TRUE,"Target_Calendarized"}</definedName>
    <definedName name="vvvvvvv_1" hidden="1">{#N/A,#N/A,TRUE,"Falcons_Standalone";#N/A,#N/A,TRUE,"Target_Input";#N/A,#N/A,TRUE,"Target_Calendarized"}</definedName>
    <definedName name="vvvvvvv_1_1" localSheetId="28" hidden="1">{#N/A,#N/A,TRUE,"Falcons_Standalone";#N/A,#N/A,TRUE,"Target_Input";#N/A,#N/A,TRUE,"Target_Calendarized"}</definedName>
    <definedName name="vvvvvvv_1_1" hidden="1">{#N/A,#N/A,TRUE,"Falcons_Standalone";#N/A,#N/A,TRUE,"Target_Input";#N/A,#N/A,TRUE,"Target_Calendarized"}</definedName>
    <definedName name="vvvvvvvv" localSheetId="28" hidden="1">{#N/A,#N/A,TRUE,"FOC_Product_Assumptions"}</definedName>
    <definedName name="vvvvvvvv" hidden="1">{#N/A,#N/A,TRUE,"FOC_Product_Assumptions"}</definedName>
    <definedName name="vvvvvvvv_1" localSheetId="28" hidden="1">{#N/A,#N/A,TRUE,"FOC_Product_Assumptions"}</definedName>
    <definedName name="vvvvvvvv_1" hidden="1">{#N/A,#N/A,TRUE,"FOC_Product_Assumptions"}</definedName>
    <definedName name="vvvvvvvv_1_1" localSheetId="28" hidden="1">{#N/A,#N/A,TRUE,"FOC_Product_Assumptions"}</definedName>
    <definedName name="vvvvvvvv_1_1" hidden="1">{#N/A,#N/A,TRUE,"FOC_Product_Assumptions"}</definedName>
    <definedName name="vvvvvvvvv" localSheetId="28" hidden="1">{#N/A,#N/A,FALSE,"Consolidated Shipley";#N/A,#N/A,FALSE,"Consolidated PWB";#N/A,#N/A,FALSE,"Consolidated Micro"}</definedName>
    <definedName name="vvvvvvvvv" hidden="1">{#N/A,#N/A,FALSE,"Consolidated Shipley";#N/A,#N/A,FALSE,"Consolidated PWB";#N/A,#N/A,FALSE,"Consolidated Micro"}</definedName>
    <definedName name="vvvvvvvvv_1" localSheetId="28" hidden="1">{#N/A,#N/A,FALSE,"Consolidated Shipley";#N/A,#N/A,FALSE,"Consolidated PWB";#N/A,#N/A,FALSE,"Consolidated Micro"}</definedName>
    <definedName name="vvvvvvvvv_1" hidden="1">{#N/A,#N/A,FALSE,"Consolidated Shipley";#N/A,#N/A,FALSE,"Consolidated PWB";#N/A,#N/A,FALSE,"Consolidated Micro"}</definedName>
    <definedName name="vvvvvvvvv_1_1" localSheetId="28" hidden="1">{#N/A,#N/A,FALSE,"Consolidated Shipley";#N/A,#N/A,FALSE,"Consolidated PWB";#N/A,#N/A,FALSE,"Consolidated Micro"}</definedName>
    <definedName name="vvvvvvvvv_1_1" hidden="1">{#N/A,#N/A,FALSE,"Consolidated Shipley";#N/A,#N/A,FALSE,"Consolidated PWB";#N/A,#N/A,FALSE,"Consolidated Micro"}</definedName>
    <definedName name="vvvvvvvvvv" localSheetId="28" hidden="1">{#N/A,#N/A,FALSE,"Consolidated Shipley";#N/A,#N/A,FALSE,"Consolidated PWB";#N/A,#N/A,FALSE,"Consolidated Micro"}</definedName>
    <definedName name="vvvvvvvvvv" hidden="1">{#N/A,#N/A,FALSE,"Consolidated Shipley";#N/A,#N/A,FALSE,"Consolidated PWB";#N/A,#N/A,FALSE,"Consolidated Micro"}</definedName>
    <definedName name="vvvvvvvvvv_1" localSheetId="28" hidden="1">{#N/A,#N/A,FALSE,"Consolidated Shipley";#N/A,#N/A,FALSE,"Consolidated PWB";#N/A,#N/A,FALSE,"Consolidated Micro"}</definedName>
    <definedName name="vvvvvvvvvv_1" hidden="1">{#N/A,#N/A,FALSE,"Consolidated Shipley";#N/A,#N/A,FALSE,"Consolidated PWB";#N/A,#N/A,FALSE,"Consolidated Micro"}</definedName>
    <definedName name="vvvvvvvvvv_1_1" localSheetId="28" hidden="1">{#N/A,#N/A,FALSE,"Consolidated Shipley";#N/A,#N/A,FALSE,"Consolidated PWB";#N/A,#N/A,FALSE,"Consolidated Micro"}</definedName>
    <definedName name="vvvvvvvvvv_1_1" hidden="1">{#N/A,#N/A,FALSE,"Consolidated Shipley";#N/A,#N/A,FALSE,"Consolidated PWB";#N/A,#N/A,FALSE,"Consolidated Micro"}</definedName>
    <definedName name="w" localSheetId="28" hidden="1">{"ReportTop",#N/A,FALSE,"report top"}</definedName>
    <definedName name="w" hidden="1">{"ReportTop",#N/A,FALSE,"report top"}</definedName>
    <definedName name="w_1" localSheetId="28" hidden="1">{"ReportTop",#N/A,FALSE,"report top"}</definedName>
    <definedName name="w_1" hidden="1">{"ReportTop",#N/A,FALSE,"report top"}</definedName>
    <definedName name="w_1_1" localSheetId="28" hidden="1">{"ReportTop",#N/A,FALSE,"report top"}</definedName>
    <definedName name="w_1_1" hidden="1">{"ReportTop",#N/A,FALSE,"report top"}</definedName>
    <definedName name="wacc" localSheetId="28" hidden="1">{#N/A,#N/A,FALSE,"Virgin Flightdeck"}</definedName>
    <definedName name="wacc" hidden="1">{#N/A,#N/A,FALSE,"Virgin Flightdeck"}</definedName>
    <definedName name="wacc_1" localSheetId="28" hidden="1">{#N/A,#N/A,FALSE,"Virgin Flightdeck"}</definedName>
    <definedName name="wacc_1" hidden="1">{#N/A,#N/A,FALSE,"Virgin Flightdeck"}</definedName>
    <definedName name="wacc_1_1" localSheetId="28" hidden="1">{#N/A,#N/A,FALSE,"Virgin Flightdeck"}</definedName>
    <definedName name="wacc_1_1" hidden="1">{#N/A,#N/A,FALSE,"Virgin Flightdeck"}</definedName>
    <definedName name="WACC_new" localSheetId="28" hidden="1">{#N/A,#N/A,FALSE,"Virgin Flightdeck"}</definedName>
    <definedName name="WACC_new" hidden="1">{#N/A,#N/A,FALSE,"Virgin Flightdeck"}</definedName>
    <definedName name="WACC_new_1" localSheetId="28" hidden="1">{#N/A,#N/A,FALSE,"Virgin Flightdeck"}</definedName>
    <definedName name="WACC_new_1" hidden="1">{#N/A,#N/A,FALSE,"Virgin Flightdeck"}</definedName>
    <definedName name="WACC_new_1_1" localSheetId="28" hidden="1">{#N/A,#N/A,FALSE,"Virgin Flightdeck"}</definedName>
    <definedName name="WACC_new_1_1" hidden="1">{#N/A,#N/A,FALSE,"Virgin Flightdeck"}</definedName>
    <definedName name="Walsei_Rent" localSheetId="26">#REF!</definedName>
    <definedName name="Walsei_Rent" localSheetId="25">#REF!</definedName>
    <definedName name="Walsei_Rent" localSheetId="35">#REF!</definedName>
    <definedName name="Walsei_Rent" localSheetId="33">#REF!</definedName>
    <definedName name="Walsei_Rent">#REF!</definedName>
    <definedName name="Walsei_Table" localSheetId="26">#REF!</definedName>
    <definedName name="Walsei_Table" localSheetId="25">#REF!</definedName>
    <definedName name="Walsei_Table" localSheetId="35">#REF!</definedName>
    <definedName name="Walsei_Table" localSheetId="33">#REF!</definedName>
    <definedName name="Walsei_Table">#REF!</definedName>
    <definedName name="WarehseRentalGrowth_evy2yr" localSheetId="26">#REF!</definedName>
    <definedName name="WarehseRentalGrowth_evy2yr" localSheetId="25">#REF!</definedName>
    <definedName name="WarehseRentalGrowth_evy2yr" localSheetId="35">#REF!</definedName>
    <definedName name="WarehseRentalGrowth_evy2yr" localSheetId="33">#REF!</definedName>
    <definedName name="WarehseRentalGrowth_evy2yr">#REF!</definedName>
    <definedName name="wendywan_4_final" localSheetId="26">#REF!</definedName>
    <definedName name="wendywan_4_final" localSheetId="25">#REF!</definedName>
    <definedName name="wendywan_4_final" localSheetId="35">#REF!</definedName>
    <definedName name="wendywan_4_final" localSheetId="33">#REF!</definedName>
    <definedName name="wendywan_4_final" localSheetId="36">#REF!</definedName>
    <definedName name="wendywan_4_final">#REF!</definedName>
    <definedName name="wendywan_fins_final" localSheetId="26">#REF!</definedName>
    <definedName name="wendywan_fins_final" localSheetId="25">#REF!</definedName>
    <definedName name="wendywan_fins_final" localSheetId="35">#REF!</definedName>
    <definedName name="wendywan_fins_final" localSheetId="33">#REF!</definedName>
    <definedName name="wendywan_fins_final" localSheetId="36">#REF!</definedName>
    <definedName name="wendywan_fins_final">#REF!</definedName>
    <definedName name="weraw" localSheetId="28" hidden="1">{"mgmt forecast",#N/A,FALSE,"Mgmt Forecast";"dcf table",#N/A,FALSE,"Mgmt Forecast";"sensitivity",#N/A,FALSE,"Mgmt Forecast";"table inputs",#N/A,FALSE,"Mgmt Forecast";"calculations",#N/A,FALSE,"Mgmt Forecast"}</definedName>
    <definedName name="weraw" hidden="1">{"mgmt forecast",#N/A,FALSE,"Mgmt Forecast";"dcf table",#N/A,FALSE,"Mgmt Forecast";"sensitivity",#N/A,FALSE,"Mgmt Forecast";"table inputs",#N/A,FALSE,"Mgmt Forecast";"calculations",#N/A,FALSE,"Mgmt Forecast"}</definedName>
    <definedName name="weraw_1" localSheetId="28"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localSheetId="28"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localSheetId="28"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localSheetId="28"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localSheetId="28"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6" hidden="1">#REF!</definedName>
    <definedName name="wfcwfwfwfw" localSheetId="25" hidden="1">#REF!</definedName>
    <definedName name="wfcwfwfwfw" localSheetId="35" hidden="1">#REF!</definedName>
    <definedName name="wfcwfwfwfw" localSheetId="33" hidden="1">#REF!</definedName>
    <definedName name="wfcwfwfwfw" localSheetId="36" hidden="1">#REF!</definedName>
    <definedName name="wfcwfwfwfw" hidden="1">#REF!</definedName>
    <definedName name="WinStar_RSPALDING" localSheetId="26">#REF!</definedName>
    <definedName name="WinStar_RSPALDING" localSheetId="25">#REF!</definedName>
    <definedName name="WinStar_RSPALDING" localSheetId="35">#REF!</definedName>
    <definedName name="WinStar_RSPALDING" localSheetId="33">#REF!</definedName>
    <definedName name="WinStar_RSPALDING" localSheetId="36">#REF!</definedName>
    <definedName name="WinStar_RSPALDING">#REF!</definedName>
    <definedName name="wrn" localSheetId="28" hidden="1">{#N/A,#N/A,FALSE,"DCF Summary";#N/A,#N/A,FALSE,"Casema";#N/A,#N/A,FALSE,"Casema NoTel";#N/A,#N/A,FALSE,"UK";#N/A,#N/A,FALSE,"RCF";#N/A,#N/A,FALSE,"Intercable CZ";#N/A,#N/A,FALSE,"Interkabel P"}</definedName>
    <definedName name="wrn" hidden="1">{#N/A,#N/A,FALSE,"DCF Summary";#N/A,#N/A,FALSE,"Casema";#N/A,#N/A,FALSE,"Casema NoTel";#N/A,#N/A,FALSE,"UK";#N/A,#N/A,FALSE,"RCF";#N/A,#N/A,FALSE,"Intercable CZ";#N/A,#N/A,FALSE,"Interkabel P"}</definedName>
    <definedName name="wrn." localSheetId="28" hidden="1">{#N/A,#N/A,FALSE,"Japan 2003";#N/A,#N/A,FALSE,"Sheet2"}</definedName>
    <definedName name="wrn." hidden="1">{#N/A,#N/A,FALSE,"Japan 2003";#N/A,#N/A,FALSE,"Sheet2"}</definedName>
    <definedName name="wrn._1" localSheetId="28" hidden="1">{#N/A,#N/A,FALSE,"Japan 2003";#N/A,#N/A,FALSE,"Sheet2"}</definedName>
    <definedName name="wrn._1" hidden="1">{#N/A,#N/A,FALSE,"Japan 2003";#N/A,#N/A,FALSE,"Sheet2"}</definedName>
    <definedName name="wrn._1_1" localSheetId="28" hidden="1">{#N/A,#N/A,FALSE,"Japan 2003";#N/A,#N/A,FALSE,"Sheet2"}</definedName>
    <definedName name="wrn._1_1" hidden="1">{#N/A,#N/A,FALSE,"Japan 2003";#N/A,#N/A,FALSE,"Sheet2"}</definedName>
    <definedName name="wrn.A_VALUATION." localSheetId="28"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_VALUATION._1" localSheetId="28"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localSheetId="28"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localSheetId="28"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localSheetId="28" hidden="1">{#N/A,#N/A,TRUE,"Directory";#N/A,#N/A,TRUE,"DirRPT";#N/A,#N/A,TRUE,"Bal Sheet";#N/A,#N/A,TRUE,"Approp";#N/A,#N/A,TRUE,"Rev State";#N/A,#N/A,TRUE,"Trad ac";#N/A,#N/A,TRUE,"fa sched";#N/A,#N/A,TRUE,"notes";#N/A,#N/A,TRUE,"Disclaimer"}</definedName>
    <definedName name="wrn.Accounts." hidden="1">{#N/A,#N/A,TRUE,"Directory";#N/A,#N/A,TRUE,"DirRPT";#N/A,#N/A,TRUE,"Bal Sheet";#N/A,#N/A,TRUE,"Approp";#N/A,#N/A,TRUE,"Rev State";#N/A,#N/A,TRUE,"Trad ac";#N/A,#N/A,TRUE,"fa sched";#N/A,#N/A,TRUE,"notes";#N/A,#N/A,TRUE,"Disclaimer"}</definedName>
    <definedName name="wrn.Accounts_Revenue." localSheetId="28" hidden="1">{#N/A,#N/A,TRUE,"Financial Position";#N/A,#N/A,TRUE,"Equity";#N/A,#N/A,TRUE,"Finan Perf - Revenue"}</definedName>
    <definedName name="wrn.Accounts_Revenue." hidden="1">{#N/A,#N/A,TRUE,"Financial Position";#N/A,#N/A,TRUE,"Equity";#N/A,#N/A,TRUE,"Finan Perf - Revenue"}</definedName>
    <definedName name="wrn.Accounts_Trading." localSheetId="28" hidden="1">{#N/A,#N/A,TRUE,"Financial Position";#N/A,#N/A,TRUE,"Equity";#N/A,#N/A,TRUE,"Finan Perf - Profit &amp; Loss";#N/A,#N/A,TRUE,"Finan Perf - Trading"}</definedName>
    <definedName name="wrn.Accounts_Trading." hidden="1">{#N/A,#N/A,TRUE,"Financial Position";#N/A,#N/A,TRUE,"Equity";#N/A,#N/A,TRUE,"Finan Perf - Profit &amp; Loss";#N/A,#N/A,TRUE,"Finan Perf - Trading"}</definedName>
    <definedName name="wrn.Accr_Dil." localSheetId="28" hidden="1">{#N/A,#N/A,FALSE,"Debt Accr";#N/A,#N/A,FALSE,"Stock Accr";#N/A,#N/A,FALSE,"Debt Stock Accr"}</definedName>
    <definedName name="wrn.Accr_Dil." hidden="1">{#N/A,#N/A,FALSE,"Debt Accr";#N/A,#N/A,FALSE,"Stock Accr";#N/A,#N/A,FALSE,"Debt Stock Accr"}</definedName>
    <definedName name="wrn.Accr_Dil._1" localSheetId="28" hidden="1">{#N/A,#N/A,FALSE,"Debt Accr";#N/A,#N/A,FALSE,"Stock Accr";#N/A,#N/A,FALSE,"Debt Stock Accr"}</definedName>
    <definedName name="wrn.Accr_Dil._1" hidden="1">{#N/A,#N/A,FALSE,"Debt Accr";#N/A,#N/A,FALSE,"Stock Accr";#N/A,#N/A,FALSE,"Debt Stock Accr"}</definedName>
    <definedName name="wrn.Accr_Dil._1_1" localSheetId="28" hidden="1">{#N/A,#N/A,FALSE,"Debt Accr";#N/A,#N/A,FALSE,"Stock Accr";#N/A,#N/A,FALSE,"Debt Stock Accr"}</definedName>
    <definedName name="wrn.Accr_Dil._1_1" hidden="1">{#N/A,#N/A,FALSE,"Debt Accr";#N/A,#N/A,FALSE,"Stock Accr";#N/A,#N/A,FALSE,"Debt Stock Accr"}</definedName>
    <definedName name="wrn.Acquisition_matrix." localSheetId="28" hidden="1">{"Acq_matrix",#N/A,FALSE,"Acquisition Matrix"}</definedName>
    <definedName name="wrn.Acquisition_matrix." hidden="1">{"Acq_matrix",#N/A,FALSE,"Acquisition Matrix"}</definedName>
    <definedName name="wrn.Acquisition_matrix._1" localSheetId="28" hidden="1">{"Acq_matrix",#N/A,FALSE,"Acquisition Matrix"}</definedName>
    <definedName name="wrn.Acquisition_matrix._1" hidden="1">{"Acq_matrix",#N/A,FALSE,"Acquisition Matrix"}</definedName>
    <definedName name="wrn.Acquisition_matrix._1_1" localSheetId="28" hidden="1">{"Acq_matrix",#N/A,FALSE,"Acquisition Matrix"}</definedName>
    <definedName name="wrn.Acquisition_matrix._1_1" hidden="1">{"Acq_matrix",#N/A,FALSE,"Acquisition Matrix"}</definedName>
    <definedName name="wrn.adj95." localSheetId="28" hidden="1">{"adj95mult",#N/A,FALSE,"COMPCO";"adj95est",#N/A,FALSE,"COMPCO"}</definedName>
    <definedName name="wrn.adj95." hidden="1">{"adj95mult",#N/A,FALSE,"COMPCO";"adj95est",#N/A,FALSE,"COMPCO"}</definedName>
    <definedName name="wrn.adj95._1" localSheetId="28" hidden="1">{"adj95mult",#N/A,FALSE,"COMPCO";"adj95est",#N/A,FALSE,"COMPCO"}</definedName>
    <definedName name="wrn.adj95._1" hidden="1">{"adj95mult",#N/A,FALSE,"COMPCO";"adj95est",#N/A,FALSE,"COMPCO"}</definedName>
    <definedName name="wrn.adj95._1_1" localSheetId="28" hidden="1">{"adj95mult",#N/A,FALSE,"COMPCO";"adj95est",#N/A,FALSE,"COMPCO"}</definedName>
    <definedName name="wrn.adj95._1_1" hidden="1">{"adj95mult",#N/A,FALSE,"COMPCO";"adj95est",#N/A,FALSE,"COMPCO"}</definedName>
    <definedName name="wrn.Aging._.and._.Trend._.Analysis." localSheetId="2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28"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28"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localSheetId="28"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localSheetId="28"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GN._.MODELS._1" localSheetId="28"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localSheetId="28"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localSheetId="28" hidden="1">{"P&amp;L",#N/A,TRUE,"HC";"P&amp;L Percents",#N/A,TRUE,"P&amp;L";"M&amp;A3 P&amp;L",#N/A,TRUE,"HC";"M&amp;A3 Pipeline",#N/A,TRUE,"HC";"Franchises",#N/A,TRUE,"HC";"CF&amp;BS",#N/A,TRUE,"HC"}</definedName>
    <definedName name="wrn.All." hidden="1">{"P&amp;L",#N/A,TRUE,"HC";"P&amp;L Percents",#N/A,TRUE,"P&amp;L";"M&amp;A3 P&amp;L",#N/A,TRUE,"HC";"M&amp;A3 Pipeline",#N/A,TRUE,"HC";"Franchises",#N/A,TRUE,"HC";"CF&amp;BS",#N/A,TRUE,"HC"}</definedName>
    <definedName name="wrn.all._.gulp._.sheets." localSheetId="2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localSheetId="2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localSheetId="2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localSheetId="28" hidden="1">{#N/A,#N/A,FALSE,"puboff";#N/A,#N/A,FALSE,"financials";#N/A,#N/A,FALSE,"valuation";#N/A,#N/A,FALSE,"split"}</definedName>
    <definedName name="wrn.ALL._.PAGES." hidden="1">{#N/A,#N/A,FALSE,"puboff";#N/A,#N/A,FALSE,"financials";#N/A,#N/A,FALSE,"valuation";#N/A,#N/A,FALSE,"split"}</definedName>
    <definedName name="wrn.ALL._.PAGES._1" localSheetId="28" hidden="1">{#N/A,#N/A,FALSE,"puboff";#N/A,#N/A,FALSE,"financials";#N/A,#N/A,FALSE,"valuation";#N/A,#N/A,FALSE,"split"}</definedName>
    <definedName name="wrn.ALL._.PAGES._1" hidden="1">{#N/A,#N/A,FALSE,"puboff";#N/A,#N/A,FALSE,"financials";#N/A,#N/A,FALSE,"valuation";#N/A,#N/A,FALSE,"split"}</definedName>
    <definedName name="wrn.ALL._.PAGES._1_1" localSheetId="28" hidden="1">{#N/A,#N/A,FALSE,"puboff";#N/A,#N/A,FALSE,"financials";#N/A,#N/A,FALSE,"valuation";#N/A,#N/A,FALSE,"split"}</definedName>
    <definedName name="wrn.ALL._.PAGES._1_1" hidden="1">{#N/A,#N/A,FALSE,"puboff";#N/A,#N/A,FALSE,"financials";#N/A,#N/A,FALSE,"valuation";#N/A,#N/A,FALSE,"split"}</definedName>
    <definedName name="wrn.ALL._.SHEETS." localSheetId="28" hidden="1">{#N/A,#N/A,FALSE,"Adj Proj";#N/A,#N/A,FALSE,"Sheet1";#N/A,#N/A,FALSE,"LBO";#N/A,#N/A,FALSE,"LBOMER";#N/A,#N/A,FALSE,"WACC";#N/A,#N/A,FALSE,"DCF";#N/A,#N/A,FALSE,"DCFMER";#N/A,#N/A,FALSE,"Pooling";#N/A,#N/A,FALSE,"income";#N/A,#N/A,FALSE,"Offer"}</definedName>
    <definedName name="wrn.ALL._.SHEETS." hidden="1">{#N/A,#N/A,FALSE,"Adj Proj";#N/A,#N/A,FALSE,"Sheet1";#N/A,#N/A,FALSE,"LBO";#N/A,#N/A,FALSE,"LBOMER";#N/A,#N/A,FALSE,"WACC";#N/A,#N/A,FALSE,"DCF";#N/A,#N/A,FALSE,"DCFMER";#N/A,#N/A,FALSE,"Pooling";#N/A,#N/A,FALSE,"income";#N/A,#N/A,FALSE,"Offer"}</definedName>
    <definedName name="wrn.ALL._.SHEETS._1" localSheetId="28"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localSheetId="28"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localSheetId="28"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localSheetId="28" hidden="1">{"P&amp;L",#N/A,TRUE,"HC";"P&amp;L Percents",#N/A,TRUE,"P&amp;L";"M&amp;A3 P&amp;L",#N/A,TRUE,"HC";"M&amp;A3 Pipeline",#N/A,TRUE,"HC";"Franchises",#N/A,TRUE,"HC";"CF&amp;BS",#N/A,TRUE,"HC"}</definedName>
    <definedName name="wrn.All._1" hidden="1">{"P&amp;L",#N/A,TRUE,"HC";"P&amp;L Percents",#N/A,TRUE,"P&amp;L";"M&amp;A3 P&amp;L",#N/A,TRUE,"HC";"M&amp;A3 Pipeline",#N/A,TRUE,"HC";"Franchises",#N/A,TRUE,"HC";"CF&amp;BS",#N/A,TRUE,"HC"}</definedName>
    <definedName name="wrn.All._1_1" localSheetId="28"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localSheetId="28"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Models._1" localSheetId="28"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localSheetId="28"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localSheetId="28"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_Sheets._1" localSheetId="28"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localSheetId="28"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localSheetId="28" hidden="1">{"P&amp;L",#N/A,TRUE,"HC";"P&amp;L Percents",#N/A,TRUE,"P&amp;L";"M&amp;A3 P&amp;L",#N/A,TRUE,"HC";"M&amp;A3 Pipeline",#N/A,TRUE,"HC";"Franchises",#N/A,TRUE,"HC";"CF&amp;BS",#N/A,TRUE,"HC"}</definedName>
    <definedName name="wrn.all1" hidden="1">{"P&amp;L",#N/A,TRUE,"HC";"P&amp;L Percents",#N/A,TRUE,"P&amp;L";"M&amp;A3 P&amp;L",#N/A,TRUE,"HC";"M&amp;A3 Pipeline",#N/A,TRUE,"HC";"Franchises",#N/A,TRUE,"HC";"CF&amp;BS",#N/A,TRUE,"HC"}</definedName>
    <definedName name="wrn.all1_1" localSheetId="28"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localSheetId="28"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localSheetId="2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localSheetId="2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localSheetId="2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28" hidden="1">{#N/A,#N/A,FALSE,"AD_Purchase";#N/A,#N/A,FALSE,"Credit";#N/A,#N/A,FALSE,"PF Acquisition";#N/A,#N/A,FALSE,"PF Offering"}</definedName>
    <definedName name="wrn.AllModels." hidden="1">{#N/A,#N/A,FALSE,"AD_Purchase";#N/A,#N/A,FALSE,"Credit";#N/A,#N/A,FALSE,"PF Acquisition";#N/A,#N/A,FALSE,"PF Offering"}</definedName>
    <definedName name="wrn.AllModels._1" localSheetId="28" hidden="1">{#N/A,#N/A,FALSE,"AD_Purchase";#N/A,#N/A,FALSE,"Credit";#N/A,#N/A,FALSE,"PF Acquisition";#N/A,#N/A,FALSE,"PF Offering"}</definedName>
    <definedName name="wrn.AllModels._1" hidden="1">{#N/A,#N/A,FALSE,"AD_Purchase";#N/A,#N/A,FALSE,"Credit";#N/A,#N/A,FALSE,"PF Acquisition";#N/A,#N/A,FALSE,"PF Offering"}</definedName>
    <definedName name="wrn.AllModels._1_1" localSheetId="28" hidden="1">{#N/A,#N/A,FALSE,"AD_Purchase";#N/A,#N/A,FALSE,"Credit";#N/A,#N/A,FALSE,"PF Acquisition";#N/A,#N/A,FALSE,"PF Offering"}</definedName>
    <definedName name="wrn.AllModels._1_1" hidden="1">{#N/A,#N/A,FALSE,"AD_Purchase";#N/A,#N/A,FALSE,"Credit";#N/A,#N/A,FALSE,"PF Acquisition";#N/A,#N/A,FALSE,"PF Offering"}</definedName>
    <definedName name="wrn.Annual._.Recap." localSheetId="28" hidden="1">{"Annual Recap",#N/A,FALSE,"Annual Recap"}</definedName>
    <definedName name="wrn.Annual._.Recap." hidden="1">{"Annual Recap",#N/A,FALSE,"Annual Recap"}</definedName>
    <definedName name="wrn.Annual._.Recap._1" localSheetId="28" hidden="1">{"Annual Recap",#N/A,FALSE,"Annual Recap"}</definedName>
    <definedName name="wrn.Annual._.Recap._1" hidden="1">{"Annual Recap",#N/A,FALSE,"Annual Recap"}</definedName>
    <definedName name="wrn.Annual._.Recap._1_1" localSheetId="28" hidden="1">{"Annual Recap",#N/A,FALSE,"Annual Recap"}</definedName>
    <definedName name="wrn.Annual._.Recap._1_1" hidden="1">{"Annual Recap",#N/A,FALSE,"Annual Recap"}</definedName>
    <definedName name="wrn.AQUIROR._.DCF." localSheetId="28" hidden="1">{"AQUIRORDCF",#N/A,FALSE,"Merger consequences";"Acquirorassns",#N/A,FALSE,"Merger consequences"}</definedName>
    <definedName name="wrn.AQUIROR._.DCF." hidden="1">{"AQUIRORDCF",#N/A,FALSE,"Merger consequences";"Acquirorassns",#N/A,FALSE,"Merger consequences"}</definedName>
    <definedName name="wrn.AQUIROR._.DCF._1" localSheetId="28" hidden="1">{"AQUIRORDCF",#N/A,FALSE,"Merger consequences";"Acquirorassns",#N/A,FALSE,"Merger consequences"}</definedName>
    <definedName name="wrn.AQUIROR._.DCF._1" hidden="1">{"AQUIRORDCF",#N/A,FALSE,"Merger consequences";"Acquirorassns",#N/A,FALSE,"Merger consequences"}</definedName>
    <definedName name="wrn.AQUIROR._.DCF._1_1" localSheetId="28" hidden="1">{"AQUIRORDCF",#N/A,FALSE,"Merger consequences";"Acquirorassns",#N/A,FALSE,"Merger consequences"}</definedName>
    <definedName name="wrn.AQUIROR._.DCF._1_1" hidden="1">{"AQUIRORDCF",#N/A,FALSE,"Merger consequences";"Acquirorassns",#N/A,FALSE,"Merger consequences"}</definedName>
    <definedName name="wrn.AR.MONTHEND." localSheetId="28" hidden="1">{#N/A,#N/A,FALSE,"Aging"}</definedName>
    <definedName name="wrn.AR.MONTHEND." hidden="1">{#N/A,#N/A,FALSE,"Aging"}</definedName>
    <definedName name="wrn.ARPU._.composition." localSheetId="28" hidden="1">{#N/A,#N/A,FALSE,"Additional ARPU"}</definedName>
    <definedName name="wrn.ARPU._.composition." hidden="1">{#N/A,#N/A,FALSE,"Additional ARPU"}</definedName>
    <definedName name="wrn.Asia." localSheetId="2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localSheetId="28" hidden="1">{"p&amp;lSUM",#N/A,FALSE,"P&amp;L";"DETAIL",#N/A,FALSE,"P&amp;L";"% revenue",#N/A,FALSE,"P&amp;L";"% growth",#N/A,FALSE,"P&amp;L";"summary",#N/A,FALSE,"Summary";"chart",#N/A,FALSE,"Summary"}</definedName>
    <definedName name="wrn.AUGUST." hidden="1">{"p&amp;lSUM",#N/A,FALSE,"P&amp;L";"DETAIL",#N/A,FALSE,"P&amp;L";"% revenue",#N/A,FALSE,"P&amp;L";"% growth",#N/A,FALSE,"P&amp;L";"summary",#N/A,FALSE,"Summary";"chart",#N/A,FALSE,"Summary"}</definedName>
    <definedName name="wrn.AUGUST._1" localSheetId="28"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localSheetId="28"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localSheetId="28"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localSheetId="28"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localSheetId="28"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localSheetId="28" hidden="1">{"P&amp;Lforaventis",#N/A,FALSE,"Franchises";"aventisP&amp;L",#N/A,FALSE,"Franchises";"inflam franchise",#N/A,FALSE,"Franchises"}</definedName>
    <definedName name="wrn.Aventis._.Analysis." hidden="1">{"P&amp;Lforaventis",#N/A,FALSE,"Franchises";"aventisP&amp;L",#N/A,FALSE,"Franchises";"inflam franchise",#N/A,FALSE,"Franchises"}</definedName>
    <definedName name="wrn.Aventis._.Analysis._1" localSheetId="28"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localSheetId="28"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localSheetId="28"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localSheetId="28"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localSheetId="28"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localSheetId="28"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_.Report._1" localSheetId="28"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localSheetId="28"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localSheetId="28" hidden="1">{#N/A,#N/A,FALSE,"TSUM";#N/A,#N/A,FALSE,"shares";#N/A,#N/A,FALSE,"earnout";#N/A,#N/A,FALSE,"Heaty";#N/A,#N/A,FALSE,"self-tend";#N/A,#N/A,FALSE,"self-sum"}</definedName>
    <definedName name="wrn.basics." hidden="1">{#N/A,#N/A,FALSE,"TSUM";#N/A,#N/A,FALSE,"shares";#N/A,#N/A,FALSE,"earnout";#N/A,#N/A,FALSE,"Heaty";#N/A,#N/A,FALSE,"self-tend";#N/A,#N/A,FALSE,"self-sum"}</definedName>
    <definedName name="wrn.basics._1" localSheetId="28" hidden="1">{#N/A,#N/A,FALSE,"TSUM";#N/A,#N/A,FALSE,"shares";#N/A,#N/A,FALSE,"earnout";#N/A,#N/A,FALSE,"Heaty";#N/A,#N/A,FALSE,"self-tend";#N/A,#N/A,FALSE,"self-sum"}</definedName>
    <definedName name="wrn.basics._1" hidden="1">{#N/A,#N/A,FALSE,"TSUM";#N/A,#N/A,FALSE,"shares";#N/A,#N/A,FALSE,"earnout";#N/A,#N/A,FALSE,"Heaty";#N/A,#N/A,FALSE,"self-tend";#N/A,#N/A,FALSE,"self-sum"}</definedName>
    <definedName name="wrn.basics._1_1" localSheetId="28" hidden="1">{#N/A,#N/A,FALSE,"TSUM";#N/A,#N/A,FALSE,"shares";#N/A,#N/A,FALSE,"earnout";#N/A,#N/A,FALSE,"Heaty";#N/A,#N/A,FALSE,"self-tend";#N/A,#N/A,FALSE,"self-sum"}</definedName>
    <definedName name="wrn.basics._1_1" hidden="1">{#N/A,#N/A,FALSE,"TSUM";#N/A,#N/A,FALSE,"shares";#N/A,#N/A,FALSE,"earnout";#N/A,#N/A,FALSE,"Heaty";#N/A,#N/A,FALSE,"self-tend";#N/A,#N/A,FALSE,"self-sum"}</definedName>
    <definedName name="wrn.BS._.Print." localSheetId="28" hidden="1">{"BalanceSheets1",#N/A,FALSE,"input"}</definedName>
    <definedName name="wrn.BS._.Print." hidden="1">{"BalanceSheets1",#N/A,FALSE,"input"}</definedName>
    <definedName name="wrn.BSAnnualModel." localSheetId="28" hidden="1">{"BSAnnualModel",#N/A,FALSE,"BS"}</definedName>
    <definedName name="wrn.BSAnnualModel." hidden="1">{"BSAnnualModel",#N/A,FALSE,"BS"}</definedName>
    <definedName name="wrn.BSAnnualModel._1" localSheetId="28" hidden="1">{"BSAnnualModel",#N/A,FALSE,"BS"}</definedName>
    <definedName name="wrn.BSAnnualModel._1" hidden="1">{"BSAnnualModel",#N/A,FALSE,"BS"}</definedName>
    <definedName name="wrn.BSAnnualModel._1_1" localSheetId="28" hidden="1">{"BSAnnualModel",#N/A,FALSE,"BS"}</definedName>
    <definedName name="wrn.BSAnnualModel._1_1" hidden="1">{"BSAnnualModel",#N/A,FALSE,"BS"}</definedName>
    <definedName name="wrn.bullshit1." localSheetId="28" hidden="1">{#N/A,#N/A,FALSE,"Sheet1";#N/A,#N/A,FALSE,"Summary";#N/A,#N/A,FALSE,"proj1";#N/A,#N/A,FALSE,"proj2"}</definedName>
    <definedName name="wrn.bullshit1." hidden="1">{#N/A,#N/A,FALSE,"Sheet1";#N/A,#N/A,FALSE,"Summary";#N/A,#N/A,FALSE,"proj1";#N/A,#N/A,FALSE,"proj2"}</definedName>
    <definedName name="wrn.bullshit1._1" localSheetId="28" hidden="1">{#N/A,#N/A,FALSE,"Sheet1";#N/A,#N/A,FALSE,"Summary";#N/A,#N/A,FALSE,"proj1";#N/A,#N/A,FALSE,"proj2"}</definedName>
    <definedName name="wrn.bullshit1._1" hidden="1">{#N/A,#N/A,FALSE,"Sheet1";#N/A,#N/A,FALSE,"Summary";#N/A,#N/A,FALSE,"proj1";#N/A,#N/A,FALSE,"proj2"}</definedName>
    <definedName name="wrn.bullshit1._1_1" localSheetId="28" hidden="1">{#N/A,#N/A,FALSE,"Sheet1";#N/A,#N/A,FALSE,"Summary";#N/A,#N/A,FALSE,"proj1";#N/A,#N/A,FALSE,"proj2"}</definedName>
    <definedName name="wrn.bullshit1._1_1" hidden="1">{#N/A,#N/A,FALSE,"Sheet1";#N/A,#N/A,FALSE,"Summary";#N/A,#N/A,FALSE,"proj1";#N/A,#N/A,FALSE,"proj2"}</definedName>
    <definedName name="wrn.bwsched." localSheetId="28" hidden="1">{#N/A,#N/A,FALSE,"Highlights";#N/A,#N/A,FALSE,"Cash_Pg2a"}</definedName>
    <definedName name="wrn.bwsched." hidden="1">{#N/A,#N/A,FALSE,"Highlights";#N/A,#N/A,FALSE,"Cash_Pg2a"}</definedName>
    <definedName name="wrn.c" localSheetId="28" hidden="1">{"p&amp;lSUM",#N/A,FALSE,"P&amp;L";"DETAIL",#N/A,FALSE,"P&amp;L";"% revenue",#N/A,FALSE,"P&amp;L";"% growth",#N/A,FALSE,"P&amp;L";"summary",#N/A,FALSE,"Summary";"chart",#N/A,FALSE,"Summary"}</definedName>
    <definedName name="wrn.c" hidden="1">{"p&amp;lSUM",#N/A,FALSE,"P&amp;L";"DETAIL",#N/A,FALSE,"P&amp;L";"% revenue",#N/A,FALSE,"P&amp;L";"% growth",#N/A,FALSE,"P&amp;L";"summary",#N/A,FALSE,"Summary";"chart",#N/A,FALSE,"Summary"}</definedName>
    <definedName name="wrn.c_1" localSheetId="28"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localSheetId="28"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localSheetId="28" hidden="1">{#N/A,#N/A,FALSE,"Contents";#N/A,#N/A,FALSE,"Cashflow";#N/A,#N/A,FALSE,"Assumptions";#N/A,#N/A,FALSE,"Disclaimer"}</definedName>
    <definedName name="wrn.Cashflow._.No._.Graphs." hidden="1">{#N/A,#N/A,FALSE,"Contents";#N/A,#N/A,FALSE,"Cashflow";#N/A,#N/A,FALSE,"Assumptions";#N/A,#N/A,FALSE,"Disclaimer"}</definedName>
    <definedName name="wrn.CFSModel." localSheetId="28" hidden="1">{"CFSModel",#N/A,FALSE,"CFS"}</definedName>
    <definedName name="wrn.CFSModel." hidden="1">{"CFSModel",#N/A,FALSE,"CFS"}</definedName>
    <definedName name="wrn.CFSModel._1" localSheetId="28" hidden="1">{"CFSModel",#N/A,FALSE,"CFS"}</definedName>
    <definedName name="wrn.CFSModel._1" hidden="1">{"CFSModel",#N/A,FALSE,"CFS"}</definedName>
    <definedName name="wrn.CFSModel._1_1" localSheetId="28" hidden="1">{"CFSModel",#N/A,FALSE,"CFS"}</definedName>
    <definedName name="wrn.CFSModel._1_1" hidden="1">{"CFSModel",#N/A,FALSE,"CFS"}</definedName>
    <definedName name="wrn.Charts." localSheetId="28" hidden="1">{"Revenue chart",#N/A,FALSE,"Charts";"ExpenseChart",#N/A,FALSE,"Charts";"Netincomechart",#N/A,FALSE,"Charts"}</definedName>
    <definedName name="wrn.Charts." hidden="1">{"Revenue chart",#N/A,FALSE,"Charts";"ExpenseChart",#N/A,FALSE,"Charts";"Netincomechart",#N/A,FALSE,"Charts"}</definedName>
    <definedName name="wrn.Charts._1" localSheetId="28" hidden="1">{"Revenue chart",#N/A,FALSE,"Charts";"ExpenseChart",#N/A,FALSE,"Charts";"Netincomechart",#N/A,FALSE,"Charts"}</definedName>
    <definedName name="wrn.Charts._1" hidden="1">{"Revenue chart",#N/A,FALSE,"Charts";"ExpenseChart",#N/A,FALSE,"Charts";"Netincomechart",#N/A,FALSE,"Charts"}</definedName>
    <definedName name="wrn.Charts._1_1" localSheetId="28" hidden="1">{"Revenue chart",#N/A,FALSE,"Charts";"ExpenseChart",#N/A,FALSE,"Charts";"Netincomechart",#N/A,FALSE,"Charts"}</definedName>
    <definedName name="wrn.Charts._1_1" hidden="1">{"Revenue chart",#N/A,FALSE,"Charts";"ExpenseChart",#N/A,FALSE,"Charts";"Netincomechart",#N/A,FALSE,"Charts"}</definedName>
    <definedName name="wrn.COMBINED." localSheetId="28"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28"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localSheetId="28"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localSheetId="28" hidden="1">{"mult96",#N/A,FALSE,"PETCOMP";"est96",#N/A,FALSE,"PETCOMP";"mult95",#N/A,FALSE,"PETCOMP";"est95",#N/A,FALSE,"PETCOMP";"multltm",#N/A,FALSE,"PETCOMP";"resultltm",#N/A,FALSE,"PETCOMP"}</definedName>
    <definedName name="wrn.compco." hidden="1">{"mult96",#N/A,FALSE,"PETCOMP";"est96",#N/A,FALSE,"PETCOMP";"mult95",#N/A,FALSE,"PETCOMP";"est95",#N/A,FALSE,"PETCOMP";"multltm",#N/A,FALSE,"PETCOMP";"resultltm",#N/A,FALSE,"PETCOMP"}</definedName>
    <definedName name="wrn.compco._1" localSheetId="28"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localSheetId="28"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localSheetId="28" hidden="1">{#N/A,#N/A,TRUE,"DCF Summary";#N/A,#N/A,TRUE,"Casema";#N/A,#N/A,TRUE,"UK";#N/A,#N/A,TRUE,"RCF";#N/A,#N/A,TRUE,"Intercable CZ";#N/A,#N/A,TRUE,"Interkabel P";#N/A,#N/A,TRUE,"LBO-Total";#N/A,#N/A,TRUE,"LBO-Casema"}</definedName>
    <definedName name="wrn.Complete." hidden="1">{#N/A,#N/A,TRUE,"DCF Summary";#N/A,#N/A,TRUE,"Casema";#N/A,#N/A,TRUE,"UK";#N/A,#N/A,TRUE,"RCF";#N/A,#N/A,TRUE,"Intercable CZ";#N/A,#N/A,TRUE,"Interkabel P";#N/A,#N/A,TRUE,"LBO-Total";#N/A,#N/A,TRUE,"LBO-Casema"}</definedName>
    <definedName name="wrn.Complete._.Report." localSheetId="28"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Report._1" localSheetId="28"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localSheetId="28"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localSheetId="28" hidden="1">{#N/A,#N/A,FALSE,"Contribution Analysis"}</definedName>
    <definedName name="wrn.contribution." hidden="1">{#N/A,#N/A,FALSE,"Contribution Analysis"}</definedName>
    <definedName name="wrn.contribution._1" localSheetId="28" hidden="1">{#N/A,#N/A,FALSE,"Contribution Analysis"}</definedName>
    <definedName name="wrn.contribution._1" hidden="1">{#N/A,#N/A,FALSE,"Contribution Analysis"}</definedName>
    <definedName name="wrn.contribution._1_1" localSheetId="28" hidden="1">{#N/A,#N/A,FALSE,"Contribution Analysis"}</definedName>
    <definedName name="wrn.contribution._1_1" hidden="1">{#N/A,#N/A,FALSE,"Contribution Analysis"}</definedName>
    <definedName name="wrn.contributory._.asset._.charges." localSheetId="28"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ibutory._.asset._.charges._1" localSheetId="28"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localSheetId="28"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localSheetId="28" hidden="1">{"ReportTop",#N/A,FALSE,"report top"}</definedName>
    <definedName name="wrn.cotop." hidden="1">{"ReportTop",#N/A,FALSE,"report top"}</definedName>
    <definedName name="wrn.cotop._1" localSheetId="28" hidden="1">{"ReportTop",#N/A,FALSE,"report top"}</definedName>
    <definedName name="wrn.cotop._1" hidden="1">{"ReportTop",#N/A,FALSE,"report top"}</definedName>
    <definedName name="wrn.cotop._1_1" localSheetId="28" hidden="1">{"ReportTop",#N/A,FALSE,"report top"}</definedName>
    <definedName name="wrn.cotop._1_1" hidden="1">{"ReportTop",#N/A,FALSE,"report top"}</definedName>
    <definedName name="wrn.Cover." localSheetId="28"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om._.4cast." localSheetId="28" hidden="1">{#N/A,#N/A,TRUE,"TOTAL Roll-up";#N/A,#N/A,TRUE,"Launch timing assumptions"}</definedName>
    <definedName name="wrn.crom._.4cast." hidden="1">{#N/A,#N/A,TRUE,"TOTAL Roll-up";#N/A,#N/A,TRUE,"Launch timing assumptions"}</definedName>
    <definedName name="wrn.crom._.4cast._1" localSheetId="28" hidden="1">{#N/A,#N/A,TRUE,"TOTAL Roll-up";#N/A,#N/A,TRUE,"Launch timing assumptions"}</definedName>
    <definedName name="wrn.crom._.4cast._1" hidden="1">{#N/A,#N/A,TRUE,"TOTAL Roll-up";#N/A,#N/A,TRUE,"Launch timing assumptions"}</definedName>
    <definedName name="wrn.crom._.4cast._1_1" localSheetId="28" hidden="1">{#N/A,#N/A,TRUE,"TOTAL Roll-up";#N/A,#N/A,TRUE,"Launch timing assumptions"}</definedName>
    <definedName name="wrn.crom._.4cast._1_1" hidden="1">{#N/A,#N/A,TRUE,"TOTAL Roll-up";#N/A,#N/A,TRUE,"Launch timing assumptions"}</definedName>
    <definedName name="wrn.croma._.forecast." localSheetId="28" hidden="1">{#N/A,#N/A,TRUE,"TOTAL Roll-up";#N/A,#N/A,TRUE,"Launch timing assumptions"}</definedName>
    <definedName name="wrn.croma._.forecast." hidden="1">{#N/A,#N/A,TRUE,"TOTAL Roll-up";#N/A,#N/A,TRUE,"Launch timing assumptions"}</definedName>
    <definedName name="wrn.croma._.forecast._1" localSheetId="28" hidden="1">{#N/A,#N/A,TRUE,"TOTAL Roll-up";#N/A,#N/A,TRUE,"Launch timing assumptions"}</definedName>
    <definedName name="wrn.croma._.forecast._1" hidden="1">{#N/A,#N/A,TRUE,"TOTAL Roll-up";#N/A,#N/A,TRUE,"Launch timing assumptions"}</definedName>
    <definedName name="wrn.croma._.forecast._1_1" localSheetId="28" hidden="1">{#N/A,#N/A,TRUE,"TOTAL Roll-up";#N/A,#N/A,TRUE,"Launch timing assumptions"}</definedName>
    <definedName name="wrn.croma._.forecast._1_1" hidden="1">{#N/A,#N/A,TRUE,"TOTAL Roll-up";#N/A,#N/A,TRUE,"Launch timing assumptions"}</definedName>
    <definedName name="wrn.csc." localSheetId="28" hidden="1">{"orixcsc",#N/A,FALSE,"ORIX CSC";"orixcsc2",#N/A,FALSE,"ORIX CSC"}</definedName>
    <definedName name="wrn.csc." hidden="1">{"orixcsc",#N/A,FALSE,"ORIX CSC";"orixcsc2",#N/A,FALSE,"ORIX CSC"}</definedName>
    <definedName name="wrn.csc._1" localSheetId="28" hidden="1">{"orixcsc",#N/A,FALSE,"ORIX CSC";"orixcsc2",#N/A,FALSE,"ORIX CSC"}</definedName>
    <definedName name="wrn.csc._1" hidden="1">{"orixcsc",#N/A,FALSE,"ORIX CSC";"orixcsc2",#N/A,FALSE,"ORIX CSC"}</definedName>
    <definedName name="wrn.csc._1_1" localSheetId="28" hidden="1">{"orixcsc",#N/A,FALSE,"ORIX CSC";"orixcsc2",#N/A,FALSE,"ORIX CSC"}</definedName>
    <definedName name="wrn.csc._1_1" hidden="1">{"orixcsc",#N/A,FALSE,"ORIX CSC";"orixcsc2",#N/A,FALSE,"ORIX CSC"}</definedName>
    <definedName name="wrn.csc2." localSheetId="28" hidden="1">{#N/A,#N/A,FALSE,"ORIX CSC"}</definedName>
    <definedName name="wrn.csc2." hidden="1">{#N/A,#N/A,FALSE,"ORIX CSC"}</definedName>
    <definedName name="wrn.csc2._1" localSheetId="28" hidden="1">{#N/A,#N/A,FALSE,"ORIX CSC"}</definedName>
    <definedName name="wrn.csc2._1" hidden="1">{#N/A,#N/A,FALSE,"ORIX CSC"}</definedName>
    <definedName name="wrn.csc2._1_1" localSheetId="28" hidden="1">{#N/A,#N/A,FALSE,"ORIX CSC"}</definedName>
    <definedName name="wrn.csc2._1_1" hidden="1">{#N/A,#N/A,FALSE,"ORIX CSC"}</definedName>
    <definedName name="wrn.CUTS." localSheetId="28" hidden="1">{"REVENUE1",#N/A,FALSE,"REVPIVOT";"EXP1",#N/A,FALSE,"REVPIVOT";"EXP2",#N/A,FALSE,"REVPIVOT";"EXP4",#N/A,FALSE,"REVPIVOT";"EXP5",#N/A,FALSE,"REVPIVOT";"PIPELINE1",#N/A,FALSE,"REVPIVOT";"PIPELINE3",#N/A,FALSE,"REVPIVOT";"PIPELINE4",#N/A,FALSE,"REVPIVOT";"hc1",#N/A,FALSE,"REVPIVOT";"hc2",#N/A,FALSE,"REVPIVOT";"HC3",#N/A,FALSE,"REVPIVOT"}</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localSheetId="28"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localSheetId="28"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localSheetId="28"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Only." localSheetId="28"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1" localSheetId="28" hidden="1">{"DCF1",#N/A,FALSE,"SIERRA DCF";"MATRIX1",#N/A,FALSE,"SIERRA DCF"}</definedName>
    <definedName name="wrn.DCF._1" hidden="1">{"DCF1",#N/A,FALSE,"SIERRA DCF";"MATRIX1",#N/A,FALSE,"SIERRA DCF"}</definedName>
    <definedName name="wrn.DCF._1_1" localSheetId="28" hidden="1">{"DCF1",#N/A,FALSE,"SIERRA DCF";"MATRIX1",#N/A,FALSE,"SIERRA DCF"}</definedName>
    <definedName name="wrn.DCF._1_1" hidden="1">{"DCF1",#N/A,FALSE,"SIERRA DCF";"MATRIX1",#N/A,FALSE,"SIERRA DCF"}</definedName>
    <definedName name="wrn.DCF_Terminal_Value_qchm." localSheetId="28" hidden="1">{"qchm_dcf",#N/A,FALSE,"QCHMDCF2";"qchm_terminal",#N/A,FALSE,"QCHMDCF2"}</definedName>
    <definedName name="wrn.DCF_Terminal_Value_qchm." hidden="1">{"qchm_dcf",#N/A,FALSE,"QCHMDCF2";"qchm_terminal",#N/A,FALSE,"QCHMDCF2"}</definedName>
    <definedName name="wrn.DCF_Terminal_Value_qchm._1" localSheetId="28" hidden="1">{"qchm_dcf",#N/A,FALSE,"QCHMDCF2";"qchm_terminal",#N/A,FALSE,"QCHMDCF2"}</definedName>
    <definedName name="wrn.DCF_Terminal_Value_qchm._1" hidden="1">{"qchm_dcf",#N/A,FALSE,"QCHMDCF2";"qchm_terminal",#N/A,FALSE,"QCHMDCF2"}</definedName>
    <definedName name="wrn.DCF_Terminal_Value_qchm._1_1" localSheetId="28" hidden="1">{"qchm_dcf",#N/A,FALSE,"QCHMDCF2";"qchm_terminal",#N/A,FALSE,"QCHMDCF2"}</definedName>
    <definedName name="wrn.DCF_Terminal_Value_qchm._1_1" hidden="1">{"qchm_dcf",#N/A,FALSE,"QCHMDCF2";"qchm_terminal",#N/A,FALSE,"QCHMDCF2"}</definedName>
    <definedName name="wrn.dcf2" localSheetId="28"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2_1" localSheetId="28"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localSheetId="28"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localSheetId="28" hidden="1">{"Operating Data",#N/A,TRUE,"Sheet1";"Valuation Matrix",#N/A,TRUE,"Sheet1";"Sales Analysis",#N/A,TRUE,"Sheet1";"Closed Remodelled New",#N/A,TRUE,"Sheet1";"Competitive and FSP",#N/A,TRUE,"Sheet1";"Working Capital and Capex",#N/A,TRUE,"Sheet1";"depreciation",#N/A,TRUE,"Sheet1"}</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localSheetId="28"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localSheetId="28"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localSheetId="28" hidden="1">{"documentation1",#N/A,FALSE,"Documentation";"documentation2",#N/A,FALSE,"Documentation"}</definedName>
    <definedName name="wrn.documentation." hidden="1">{"documentation1",#N/A,FALSE,"Documentation";"documentation2",#N/A,FALSE,"Documentation"}</definedName>
    <definedName name="wrn.documentation._1" localSheetId="28" hidden="1">{"documentation1",#N/A,FALSE,"Documentation";"documentation2",#N/A,FALSE,"Documentation"}</definedName>
    <definedName name="wrn.documentation._1" hidden="1">{"documentation1",#N/A,FALSE,"Documentation";"documentation2",#N/A,FALSE,"Documentation"}</definedName>
    <definedName name="wrn.documentation._1_1" localSheetId="28" hidden="1">{"documentation1",#N/A,FALSE,"Documentation";"documentation2",#N/A,FALSE,"Documentation"}</definedName>
    <definedName name="wrn.documentation._1_1" hidden="1">{"documentation1",#N/A,FALSE,"Documentation";"documentation2",#N/A,FALSE,"Documentation"}</definedName>
    <definedName name="wrn.EAC._.Reports." localSheetId="28" hidden="1">{#N/A,#N/A,FALSE,"SUMMARY";#N/A,#N/A,FALSE,"EAC96PLA";#N/A,#N/A,FALSE,"EAC96EXT";#N/A,#N/A,FALSE,"FINSUM";#N/A,#N/A,FALSE,"1996PL";#N/A,#N/A,FALSE,"RISKOP3rd";#N/A,#N/A,FALSE,"RISKTOTAL";#N/A,#N/A,FALSE,"STAFFING";#N/A,#N/A,FALSE,"Balsht"}</definedName>
    <definedName name="wrn.EAC._.Reports." hidden="1">{#N/A,#N/A,FALSE,"SUMMARY";#N/A,#N/A,FALSE,"EAC96PLA";#N/A,#N/A,FALSE,"EAC96EXT";#N/A,#N/A,FALSE,"FINSUM";#N/A,#N/A,FALSE,"1996PL";#N/A,#N/A,FALSE,"RISKOP3rd";#N/A,#N/A,FALSE,"RISKTOTAL";#N/A,#N/A,FALSE,"STAFFING";#N/A,#N/A,FALSE,"Balsht"}</definedName>
    <definedName name="wrn.EAC._.Reports._1" localSheetId="28"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localSheetId="28"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localSheetId="28" hidden="1">{"EVA",#N/A,FALSE,"EVA";"WACC",#N/A,FALSE,"WACC"}</definedName>
    <definedName name="wrn.Economic._.Value._.Added._.Analysis." hidden="1">{"EVA",#N/A,FALSE,"EVA";"WACC",#N/A,FALSE,"WACC"}</definedName>
    <definedName name="wrn.Economic._.Value._.Added._.Analysis._1" localSheetId="28" hidden="1">{"EVA",#N/A,FALSE,"EVA";"WACC",#N/A,FALSE,"WACC"}</definedName>
    <definedName name="wrn.Economic._.Value._.Added._.Analysis._1" hidden="1">{"EVA",#N/A,FALSE,"EVA";"WACC",#N/A,FALSE,"WACC"}</definedName>
    <definedName name="wrn.Economic._.Value._.Added._.Analysis._1_1" localSheetId="28" hidden="1">{"EVA",#N/A,FALSE,"EVA";"WACC",#N/A,FALSE,"WACC"}</definedName>
    <definedName name="wrn.Economic._.Value._.Added._.Analysis._1_1" hidden="1">{"EVA",#N/A,FALSE,"EVA";"WACC",#N/A,FALSE,"WACC"}</definedName>
    <definedName name="wrn.Entire._.Model." localSheetId="28" hidden="1">{"Issues1",#N/A,FALSE,"Issues"}</definedName>
    <definedName name="wrn.Entire._.Model." hidden="1">{"Issues1",#N/A,FALSE,"Issues"}</definedName>
    <definedName name="wrn.EPS._.print." localSheetId="28" hidden="1">{"EPS1",#N/A,FALSE,"merger"}</definedName>
    <definedName name="wrn.EPS._.print." hidden="1">{"EPS1",#N/A,FALSE,"merger"}</definedName>
    <definedName name="wrn.Equity._.Holdings." localSheetId="28" hidden="1">{"Summary Equities",#N/A,FALSE,"Trading";"Summary Core",#N/A,FALSE,"Core"}</definedName>
    <definedName name="wrn.Equity._.Holdings." hidden="1">{"Summary Equities",#N/A,FALSE,"Trading";"Summary Core",#N/A,FALSE,"Core"}</definedName>
    <definedName name="wrn.Europe." localSheetId="2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localSheetId="2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localSheetId="28" hidden="1">{"Exist1",#N/A,FALSE,"Exist";"exist2",#N/A,FALSE,"Exist"}</definedName>
    <definedName name="wrn.Exist." hidden="1">{"Exist1",#N/A,FALSE,"Exist";"exist2",#N/A,FALSE,"Exist"}</definedName>
    <definedName name="wrn.Falcons._.Divisions." localSheetId="28"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Divisions._1" localSheetId="28"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localSheetId="28"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localSheetId="28" hidden="1">{#N/A,#N/A,TRUE,"Falcons_Standalone";#N/A,#N/A,TRUE,"Target_Input";#N/A,#N/A,TRUE,"Target_Calendarized"}</definedName>
    <definedName name="wrn.Falcons._.Standalone." hidden="1">{#N/A,#N/A,TRUE,"Falcons_Standalone";#N/A,#N/A,TRUE,"Target_Input";#N/A,#N/A,TRUE,"Target_Calendarized"}</definedName>
    <definedName name="wrn.Falcons._.Standalone._1" localSheetId="28" hidden="1">{#N/A,#N/A,TRUE,"Falcons_Standalone";#N/A,#N/A,TRUE,"Target_Input";#N/A,#N/A,TRUE,"Target_Calendarized"}</definedName>
    <definedName name="wrn.Falcons._.Standalone._1" hidden="1">{#N/A,#N/A,TRUE,"Falcons_Standalone";#N/A,#N/A,TRUE,"Target_Input";#N/A,#N/A,TRUE,"Target_Calendarized"}</definedName>
    <definedName name="wrn.Falcons._.Standalone._1_1" localSheetId="28" hidden="1">{#N/A,#N/A,TRUE,"Falcons_Standalone";#N/A,#N/A,TRUE,"Target_Input";#N/A,#N/A,TRUE,"Target_Calendarized"}</definedName>
    <definedName name="wrn.Falcons._.Standalone._1_1" hidden="1">{#N/A,#N/A,TRUE,"Falcons_Standalone";#N/A,#N/A,TRUE,"Target_Input";#N/A,#N/A,TRUE,"Target_Calendarized"}</definedName>
    <definedName name="wrn.Feb." localSheetId="28" hidden="1">{#N/A,#N/A,FALSE,"431"}</definedName>
    <definedName name="wrn.Feb." hidden="1">{#N/A,#N/A,FALSE,"431"}</definedName>
    <definedName name="wrn.Filter." localSheetId="28"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lter._1" localSheetId="28"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localSheetId="28"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localSheetId="28" hidden="1">{#N/A,#N/A,FALSE,"sum-don";#N/A,#N/A,FALSE,"inc-don"}</definedName>
    <definedName name="wrn.first2." hidden="1">{#N/A,#N/A,FALSE,"sum-don";#N/A,#N/A,FALSE,"inc-don"}</definedName>
    <definedName name="wrn.first2._1" localSheetId="28" hidden="1">{#N/A,#N/A,FALSE,"sum-don";#N/A,#N/A,FALSE,"inc-don"}</definedName>
    <definedName name="wrn.first2._1" hidden="1">{#N/A,#N/A,FALSE,"sum-don";#N/A,#N/A,FALSE,"inc-don"}</definedName>
    <definedName name="wrn.first2._1_1" localSheetId="28" hidden="1">{#N/A,#N/A,FALSE,"sum-don";#N/A,#N/A,FALSE,"inc-don"}</definedName>
    <definedName name="wrn.first2._1_1" hidden="1">{#N/A,#N/A,FALSE,"sum-don";#N/A,#N/A,FALSE,"inc-don"}</definedName>
    <definedName name="wrn.first3." localSheetId="28" hidden="1">{#N/A,#N/A,FALSE,"Summary";#N/A,#N/A,FALSE,"proj1";#N/A,#N/A,FALSE,"proj2"}</definedName>
    <definedName name="wrn.first3." hidden="1">{#N/A,#N/A,FALSE,"Summary";#N/A,#N/A,FALSE,"proj1";#N/A,#N/A,FALSE,"proj2"}</definedName>
    <definedName name="wrn.first3._1" localSheetId="28" hidden="1">{#N/A,#N/A,FALSE,"Summary";#N/A,#N/A,FALSE,"proj1";#N/A,#N/A,FALSE,"proj2"}</definedName>
    <definedName name="wrn.first3._1" hidden="1">{#N/A,#N/A,FALSE,"Summary";#N/A,#N/A,FALSE,"proj1";#N/A,#N/A,FALSE,"proj2"}</definedName>
    <definedName name="wrn.first3._1_1" localSheetId="28" hidden="1">{#N/A,#N/A,FALSE,"Summary";#N/A,#N/A,FALSE,"proj1";#N/A,#N/A,FALSE,"proj2"}</definedName>
    <definedName name="wrn.first3._1_1" hidden="1">{#N/A,#N/A,FALSE,"Summary";#N/A,#N/A,FALSE,"proj1";#N/A,#N/A,FALSE,"proj2"}</definedName>
    <definedName name="wrn.first4." localSheetId="28" hidden="1">{#N/A,#N/A,FALSE,"Summary";#N/A,#N/A,FALSE,"proj1";#N/A,#N/A,FALSE,"proj2";#N/A,#N/A,FALSE,"DCF"}</definedName>
    <definedName name="wrn.first4." hidden="1">{#N/A,#N/A,FALSE,"Summary";#N/A,#N/A,FALSE,"proj1";#N/A,#N/A,FALSE,"proj2";#N/A,#N/A,FALSE,"DCF"}</definedName>
    <definedName name="wrn.first4._1" localSheetId="28" hidden="1">{#N/A,#N/A,FALSE,"Summary";#N/A,#N/A,FALSE,"proj1";#N/A,#N/A,FALSE,"proj2";#N/A,#N/A,FALSE,"DCF"}</definedName>
    <definedName name="wrn.first4._1" hidden="1">{#N/A,#N/A,FALSE,"Summary";#N/A,#N/A,FALSE,"proj1";#N/A,#N/A,FALSE,"proj2";#N/A,#N/A,FALSE,"DCF"}</definedName>
    <definedName name="wrn.first4._1_1" localSheetId="28" hidden="1">{#N/A,#N/A,FALSE,"Summary";#N/A,#N/A,FALSE,"proj1";#N/A,#N/A,FALSE,"proj2";#N/A,#N/A,FALSE,"DCF"}</definedName>
    <definedName name="wrn.first4._1_1" hidden="1">{#N/A,#N/A,FALSE,"Summary";#N/A,#N/A,FALSE,"proj1";#N/A,#N/A,FALSE,"proj2";#N/A,#N/A,FALSE,"DCF"}</definedName>
    <definedName name="wrn.FOC._.Detail." localSheetId="28" hidden="1">{#N/A,#N/A,TRUE,"FOC_Product_Assumptions"}</definedName>
    <definedName name="wrn.FOC._.Detail." hidden="1">{#N/A,#N/A,TRUE,"FOC_Product_Assumptions"}</definedName>
    <definedName name="wrn.FOC._.Detail._1" localSheetId="28" hidden="1">{#N/A,#N/A,TRUE,"FOC_Product_Assumptions"}</definedName>
    <definedName name="wrn.FOC._.Detail._1" hidden="1">{#N/A,#N/A,TRUE,"FOC_Product_Assumptions"}</definedName>
    <definedName name="wrn.FOC._.Detail._1_1" localSheetId="28" hidden="1">{#N/A,#N/A,TRUE,"FOC_Product_Assumptions"}</definedName>
    <definedName name="wrn.FOC._.Detail._1_1" hidden="1">{#N/A,#N/A,TRUE,"FOC_Product_Assumptions"}</definedName>
    <definedName name="wrn.fpkg." localSheetId="28" hidden="1">{#N/A,#N/A,FALSE,"Consolidated Shipley";#N/A,#N/A,FALSE,"Consolidated PWB";#N/A,#N/A,FALSE,"Consolidated Micro"}</definedName>
    <definedName name="wrn.fpkg." hidden="1">{#N/A,#N/A,FALSE,"Consolidated Shipley";#N/A,#N/A,FALSE,"Consolidated PWB";#N/A,#N/A,FALSE,"Consolidated Micro"}</definedName>
    <definedName name="wrn.fpkg._1" localSheetId="28" hidden="1">{#N/A,#N/A,FALSE,"Consolidated Shipley";#N/A,#N/A,FALSE,"Consolidated PWB";#N/A,#N/A,FALSE,"Consolidated Micro"}</definedName>
    <definedName name="wrn.fpkg._1" hidden="1">{#N/A,#N/A,FALSE,"Consolidated Shipley";#N/A,#N/A,FALSE,"Consolidated PWB";#N/A,#N/A,FALSE,"Consolidated Micro"}</definedName>
    <definedName name="wrn.fpkg._1_1" localSheetId="28" hidden="1">{#N/A,#N/A,FALSE,"Consolidated Shipley";#N/A,#N/A,FALSE,"Consolidated PWB";#N/A,#N/A,FALSE,"Consolidated Micro"}</definedName>
    <definedName name="wrn.fpkg._1_1" hidden="1">{#N/A,#N/A,FALSE,"Consolidated Shipley";#N/A,#N/A,FALSE,"Consolidated PWB";#N/A,#N/A,FALSE,"Consolidated Micro"}</definedName>
    <definedName name="wrn.fpkg1" localSheetId="28" hidden="1">{#N/A,#N/A,FALSE,"Consolidated Shipley";#N/A,#N/A,FALSE,"Consolidated PWB";#N/A,#N/A,FALSE,"Consolidated Micro"}</definedName>
    <definedName name="wrn.fpkg1" hidden="1">{#N/A,#N/A,FALSE,"Consolidated Shipley";#N/A,#N/A,FALSE,"Consolidated PWB";#N/A,#N/A,FALSE,"Consolidated Micro"}</definedName>
    <definedName name="wrn.fpkg1_1" localSheetId="28" hidden="1">{#N/A,#N/A,FALSE,"Consolidated Shipley";#N/A,#N/A,FALSE,"Consolidated PWB";#N/A,#N/A,FALSE,"Consolidated Micro"}</definedName>
    <definedName name="wrn.fpkg1_1" hidden="1">{#N/A,#N/A,FALSE,"Consolidated Shipley";#N/A,#N/A,FALSE,"Consolidated PWB";#N/A,#N/A,FALSE,"Consolidated Micro"}</definedName>
    <definedName name="wrn.fpkg1_1_1" localSheetId="28" hidden="1">{#N/A,#N/A,FALSE,"Consolidated Shipley";#N/A,#N/A,FALSE,"Consolidated PWB";#N/A,#N/A,FALSE,"Consolidated Micro"}</definedName>
    <definedName name="wrn.fpkg1_1_1" hidden="1">{#N/A,#N/A,FALSE,"Consolidated Shipley";#N/A,#N/A,FALSE,"Consolidated PWB";#N/A,#N/A,FALSE,"Consolidated Micro"}</definedName>
    <definedName name="wrn.fpkg2" localSheetId="28" hidden="1">{#N/A,#N/A,FALSE,"Consolidated Shipley";#N/A,#N/A,FALSE,"Consolidated PWB";#N/A,#N/A,FALSE,"Consolidated Micro"}</definedName>
    <definedName name="wrn.fpkg2" hidden="1">{#N/A,#N/A,FALSE,"Consolidated Shipley";#N/A,#N/A,FALSE,"Consolidated PWB";#N/A,#N/A,FALSE,"Consolidated Micro"}</definedName>
    <definedName name="wrn.fpkg2_1" localSheetId="28" hidden="1">{#N/A,#N/A,FALSE,"Consolidated Shipley";#N/A,#N/A,FALSE,"Consolidated PWB";#N/A,#N/A,FALSE,"Consolidated Micro"}</definedName>
    <definedName name="wrn.fpkg2_1" hidden="1">{#N/A,#N/A,FALSE,"Consolidated Shipley";#N/A,#N/A,FALSE,"Consolidated PWB";#N/A,#N/A,FALSE,"Consolidated Micro"}</definedName>
    <definedName name="wrn.fpkg2_1_1" localSheetId="28" hidden="1">{#N/A,#N/A,FALSE,"Consolidated Shipley";#N/A,#N/A,FALSE,"Consolidated PWB";#N/A,#N/A,FALSE,"Consolidated Micro"}</definedName>
    <definedName name="wrn.fpkg2_1_1" hidden="1">{#N/A,#N/A,FALSE,"Consolidated Shipley";#N/A,#N/A,FALSE,"Consolidated PWB";#N/A,#N/A,FALSE,"Consolidated Micro"}</definedName>
    <definedName name="wrn.fpkg3" localSheetId="28" hidden="1">{#N/A,#N/A,FALSE,"Consolidated Shipley";#N/A,#N/A,FALSE,"Consolidated PWB";#N/A,#N/A,FALSE,"Consolidated Micro"}</definedName>
    <definedName name="wrn.fpkg3" hidden="1">{#N/A,#N/A,FALSE,"Consolidated Shipley";#N/A,#N/A,FALSE,"Consolidated PWB";#N/A,#N/A,FALSE,"Consolidated Micro"}</definedName>
    <definedName name="wrn.fpkg3_1" localSheetId="28" hidden="1">{#N/A,#N/A,FALSE,"Consolidated Shipley";#N/A,#N/A,FALSE,"Consolidated PWB";#N/A,#N/A,FALSE,"Consolidated Micro"}</definedName>
    <definedName name="wrn.fpkg3_1" hidden="1">{#N/A,#N/A,FALSE,"Consolidated Shipley";#N/A,#N/A,FALSE,"Consolidated PWB";#N/A,#N/A,FALSE,"Consolidated Micro"}</definedName>
    <definedName name="wrn.fpkg3_1_1" localSheetId="28" hidden="1">{#N/A,#N/A,FALSE,"Consolidated Shipley";#N/A,#N/A,FALSE,"Consolidated PWB";#N/A,#N/A,FALSE,"Consolidated Micro"}</definedName>
    <definedName name="wrn.fpkg3_1_1" hidden="1">{#N/A,#N/A,FALSE,"Consolidated Shipley";#N/A,#N/A,FALSE,"Consolidated PWB";#N/A,#N/A,FALSE,"Consolidated Micro"}</definedName>
    <definedName name="wrn.Full._.Print." localSheetId="28" hidden="1">{"cover page",#N/A,TRUE,"Cover sheet";"Assumptions",#N/A,TRUE,"Main Sheet";"Growth Rates and Margins and Ratios",#N/A,TRUE,"Main Sheet";"Income Statement",#N/A,TRUE,"Main Sheet";"Balance Sheet",#N/A,TRUE,"Main Sheet";"Interest Schedule",#N/A,TRUE,"Main Sheet";"Cashflows",#N/A,TRUE,"Main Sheet"}</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localSheetId="28" hidden="1">{#N/A,#N/A,FALSE,"资产负债表";#N/A,#N/A,FALSE,"资产负债表"}</definedName>
    <definedName name="wrn.gb." hidden="1">{#N/A,#N/A,FALSE,"资产负债表";#N/A,#N/A,FALSE,"资产负债表"}</definedName>
    <definedName name="wrn.GRAPHS." localSheetId="28" hidden="1">{#N/A,#N/A,FALSE,"ACQ_GRAPHS";#N/A,#N/A,FALSE,"T_1 GRAPHS";#N/A,#N/A,FALSE,"T_2 GRAPHS";#N/A,#N/A,FALSE,"COMB_GRAPHS"}</definedName>
    <definedName name="wrn.GRAPHS." hidden="1">{#N/A,#N/A,FALSE,"ACQ_GRAPHS";#N/A,#N/A,FALSE,"T_1 GRAPHS";#N/A,#N/A,FALSE,"T_2 GRAPHS";#N/A,#N/A,FALSE,"COMB_GRAPHS"}</definedName>
    <definedName name="wrn.GRAPHS._1" localSheetId="28" hidden="1">{#N/A,#N/A,FALSE,"ACQ_GRAPHS";#N/A,#N/A,FALSE,"T_1 GRAPHS";#N/A,#N/A,FALSE,"T_2 GRAPHS";#N/A,#N/A,FALSE,"COMB_GRAPHS"}</definedName>
    <definedName name="wrn.GRAPHS._1" hidden="1">{#N/A,#N/A,FALSE,"ACQ_GRAPHS";#N/A,#N/A,FALSE,"T_1 GRAPHS";#N/A,#N/A,FALSE,"T_2 GRAPHS";#N/A,#N/A,FALSE,"COMB_GRAPHS"}</definedName>
    <definedName name="wrn.GRAPHS._1_1" localSheetId="28" hidden="1">{#N/A,#N/A,FALSE,"ACQ_GRAPHS";#N/A,#N/A,FALSE,"T_1 GRAPHS";#N/A,#N/A,FALSE,"T_2 GRAPHS";#N/A,#N/A,FALSE,"COMB_GRAPHS"}</definedName>
    <definedName name="wrn.GRAPHS._1_1" hidden="1">{#N/A,#N/A,FALSE,"ACQ_GRAPHS";#N/A,#N/A,FALSE,"T_1 GRAPHS";#N/A,#N/A,FALSE,"T_2 GRAPHS";#N/A,#N/A,FALSE,"COMB_GRAPHS"}</definedName>
    <definedName name="wrn.gross._.margin._.detail." localSheetId="28" hidden="1">{"gross_margin1",#N/A,FALSE,"Gross Margin Detail";"gross_margin2",#N/A,FALSE,"Gross Margin Detail"}</definedName>
    <definedName name="wrn.gross._.margin._.detail." hidden="1">{"gross_margin1",#N/A,FALSE,"Gross Margin Detail";"gross_margin2",#N/A,FALSE,"Gross Margin Detail"}</definedName>
    <definedName name="wrn.gross._.margin._.detail._1" localSheetId="28" hidden="1">{"gross_margin1",#N/A,FALSE,"Gross Margin Detail";"gross_margin2",#N/A,FALSE,"Gross Margin Detail"}</definedName>
    <definedName name="wrn.gross._.margin._.detail._1" hidden="1">{"gross_margin1",#N/A,FALSE,"Gross Margin Detail";"gross_margin2",#N/A,FALSE,"Gross Margin Detail"}</definedName>
    <definedName name="wrn.gross._.margin._.detail._1_1" localSheetId="28" hidden="1">{"gross_margin1",#N/A,FALSE,"Gross Margin Detail";"gross_margin2",#N/A,FALSE,"Gross Margin Detail"}</definedName>
    <definedName name="wrn.gross._.margin._.detail._1_1" hidden="1">{"gross_margin1",#N/A,FALSE,"Gross Margin Detail";"gross_margin2",#N/A,FALSE,"Gross Margin Detail"}</definedName>
    <definedName name="wrn.HEAT." localSheetId="28" hidden="1">{#N/A,#N/A,FALSE,"Heat";#N/A,#N/A,FALSE,"DCF";#N/A,#N/A,FALSE,"LBO";#N/A,#N/A,FALSE,"A";#N/A,#N/A,FALSE,"C";#N/A,#N/A,FALSE,"impd";#N/A,#N/A,FALSE,"Accr-Dilu"}</definedName>
    <definedName name="wrn.HEAT." hidden="1">{#N/A,#N/A,FALSE,"Heat";#N/A,#N/A,FALSE,"DCF";#N/A,#N/A,FALSE,"LBO";#N/A,#N/A,FALSE,"A";#N/A,#N/A,FALSE,"C";#N/A,#N/A,FALSE,"impd";#N/A,#N/A,FALSE,"Accr-Dilu"}</definedName>
    <definedName name="wrn.HEAT._1" localSheetId="28" hidden="1">{#N/A,#N/A,FALSE,"Heat";#N/A,#N/A,FALSE,"DCF";#N/A,#N/A,FALSE,"LBO";#N/A,#N/A,FALSE,"A";#N/A,#N/A,FALSE,"C";#N/A,#N/A,FALSE,"impd";#N/A,#N/A,FALSE,"Accr-Dilu"}</definedName>
    <definedName name="wrn.HEAT._1" hidden="1">{#N/A,#N/A,FALSE,"Heat";#N/A,#N/A,FALSE,"DCF";#N/A,#N/A,FALSE,"LBO";#N/A,#N/A,FALSE,"A";#N/A,#N/A,FALSE,"C";#N/A,#N/A,FALSE,"impd";#N/A,#N/A,FALSE,"Accr-Dilu"}</definedName>
    <definedName name="wrn.HEAT._1_1" localSheetId="28"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localSheetId="28"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performance._1" localSheetId="28"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localSheetId="28"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localSheetId="2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localSheetId="2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localSheetId="2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28"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Hydraulic2._1" localSheetId="28"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localSheetId="28"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localSheetId="28" hidden="1">{"reports",#N/A,FALSE,"Balance Sheet"}</definedName>
    <definedName name="wrn.Import._.figures." hidden="1">{"reports",#N/A,FALSE,"Balance Sheet"}</definedName>
    <definedName name="wrn.inventory._.aging." localSheetId="2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localSheetId="2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localSheetId="2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localSheetId="28" hidden="1">{"assumptions",#N/A,FALSE,"Scenario 1";"valuation",#N/A,FALSE,"Scenario 1"}</definedName>
    <definedName name="wrn.IPO._.Valuation." hidden="1">{"assumptions",#N/A,FALSE,"Scenario 1";"valuation",#N/A,FALSE,"Scenario 1"}</definedName>
    <definedName name="wrn.IPO._.Valuation._1" localSheetId="28" hidden="1">{"assumptions",#N/A,FALSE,"Scenario 1";"valuation",#N/A,FALSE,"Scenario 1"}</definedName>
    <definedName name="wrn.IPO._.Valuation._1" hidden="1">{"assumptions",#N/A,FALSE,"Scenario 1";"valuation",#N/A,FALSE,"Scenario 1"}</definedName>
    <definedName name="wrn.IPO._.Valuation._1_1" localSheetId="28" hidden="1">{"assumptions",#N/A,FALSE,"Scenario 1";"valuation",#N/A,FALSE,"Scenario 1"}</definedName>
    <definedName name="wrn.IPO._.Valuation._1_1" hidden="1">{"assumptions",#N/A,FALSE,"Scenario 1";"valuation",#N/A,FALSE,"Scenario 1"}</definedName>
    <definedName name="wrn.ipovalue." localSheetId="28" hidden="1">{#N/A,#N/A,FALSE,"puboff";#N/A,#N/A,FALSE,"valuation";#N/A,#N/A,FALSE,"finanalsis";#N/A,#N/A,FALSE,"split";#N/A,#N/A,FALSE,"ownership"}</definedName>
    <definedName name="wrn.ipovalue." hidden="1">{#N/A,#N/A,FALSE,"puboff";#N/A,#N/A,FALSE,"valuation";#N/A,#N/A,FALSE,"finanalsis";#N/A,#N/A,FALSE,"split";#N/A,#N/A,FALSE,"ownership"}</definedName>
    <definedName name="wrn.ipovalue._1" localSheetId="28" hidden="1">{#N/A,#N/A,FALSE,"puboff";#N/A,#N/A,FALSE,"valuation";#N/A,#N/A,FALSE,"finanalsis";#N/A,#N/A,FALSE,"split";#N/A,#N/A,FALSE,"ownership"}</definedName>
    <definedName name="wrn.ipovalue._1" hidden="1">{#N/A,#N/A,FALSE,"puboff";#N/A,#N/A,FALSE,"valuation";#N/A,#N/A,FALSE,"finanalsis";#N/A,#N/A,FALSE,"split";#N/A,#N/A,FALSE,"ownership"}</definedName>
    <definedName name="wrn.ipovalue._1_1" localSheetId="28" hidden="1">{#N/A,#N/A,FALSE,"puboff";#N/A,#N/A,FALSE,"valuation";#N/A,#N/A,FALSE,"finanalsis";#N/A,#N/A,FALSE,"split";#N/A,#N/A,FALSE,"ownership"}</definedName>
    <definedName name="wrn.ipovalue._1_1" hidden="1">{#N/A,#N/A,FALSE,"puboff";#N/A,#N/A,FALSE,"valuation";#N/A,#N/A,FALSE,"finanalsis";#N/A,#N/A,FALSE,"split";#N/A,#N/A,FALSE,"ownership"}</definedName>
    <definedName name="wrn.ISAnnualModel." localSheetId="28" hidden="1">{"AnnModel",#N/A,FALSE,"IS"}</definedName>
    <definedName name="wrn.ISAnnualModel." hidden="1">{"AnnModel",#N/A,FALSE,"IS"}</definedName>
    <definedName name="wrn.ISAnnualModel._1" localSheetId="28" hidden="1">{"AnnModel",#N/A,FALSE,"IS"}</definedName>
    <definedName name="wrn.ISAnnualModel._1" hidden="1">{"AnnModel",#N/A,FALSE,"IS"}</definedName>
    <definedName name="wrn.ISAnnualModel._1_1" localSheetId="28" hidden="1">{"AnnModel",#N/A,FALSE,"IS"}</definedName>
    <definedName name="wrn.ISAnnualModel._1_1" hidden="1">{"AnnModel",#N/A,FALSE,"IS"}</definedName>
    <definedName name="wrn.ISCG._.model." localSheetId="28"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SCG._.model._1" localSheetId="28"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localSheetId="28"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localSheetId="28" hidden="1">{"QtrModel",#N/A,FALSE,"IS"}</definedName>
    <definedName name="wrn.ISQtrModel." hidden="1">{"QtrModel",#N/A,FALSE,"IS"}</definedName>
    <definedName name="wrn.ISQtrModel._1" localSheetId="28" hidden="1">{"QtrModel",#N/A,FALSE,"IS"}</definedName>
    <definedName name="wrn.ISQtrModel._1" hidden="1">{"QtrModel",#N/A,FALSE,"IS"}</definedName>
    <definedName name="wrn.ISQtrModel._1_1" localSheetId="28" hidden="1">{"QtrModel",#N/A,FALSE,"IS"}</definedName>
    <definedName name="wrn.ISQtrModel._1_1" hidden="1">{"QtrModel",#N/A,FALSE,"IS"}</definedName>
    <definedName name="wrn.jck94TAXRETURN."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localSheetId="28" hidden="1">{#N/A,#N/A,TRUE,"Acquirer_Cases_Input";#N/A,#N/A,TRUE,"Acquirer_Input";#N/A,#N/A,TRUE,"Acquirer"}</definedName>
    <definedName name="wrn.Jeff._.Standalone." hidden="1">{#N/A,#N/A,TRUE,"Acquirer_Cases_Input";#N/A,#N/A,TRUE,"Acquirer_Input";#N/A,#N/A,TRUE,"Acquirer"}</definedName>
    <definedName name="wrn.Jeff._.Standalone._1" localSheetId="28" hidden="1">{#N/A,#N/A,TRUE,"Acquirer_Cases_Input";#N/A,#N/A,TRUE,"Acquirer_Input";#N/A,#N/A,TRUE,"Acquirer"}</definedName>
    <definedName name="wrn.Jeff._.Standalone._1" hidden="1">{#N/A,#N/A,TRUE,"Acquirer_Cases_Input";#N/A,#N/A,TRUE,"Acquirer_Input";#N/A,#N/A,TRUE,"Acquirer"}</definedName>
    <definedName name="wrn.Jeff._.Standalone._1_1" localSheetId="28" hidden="1">{#N/A,#N/A,TRUE,"Acquirer_Cases_Input";#N/A,#N/A,TRUE,"Acquirer_Input";#N/A,#N/A,TRUE,"Acquirer"}</definedName>
    <definedName name="wrn.Jeff._.Standalone._1_1" hidden="1">{#N/A,#N/A,TRUE,"Acquirer_Cases_Input";#N/A,#N/A,TRUE,"Acquirer_Input";#N/A,#N/A,TRUE,"Acquirer"}</definedName>
    <definedName name="wrn.JODM._.Graphs." localSheetId="28"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localSheetId="28"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localSheetId="28"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localSheetId="28" hidden="1">{#N/A,#N/A,FALSE,"431"}</definedName>
    <definedName name="wrn.ks" hidden="1">{#N/A,#N/A,FALSE,"431"}</definedName>
    <definedName name="wrn.LBO._.Summary." localSheetId="28" hidden="1">{"LBO Summary",#N/A,FALSE,"Summary"}</definedName>
    <definedName name="wrn.LBO._.Summary." hidden="1">{"LBO Summary",#N/A,FALSE,"Summary"}</definedName>
    <definedName name="wrn.LBO._.Summary._1" localSheetId="28" hidden="1">{"LBO Summary",#N/A,FALSE,"Summary"}</definedName>
    <definedName name="wrn.LBO._.Summary._1" hidden="1">{"LBO Summary",#N/A,FALSE,"Summary"}</definedName>
    <definedName name="wrn.LBO._.Summary._1_1" localSheetId="28" hidden="1">{"LBO Summary",#N/A,FALSE,"Summary"}</definedName>
    <definedName name="wrn.LBO._.Summary._1_1" hidden="1">{"LBO Summary",#N/A,FALSE,"Summary"}</definedName>
    <definedName name="wrn.Main._.Fields."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localSheetId="2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localSheetId="28" hidden="1">{"Assumptions",#N/A,TRUE,"Assumptions";"Income",#N/A,TRUE,"Income";"Balance",#N/A,TRUE,"Balance"}</definedName>
    <definedName name="wrn.Maine." hidden="1">{"Assumptions",#N/A,TRUE,"Assumptions";"Income",#N/A,TRUE,"Income";"Balance",#N/A,TRUE,"Balance"}</definedName>
    <definedName name="wrn.Maine._1" localSheetId="28" hidden="1">{"Assumptions",#N/A,TRUE,"Assumptions";"Income",#N/A,TRUE,"Income";"Balance",#N/A,TRUE,"Balance"}</definedName>
    <definedName name="wrn.Maine._1" hidden="1">{"Assumptions",#N/A,TRUE,"Assumptions";"Income",#N/A,TRUE,"Income";"Balance",#N/A,TRUE,"Balance"}</definedName>
    <definedName name="wrn.Maine._1_1" localSheetId="28" hidden="1">{"Assumptions",#N/A,TRUE,"Assumptions";"Income",#N/A,TRUE,"Income";"Balance",#N/A,TRUE,"Balance"}</definedName>
    <definedName name="wrn.Maine._1_1" hidden="1">{"Assumptions",#N/A,TRUE,"Assumptions";"Income",#N/A,TRUE,"Income";"Balance",#N/A,TRUE,"Balance"}</definedName>
    <definedName name="wrn.Maine2." localSheetId="2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localSheetId="2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localSheetId="2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localSheetId="28" hidden="1">{#N/A,#N/A,FALSE,"IPO";#N/A,#N/A,FALSE,"DCF";#N/A,#N/A,FALSE,"LBO";#N/A,#N/A,FALSE,"MULT_VAL";#N/A,#N/A,FALSE,"Status Quo";#N/A,#N/A,FALSE,"Recap"}</definedName>
    <definedName name="wrn.merge." hidden="1">{#N/A,#N/A,FALSE,"IPO";#N/A,#N/A,FALSE,"DCF";#N/A,#N/A,FALSE,"LBO";#N/A,#N/A,FALSE,"MULT_VAL";#N/A,#N/A,FALSE,"Status Quo";#N/A,#N/A,FALSE,"Recap"}</definedName>
    <definedName name="wrn.merge._1" localSheetId="28" hidden="1">{#N/A,#N/A,FALSE,"IPO";#N/A,#N/A,FALSE,"DCF";#N/A,#N/A,FALSE,"LBO";#N/A,#N/A,FALSE,"MULT_VAL";#N/A,#N/A,FALSE,"Status Quo";#N/A,#N/A,FALSE,"Recap"}</definedName>
    <definedName name="wrn.merge._1" hidden="1">{#N/A,#N/A,FALSE,"IPO";#N/A,#N/A,FALSE,"DCF";#N/A,#N/A,FALSE,"LBO";#N/A,#N/A,FALSE,"MULT_VAL";#N/A,#N/A,FALSE,"Status Quo";#N/A,#N/A,FALSE,"Recap"}</definedName>
    <definedName name="wrn.merge._1_1" localSheetId="28" hidden="1">{#N/A,#N/A,FALSE,"IPO";#N/A,#N/A,FALSE,"DCF";#N/A,#N/A,FALSE,"LBO";#N/A,#N/A,FALSE,"MULT_VAL";#N/A,#N/A,FALSE,"Status Quo";#N/A,#N/A,FALSE,"Recap"}</definedName>
    <definedName name="wrn.merge._1_1" hidden="1">{#N/A,#N/A,FALSE,"IPO";#N/A,#N/A,FALSE,"DCF";#N/A,#N/A,FALSE,"LBO";#N/A,#N/A,FALSE,"MULT_VAL";#N/A,#N/A,FALSE,"Status Quo";#N/A,#N/A,FALSE,"Recap"}</definedName>
    <definedName name="wrn.merger._.BS._.print." localSheetId="28" hidden="1">{"merger2",#N/A,FALSE,"merger"}</definedName>
    <definedName name="wrn.merger._.BS._.print." hidden="1">{"merger2",#N/A,FALSE,"merger"}</definedName>
    <definedName name="wrn.model." localSheetId="28" hidden="1">{"page1",#N/A,FALSE,"GIRLBO";"page2",#N/A,FALSE,"GIRLBO";"page3",#N/A,FALSE,"GIRLBO";"page4",#N/A,FALSE,"GIRLBO";"page5",#N/A,FALSE,"GIRLBO"}</definedName>
    <definedName name="wrn.model." hidden="1">{"page1",#N/A,FALSE,"GIRLBO";"page2",#N/A,FALSE,"GIRLBO";"page3",#N/A,FALSE,"GIRLBO";"page4",#N/A,FALSE,"GIRLBO";"page5",#N/A,FALSE,"GIRLBO"}</definedName>
    <definedName name="wrn.model._1" localSheetId="28" hidden="1">{"page1",#N/A,FALSE,"GIRLBO";"page2",#N/A,FALSE,"GIRLBO";"page3",#N/A,FALSE,"GIRLBO";"page4",#N/A,FALSE,"GIRLBO";"page5",#N/A,FALSE,"GIRLBO"}</definedName>
    <definedName name="wrn.model._1" hidden="1">{"page1",#N/A,FALSE,"GIRLBO";"page2",#N/A,FALSE,"GIRLBO";"page3",#N/A,FALSE,"GIRLBO";"page4",#N/A,FALSE,"GIRLBO";"page5",#N/A,FALSE,"GIRLBO"}</definedName>
    <definedName name="wrn.model._1_1" localSheetId="28"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localSheetId="28" hidden="1">{#N/A,#N/A,FALSE,"Inhalta";#N/A,#N/A,FALSE,"Seite1a";#N/A,#N/A,FALSE,"Seite2a";#N/A,#N/A,FALSE,"Seite3a";#N/A,#N/A,FALSE,"Seite4a";#N/A,#N/A,FALSE,"Seite5a";#N/A,#N/A,FALSE,"Seite6a";#N/A,#N/A,FALSE,"Seite7a";#N/A,#N/A,FALSE,"Seite8a";#N/A,#N/A,FALSE,"Seite9a"}</definedName>
    <definedName name="wrn.Monatsbericht." hidden="1">{#N/A,#N/A,FALSE,"Inhalta";#N/A,#N/A,FALSE,"Seite1a";#N/A,#N/A,FALSE,"Seite2a";#N/A,#N/A,FALSE,"Seite3a";#N/A,#N/A,FALSE,"Seite4a";#N/A,#N/A,FALSE,"Seite5a";#N/A,#N/A,FALSE,"Seite6a";#N/A,#N/A,FALSE,"Seite7a";#N/A,#N/A,FALSE,"Seite8a";#N/A,#N/A,FALSE,"Seite9a"}</definedName>
    <definedName name="wrn.Monatsbericht._1" localSheetId="28"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localSheetId="28"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localSheetId="28" hidden="1">{#N/A,#N/A,FALSE,"PL OCT";#N/A,#N/A,FALSE,"YTD";#N/A,#N/A,FALSE,"Trend03";#N/A,#N/A,FALSE,"03 BalSheet";#N/A,#N/A,FALSE,"Cash Flow"}</definedName>
    <definedName name="wrn.Monthly._.Financials." hidden="1">{#N/A,#N/A,FALSE,"PL OCT";#N/A,#N/A,FALSE,"YTD";#N/A,#N/A,FALSE,"Trend03";#N/A,#N/A,FALSE,"03 BalSheet";#N/A,#N/A,FALSE,"Cash Flow"}</definedName>
    <definedName name="wrn.Monthly._.Financials._1" localSheetId="28"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localSheetId="28" hidden="1">{#N/A,#N/A,FALSE,"PL OCT";#N/A,#N/A,FALSE,"YTD";#N/A,#N/A,FALSE,"Trend03";#N/A,#N/A,FALSE,"03 BalSheet";#N/A,#N/A,FALSE,"Cash Flow"}</definedName>
    <definedName name="wrn.Monthly._.Financials._1_1" hidden="1">{#N/A,#N/A,FALSE,"PL OCT";#N/A,#N/A,FALSE,"YTD";#N/A,#N/A,FALSE,"Trend03";#N/A,#N/A,FALSE,"03 BalSheet";#N/A,#N/A,FALSE,"Cash Flow"}</definedName>
    <definedName name="wrn.NEW." localSheetId="28" hidden="1">{"Total P&amp;L",#N/A,FALSE,"P&amp;LTECH";"SUMPIPELINE",#N/A,FALSE,"P&amp;LTECH";"REVENUE",#N/A,FALSE,"P&amp;LTECH";"r&amp;d",#N/A,FALSE,"P&amp;LTECH"}</definedName>
    <definedName name="wrn.NEW." hidden="1">{"Total P&amp;L",#N/A,FALSE,"P&amp;LTECH";"SUMPIPELINE",#N/A,FALSE,"P&amp;LTECH";"REVENUE",#N/A,FALSE,"P&amp;LTECH";"r&amp;d",#N/A,FALSE,"P&amp;LTECH"}</definedName>
    <definedName name="wrn.NEW._1" localSheetId="28"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localSheetId="28"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localSheetId="28" hidden="1">{#N/A,#N/A,TRUE,"TS";#N/A,#N/A,TRUE,"Combo";#N/A,#N/A,TRUE,"FAIR";#N/A,#N/A,TRUE,"RBC";#N/A,#N/A,TRUE,"xxxx"}</definedName>
    <definedName name="wrn.newest." hidden="1">{#N/A,#N/A,TRUE,"TS";#N/A,#N/A,TRUE,"Combo";#N/A,#N/A,TRUE,"FAIR";#N/A,#N/A,TRUE,"RBC";#N/A,#N/A,TRUE,"xxxx"}</definedName>
    <definedName name="wrn.newest._1" localSheetId="28" hidden="1">{#N/A,#N/A,TRUE,"TS";#N/A,#N/A,TRUE,"Combo";#N/A,#N/A,TRUE,"FAIR";#N/A,#N/A,TRUE,"RBC";#N/A,#N/A,TRUE,"xxxx"}</definedName>
    <definedName name="wrn.newest._1" hidden="1">{#N/A,#N/A,TRUE,"TS";#N/A,#N/A,TRUE,"Combo";#N/A,#N/A,TRUE,"FAIR";#N/A,#N/A,TRUE,"RBC";#N/A,#N/A,TRUE,"xxxx"}</definedName>
    <definedName name="wrn.newest._1_1" localSheetId="28" hidden="1">{#N/A,#N/A,TRUE,"TS";#N/A,#N/A,TRUE,"Combo";#N/A,#N/A,TRUE,"FAIR";#N/A,#N/A,TRUE,"RBC";#N/A,#N/A,TRUE,"xxxx"}</definedName>
    <definedName name="wrn.newest._1_1" hidden="1">{#N/A,#N/A,TRUE,"TS";#N/A,#N/A,TRUE,"Combo";#N/A,#N/A,TRUE,"FAIR";#N/A,#N/A,TRUE,"RBC";#N/A,#N/A,TRUE,"xxxx"}</definedName>
    <definedName name="wrn.Notes." localSheetId="28" hidden="1">{#N/A,#N/A,FALSE,"Pink Form";#N/A,#N/A,FALSE,"Index";#N/A,#N/A,FALSE,"Cap &amp; Res";#N/A,#N/A,FALSE,"Tax";#N/A,#N/A,FALSE,"ICA";#N/A,#N/A,FALSE,"Debtors";#N/A,#N/A,FALSE,"Bank";#N/A,#N/A,FALSE,"Stock";#N/A,#N/A,FALSE,"Creditors";#N/A,#N/A,FALSE,"GST";#N/A,#N/A,FALSE,"Total TL";#N/A,#N/A,FALSE,"HP Cred";#N/A,#N/A,FALSE,"Term Lia"}</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localSheetId="2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localSheetId="28" hidden="1">{"DCF","UPSIDE CASE",FALSE,"Sheet1";"DCF","BASE CASE",FALSE,"Sheet1";"DCF","DOWNSIDE CASE",FALSE,"Sheet1"}</definedName>
    <definedName name="wrn.OUTPUT._1" hidden="1">{"DCF","UPSIDE CASE",FALSE,"Sheet1";"DCF","BASE CASE",FALSE,"Sheet1";"DCF","DOWNSIDE CASE",FALSE,"Sheet1"}</definedName>
    <definedName name="wrn.OUTPUT._1_1" localSheetId="28" hidden="1">{"DCF","UPSIDE CASE",FALSE,"Sheet1";"DCF","BASE CASE",FALSE,"Sheet1";"DCF","DOWNSIDE CASE",FALSE,"Sheet1"}</definedName>
    <definedName name="wrn.OUTPUT._1_1" hidden="1">{"DCF","UPSIDE CASE",FALSE,"Sheet1";"DCF","BASE CASE",FALSE,"Sheet1";"DCF","DOWNSIDE CASE",FALSE,"Sheet1"}</definedName>
    <definedName name="wrn.Package." localSheetId="28" hidden="1">{#N/A,#N/A,FALSE,"PL NOV";#N/A,#N/A,FALSE,"Trend00";#N/A,#N/A,FALSE,"YTD";#N/A,#N/A,FALSE,"00 balSheet";#N/A,#N/A,FALSE,"Bank BalSh"}</definedName>
    <definedName name="wrn.Package." hidden="1">{#N/A,#N/A,FALSE,"PL NOV";#N/A,#N/A,FALSE,"Trend00";#N/A,#N/A,FALSE,"YTD";#N/A,#N/A,FALSE,"00 balSheet";#N/A,#N/A,FALSE,"Bank BalSh"}</definedName>
    <definedName name="wrn.Package._1" localSheetId="28" hidden="1">{#N/A,#N/A,FALSE,"PL NOV";#N/A,#N/A,FALSE,"Trend00";#N/A,#N/A,FALSE,"YTD";#N/A,#N/A,FALSE,"00 balSheet";#N/A,#N/A,FALSE,"Bank BalSh"}</definedName>
    <definedName name="wrn.Package._1" hidden="1">{#N/A,#N/A,FALSE,"PL NOV";#N/A,#N/A,FALSE,"Trend00";#N/A,#N/A,FALSE,"YTD";#N/A,#N/A,FALSE,"00 balSheet";#N/A,#N/A,FALSE,"Bank BalSh"}</definedName>
    <definedName name="wrn.Package._1_1" localSheetId="28" hidden="1">{#N/A,#N/A,FALSE,"PL NOV";#N/A,#N/A,FALSE,"Trend00";#N/A,#N/A,FALSE,"YTD";#N/A,#N/A,FALSE,"00 balSheet";#N/A,#N/A,FALSE,"Bank BalSh"}</definedName>
    <definedName name="wrn.Package._1_1" hidden="1">{#N/A,#N/A,FALSE,"PL NOV";#N/A,#N/A,FALSE,"Trend00";#N/A,#N/A,FALSE,"YTD";#N/A,#N/A,FALSE,"00 balSheet";#N/A,#N/A,FALSE,"Bank BalSh"}</definedName>
    <definedName name="wrn.packer._.1." localSheetId="2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localSheetId="2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localSheetId="2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localSheetId="2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localSheetId="2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localSheetId="2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localSheetId="2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localSheetId="28"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localSheetId="28" hidden="1">{"PL11",#N/A,FALSE,"input"}</definedName>
    <definedName name="wrn.PL1._.print." hidden="1">{"PL11",#N/A,FALSE,"input"}</definedName>
    <definedName name="wrn.PLX." localSheetId="28"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localSheetId="28"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localSheetId="28"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localSheetId="28" hidden="1">{#N/A,#N/A,FALSE,"SUM";#N/A,#N/A,FALSE,"Holding Cost ";#N/A,#N/A,FALSE,"2000 &amp; C3D";#N/A,#N/A,FALSE,"Disposal Costs";#N/A,#N/A,FALSE,"WIP";#N/A,#N/A,FALSE,"Fin Goods"}</definedName>
    <definedName name="wrn.print." hidden="1">{#N/A,#N/A,FALSE,"SUM";#N/A,#N/A,FALSE,"Holding Cost ";#N/A,#N/A,FALSE,"2000 &amp; C3D";#N/A,#N/A,FALSE,"Disposal Costs";#N/A,#N/A,FALSE,"WIP";#N/A,#N/A,FALSE,"Fin Goods"}</definedName>
    <definedName name="wrn.Print._.All._.Pages."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localSheetId="28"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localSheetId="28" hidden="1">{#N/A,#N/A,FALSE,"SUM";#N/A,#N/A,FALSE,"Holding Cost ";#N/A,#N/A,FALSE,"2000 &amp; C3D";#N/A,#N/A,FALSE,"Disposal Costs";#N/A,#N/A,FALSE,"WIP";#N/A,#N/A,FALSE,"Fin Goods"}</definedName>
    <definedName name="wrn.print._1" hidden="1">{#N/A,#N/A,FALSE,"SUM";#N/A,#N/A,FALSE,"Holding Cost ";#N/A,#N/A,FALSE,"2000 &amp; C3D";#N/A,#N/A,FALSE,"Disposal Costs";#N/A,#N/A,FALSE,"WIP";#N/A,#N/A,FALSE,"Fin Goods"}</definedName>
    <definedName name="wrn.print._1_1" localSheetId="28"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localSheetId="28" hidden="1">{"Title",#N/A,FALSE,"Title";"Info",#N/A,FALSE,"Title";"Contents",#N/A,FALSE,"Title";"Sec.1",#N/A,FALSE,"Title";"Output1",#N/A,FALSE,"Output";"Sec.2",#N/A,FALSE,"Title";"Graph1",#N/A,FALSE,"Output";"Graph2",#N/A,FALSE,"Output";"Sec.3",#N/A,FALSE,"Title";"Gap1",#N/A,FALSE,"Output";"Sec.4",#N/A,FALSE,"Title";"Model_all",#N/A,FALSE,"Autostrade S.p.A."}</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localSheetId="28" hidden="1">{"Multiple view",#N/A,FALSE,"GS Update Valuation";"NLG Merger view",#N/A,FALSE,"GS Update Valuation";"Dollar Merger view",#N/A,FALSE,"GS Update Valuation"}</definedName>
    <definedName name="wrn.Printout." hidden="1">{"Multiple view",#N/A,FALSE,"GS Update Valuation";"NLG Merger view",#N/A,FALSE,"GS Update Valuation";"Dollar Merger view",#N/A,FALSE,"GS Update Valuation"}</definedName>
    <definedName name="wrn.Pump." localSheetId="28"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Pump._1" localSheetId="28"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localSheetId="28"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localSheetId="28" hidden="1">{#N/A,#N/A,FALSE,"Virgin Flightdeck"}</definedName>
    <definedName name="wrn.Radio." hidden="1">{#N/A,#N/A,FALSE,"Virgin Flightdeck"}</definedName>
    <definedName name="wrn.Radio._1" localSheetId="28" hidden="1">{#N/A,#N/A,FALSE,"Virgin Flightdeck"}</definedName>
    <definedName name="wrn.Radio._1" hidden="1">{#N/A,#N/A,FALSE,"Virgin Flightdeck"}</definedName>
    <definedName name="wrn.Radio._1_1" localSheetId="28" hidden="1">{#N/A,#N/A,FALSE,"Virgin Flightdeck"}</definedName>
    <definedName name="wrn.Radio._1_1" hidden="1">{#N/A,#N/A,FALSE,"Virgin Flightdeck"}</definedName>
    <definedName name="wrn.RELEVANTSHEETS." localSheetId="28" hidden="1">{#N/A,#N/A,FALSE,"AD_Purch";#N/A,#N/A,FALSE,"Projections";#N/A,#N/A,FALSE,"DCF";#N/A,#N/A,FALSE,"Mkt Val"}</definedName>
    <definedName name="wrn.RELEVANTSHEETS." hidden="1">{#N/A,#N/A,FALSE,"AD_Purch";#N/A,#N/A,FALSE,"Projections";#N/A,#N/A,FALSE,"DCF";#N/A,#N/A,FALSE,"Mkt Val"}</definedName>
    <definedName name="wrn.RELEVANTSHEETS._1" localSheetId="28" hidden="1">{#N/A,#N/A,FALSE,"AD_Purch";#N/A,#N/A,FALSE,"Projections";#N/A,#N/A,FALSE,"DCF";#N/A,#N/A,FALSE,"Mkt Val"}</definedName>
    <definedName name="wrn.RELEVANTSHEETS._1" hidden="1">{#N/A,#N/A,FALSE,"AD_Purch";#N/A,#N/A,FALSE,"Projections";#N/A,#N/A,FALSE,"DCF";#N/A,#N/A,FALSE,"Mkt Val"}</definedName>
    <definedName name="wrn.RELEVANTSHEETS._1_1" localSheetId="28" hidden="1">{#N/A,#N/A,FALSE,"AD_Purch";#N/A,#N/A,FALSE,"Projections";#N/A,#N/A,FALSE,"DCF";#N/A,#N/A,FALSE,"Mkt Val"}</definedName>
    <definedName name="wrn.RELEVANTSHEETS._1_1" hidden="1">{#N/A,#N/A,FALSE,"AD_Purch";#N/A,#N/A,FALSE,"Projections";#N/A,#N/A,FALSE,"DCF";#N/A,#N/A,FALSE,"Mkt Val"}</definedName>
    <definedName name="wrn.Report1." localSheetId="28" hidden="1">{"Title",#N/A,TRUE,"Title";"Content",#N/A,TRUE,"Title";"Section1",#N/A,TRUE,"Title";"Output1",#N/A,TRUE,"Output";"Section2",#N/A,TRUE,"Title";"Graph1",#N/A,TRUE,"Output";"Section3",#N/A,TRUE,"Title";"Graph2",#N/A,TRUE,"Output";"Section4",#N/A,TRUE,"Title";"Gap1",#N/A,TRUE,"Output";"Section5",#N/A,TRUE,"Title";"Model_all",#N/A,TRUE,"Autostrade S.p.A."}</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localSheetId="28" hidden="1">{"NI2",#N/A,FALSE,"Sum - Exp";"Revenue2",#N/A,FALSE,"Sum - Exp";"Headcount2",#N/A,FALSE,"Sum - Exp";"Pipeline2",#N/A,FALSE,"Sum - Exp";"expenses",#N/A,FALSE,"Sum - Exp"}</definedName>
    <definedName name="wrn.Reports2." hidden="1">{"NI2",#N/A,FALSE,"Sum - Exp";"Revenue2",#N/A,FALSE,"Sum - Exp";"Headcount2",#N/A,FALSE,"Sum - Exp";"Pipeline2",#N/A,FALSE,"Sum - Exp";"expenses",#N/A,FALSE,"Sum - Exp"}</definedName>
    <definedName name="wrn.Reports2._1" localSheetId="28"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localSheetId="28"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localSheetId="28"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_1" localSheetId="28"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localSheetId="28"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localSheetId="28" hidden="1">{"revenue graph",#N/A,FALSE,"Revenue Graph"}</definedName>
    <definedName name="wrn.revenue._.graph." hidden="1">{"revenue graph",#N/A,FALSE,"Revenue Graph"}</definedName>
    <definedName name="wrn.revenue._.graph._1" localSheetId="28" hidden="1">{"revenue graph",#N/A,FALSE,"Revenue Graph"}</definedName>
    <definedName name="wrn.revenue._.graph._1" hidden="1">{"revenue graph",#N/A,FALSE,"Revenue Graph"}</definedName>
    <definedName name="wrn.revenue._.graph._1_1" localSheetId="28" hidden="1">{"revenue graph",#N/A,FALSE,"Revenue Graph"}</definedName>
    <definedName name="wrn.revenue._.graph._1_1" hidden="1">{"revenue graph",#N/A,FALSE,"Revenue Graph"}</definedName>
    <definedName name="wrn.Roll._.Up._.Fields." localSheetId="28"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Roll._.Up._.Fields._1" localSheetId="28"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localSheetId="28"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localSheetId="28" hidden="1">{#N/A,#N/A,TRUE,"Funnel";#N/A,#N/A,TRUE,"FunnelMatrix"}</definedName>
    <definedName name="wrn.Sales._.Funnel._.Analysis._.2." hidden="1">{#N/A,#N/A,TRUE,"Funnel";#N/A,#N/A,TRUE,"FunnelMatrix"}</definedName>
    <definedName name="wrn.Singtel._.Model." localSheetId="2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localSheetId="28" hidden="1">{#N/A,#N/A,FALSE,"Service + Produktion kum";#N/A,#N/A,FALSE,"Produktion kum";#N/A,#N/A,FALSE,"Service kum";#N/A,#N/A,FALSE,"Service Monat";#N/A,#N/A,FALSE,"CARAT"}</definedName>
    <definedName name="wrn.Standard." hidden="1">{#N/A,#N/A,FALSE,"Service + Produktion kum";#N/A,#N/A,FALSE,"Produktion kum";#N/A,#N/A,FALSE,"Service kum";#N/A,#N/A,FALSE,"Service Monat";#N/A,#N/A,FALSE,"CARAT"}</definedName>
    <definedName name="wrn.Standard._.Package." localSheetId="28" hidden="1">{"VIEW ACTUALS 1",#N/A,TRUE,"Report1";"VIEW ACTUALS 2",#N/A,TRUE,"Report1";"SCALE COMPARISON",#N/A,TRUE,"Report1"}</definedName>
    <definedName name="wrn.Standard._.Package." hidden="1">{"VIEW ACTUALS 1",#N/A,TRUE,"Report1";"VIEW ACTUALS 2",#N/A,TRUE,"Report1";"SCALE COMPARISON",#N/A,TRUE,"Report1"}</definedName>
    <definedName name="wrn.Standard._.Reports."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localSheetId="28" hidden="1">{#N/A,#N/A,FALSE,"Service + Produktion kum";#N/A,#N/A,FALSE,"Produktion kum";#N/A,#N/A,FALSE,"Service kum";#N/A,#N/A,FALSE,"Service Monat";#N/A,#N/A,FALSE,"CARAT"}</definedName>
    <definedName name="wrn.Standard._1" hidden="1">{#N/A,#N/A,FALSE,"Service + Produktion kum";#N/A,#N/A,FALSE,"Produktion kum";#N/A,#N/A,FALSE,"Service kum";#N/A,#N/A,FALSE,"Service Monat";#N/A,#N/A,FALSE,"CARAT"}</definedName>
    <definedName name="wrn.Standard._1_1" localSheetId="28"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localSheetId="28"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28"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localSheetId="28"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localSheetId="28" hidden="1">{"Sum1",#N/A,FALSE,"Reserve Report";"Sum2",#N/A,FALSE,"Reserve Report";"Sum3",#N/A,FALSE,"Reserve Report";"Sum4",#N/A,FALSE,"Reserve Report"}</definedName>
    <definedName name="wrn.Summary." hidden="1">{"Sum1",#N/A,FALSE,"Reserve Report";"Sum2",#N/A,FALSE,"Reserve Report";"Sum3",#N/A,FALSE,"Reserve Report";"Sum4",#N/A,FALSE,"Reserve Report"}</definedName>
    <definedName name="wrn.summary.." localSheetId="28" hidden="1">{#N/A,#N/A,TRUE,"KEY DATA";#N/A,#N/A,TRUE,"KEY DATA Base Case";#N/A,#N/A,TRUE,"JULY";#N/A,#N/A,TRUE,"AUG";#N/A,#N/A,TRUE,"SEPT";#N/A,#N/A,TRUE,"3Q"}</definedName>
    <definedName name="wrn.summary.." hidden="1">{#N/A,#N/A,TRUE,"KEY DATA";#N/A,#N/A,TRUE,"KEY DATA Base Case";#N/A,#N/A,TRUE,"JULY";#N/A,#N/A,TRUE,"AUG";#N/A,#N/A,TRUE,"SEPT";#N/A,#N/A,TRUE,"3Q"}</definedName>
    <definedName name="wrn.summary.._1" localSheetId="28" hidden="1">{#N/A,#N/A,TRUE,"KEY DATA";#N/A,#N/A,TRUE,"KEY DATA Base Case";#N/A,#N/A,TRUE,"JULY";#N/A,#N/A,TRUE,"AUG";#N/A,#N/A,TRUE,"SEPT";#N/A,#N/A,TRUE,"3Q"}</definedName>
    <definedName name="wrn.summary.._1" hidden="1">{#N/A,#N/A,TRUE,"KEY DATA";#N/A,#N/A,TRUE,"KEY DATA Base Case";#N/A,#N/A,TRUE,"JULY";#N/A,#N/A,TRUE,"AUG";#N/A,#N/A,TRUE,"SEPT";#N/A,#N/A,TRUE,"3Q"}</definedName>
    <definedName name="wrn.summary.._1_1" localSheetId="28"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localSheetId="28" hidden="1">{"summary1",#N/A,FALSE,"Summary of Values";"summary2",#N/A,FALSE,"Summary of Values"}</definedName>
    <definedName name="wrn.summary._.schedules." hidden="1">{"summary1",#N/A,FALSE,"Summary of Values";"summary2",#N/A,FALSE,"Summary of Values"}</definedName>
    <definedName name="wrn.summary._.schedules._1" localSheetId="28" hidden="1">{"summary1",#N/A,FALSE,"Summary of Values";"summary2",#N/A,FALSE,"Summary of Values"}</definedName>
    <definedName name="wrn.summary._.schedules._1" hidden="1">{"summary1",#N/A,FALSE,"Summary of Values";"summary2",#N/A,FALSE,"Summary of Values"}</definedName>
    <definedName name="wrn.summary._.schedules._1_1" localSheetId="28" hidden="1">{"summary1",#N/A,FALSE,"Summary of Values";"summary2",#N/A,FALSE,"Summary of Values"}</definedName>
    <definedName name="wrn.summary._.schedules._1_1" hidden="1">{"summary1",#N/A,FALSE,"Summary of Values";"summary2",#N/A,FALSE,"Summary of Values"}</definedName>
    <definedName name="wrn.Summary._.sheet._.print." localSheetId="28" hidden="1">{"print view",#N/A,FALSE,"Summary"}</definedName>
    <definedName name="wrn.Summary._.sheet._.print." hidden="1">{"print view",#N/A,FALSE,"Summary"}</definedName>
    <definedName name="wrn.Summary._1" localSheetId="28" hidden="1">{"Sum1",#N/A,FALSE,"Reserve Report";"Sum2",#N/A,FALSE,"Reserve Report";"Sum3",#N/A,FALSE,"Reserve Report";"Sum4",#N/A,FALSE,"Reserve Report"}</definedName>
    <definedName name="wrn.Summary._1" hidden="1">{"Sum1",#N/A,FALSE,"Reserve Report";"Sum2",#N/A,FALSE,"Reserve Report";"Sum3",#N/A,FALSE,"Reserve Report";"Sum4",#N/A,FALSE,"Reserve Report"}</definedName>
    <definedName name="wrn.Summary._1_1" localSheetId="28"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localSheetId="28" hidden="1">{#N/A,#N/A,FALSE,"Report Data";#N/A,#N/A,FALSE,"COMP POOL";#N/A,#N/A,FALSE,"COMP POOL NB95";#N/A,#N/A,FALSE,"COMP POOL NB94"}</definedName>
    <definedName name="wrn.Supplemental_Reports." hidden="1">{#N/A,#N/A,FALSE,"Report Data";#N/A,#N/A,FALSE,"COMP POOL";#N/A,#N/A,FALSE,"COMP POOL NB95";#N/A,#N/A,FALSE,"COMP POOL NB94"}</definedName>
    <definedName name="wrn.Supplemental_Reports._1" localSheetId="28"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localSheetId="28"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localSheetId="28"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_.DCF._1" localSheetId="28"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localSheetId="28"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localSheetId="28"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localSheetId="28"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localSheetId="28"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localSheetId="28" hidden="1">{"test2",#N/A,TRUE,"Prices"}</definedName>
    <definedName name="wrn.test." hidden="1">{"test2",#N/A,TRUE,"Prices"}</definedName>
    <definedName name="wrn.TheWholeEnchilada." localSheetId="28" hidden="1">{"CSheet",#N/A,FALSE,"C";"SmCap",#N/A,FALSE,"VAL1";"GulfCoast",#N/A,FALSE,"VAL1";"nav",#N/A,FALSE,"NAV";"Summary",#N/A,FALSE,"NAV"}</definedName>
    <definedName name="wrn.TheWholeEnchilada." hidden="1">{"CSheet",#N/A,FALSE,"C";"SmCap",#N/A,FALSE,"VAL1";"GulfCoast",#N/A,FALSE,"VAL1";"nav",#N/A,FALSE,"NAV";"Summary",#N/A,FALSE,"NAV"}</definedName>
    <definedName name="wrn.TheWholeEnchilada._1" localSheetId="28" hidden="1">{"CSheet",#N/A,FALSE,"C";"SmCap",#N/A,FALSE,"VAL1";"GulfCoast",#N/A,FALSE,"VAL1";"nav",#N/A,FALSE,"NAV";"Summary",#N/A,FALSE,"NAV"}</definedName>
    <definedName name="wrn.TheWholeEnchilada._1" hidden="1">{"CSheet",#N/A,FALSE,"C";"SmCap",#N/A,FALSE,"VAL1";"GulfCoast",#N/A,FALSE,"VAL1";"nav",#N/A,FALSE,"NAV";"Summary",#N/A,FALSE,"NAV"}</definedName>
    <definedName name="wrn.TheWholeEnchilada._1_1" localSheetId="28" hidden="1">{"CSheet",#N/A,FALSE,"C";"SmCap",#N/A,FALSE,"VAL1";"GulfCoast",#N/A,FALSE,"VAL1";"nav",#N/A,FALSE,"NAV";"Summary",#N/A,FALSE,"NAV"}</definedName>
    <definedName name="wrn.TheWholeEnchilada._1_1" hidden="1">{"CSheet",#N/A,FALSE,"C";"SmCap",#N/A,FALSE,"VAL1";"GulfCoast",#N/A,FALSE,"VAL1";"nav",#N/A,FALSE,"NAV";"Summary",#N/A,FALSE,"NAV"}</definedName>
    <definedName name="wrn.TOOL." localSheetId="2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localSheetId="2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localSheetId="2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localSheetId="28" hidden="1">{"toptrial",#N/A,TRUE,"toptrial";"adjustment",#N/A,TRUE,"toptrial";"voucher",#N/A,TRUE,"toptrial"}</definedName>
    <definedName name="wrn.toptrial." hidden="1">{"toptrial",#N/A,TRUE,"toptrial";"adjustment",#N/A,TRUE,"toptrial";"voucher",#N/A,TRUE,"toptrial"}</definedName>
    <definedName name="wrn.Total." localSheetId="28" hidden="1">{#N/A,#N/A,FALSE,"Trans-Sum";#N/A,#N/A,FALSE,"Accr-Dilu2";#N/A,#N/A,FALSE,"Contribution";#N/A,#N/A,FALSE,"Combined";#N/A,#N/A,FALSE,"ASTF";#N/A,#N/A,FALSE,"BRA";#N/A,#N/A,FALSE,"Bra_C";#N/A,#N/A,FALSE,"AcqMults";#N/A,#N/A,FALSE,"CompMults";#N/A,#N/A,FALSE,"DCF";#N/A,#N/A,FALSE,"WACC";#N/A,#N/A,FALSE,"LBO";#N/A,#N/A,FALSE,"Summary";#N/A,#N/A,FALSE,"StructSum"}</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localSheetId="28" hidden="1">{"Total",#N/A,FALSE,"Total Proved";"PDP",#N/A,FALSE,"Total Proved";"PNP",#N/A,FALSE,"Total Proved";"PUD",#N/A,FALSE,"Total Proved"}</definedName>
    <definedName name="wrn.Total._.Proved." hidden="1">{"Total",#N/A,FALSE,"Total Proved";"PDP",#N/A,FALSE,"Total Proved";"PNP",#N/A,FALSE,"Total Proved";"PUD",#N/A,FALSE,"Total Proved"}</definedName>
    <definedName name="wrn.Total._.Proved._.plus._.Probable." localSheetId="28"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localSheetId="28"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localSheetId="28"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localSheetId="28" hidden="1">{"Total",#N/A,FALSE,"Total Proved";"PDP",#N/A,FALSE,"Total Proved";"PNP",#N/A,FALSE,"Total Proved";"PUD",#N/A,FALSE,"Total Proved"}</definedName>
    <definedName name="wrn.Total._.Proved._1" hidden="1">{"Total",#N/A,FALSE,"Total Proved";"PDP",#N/A,FALSE,"Total Proved";"PNP",#N/A,FALSE,"Total Proved";"PUD",#N/A,FALSE,"Total Proved"}</definedName>
    <definedName name="wrn.Total._.Proved._1_1" localSheetId="28"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localSheetId="28" hidden="1">{#N/A,#N/A,FALSE,"Trans-Sum";#N/A,#N/A,FALSE,"Accr-Dilu2";#N/A,#N/A,FALSE,"Contribution";#N/A,#N/A,FALSE,"Combined";#N/A,#N/A,FALSE,"ASTF";#N/A,#N/A,FALSE,"BRA";#N/A,#N/A,FALSE,"Bra_C";#N/A,#N/A,FALSE,"AcqMults";#N/A,#N/A,FALSE,"CompMults";#N/A,#N/A,FALSE,"DCF";#N/A,#N/A,FALSE,"WACC";#N/A,#N/A,FALSE,"LBO";#N/A,#N/A,FALSE,"Summary";#N/A,#N/A,FALSE,"StructSum"}</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localSheetId="28"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localSheetId="28" hidden="1">{"trademark1",#N/A,FALSE,"Trademark(s) and Trade Name(s)"}</definedName>
    <definedName name="wrn.trademark._.and._.trade._.name." hidden="1">{"trademark1",#N/A,FALSE,"Trademark(s) and Trade Name(s)"}</definedName>
    <definedName name="wrn.trademark._.and._.trade._.name._1" localSheetId="28" hidden="1">{"trademark1",#N/A,FALSE,"Trademark(s) and Trade Name(s)"}</definedName>
    <definedName name="wrn.trademark._.and._.trade._.name._1" hidden="1">{"trademark1",#N/A,FALSE,"Trademark(s) and Trade Name(s)"}</definedName>
    <definedName name="wrn.trademark._.and._.trade._.name._1_1" localSheetId="28" hidden="1">{"trademark1",#N/A,FALSE,"Trademark(s) and Trade Name(s)"}</definedName>
    <definedName name="wrn.trademark._.and._.trade._.name._1_1" hidden="1">{"trademark1",#N/A,FALSE,"Trademark(s) and Trade Name(s)"}</definedName>
    <definedName name="wrn.TransPrcd_123." localSheetId="28" hidden="1">{#N/A,#N/A,TRUE,"TransPrcd 1";#N/A,#N/A,TRUE,"TransPrcd 2";#N/A,#N/A,TRUE,"TransPrcd 3"}</definedName>
    <definedName name="wrn.TransPrcd_123." hidden="1">{#N/A,#N/A,TRUE,"TransPrcd 1";#N/A,#N/A,TRUE,"TransPrcd 2";#N/A,#N/A,TRUE,"TransPrcd 3"}</definedName>
    <definedName name="wrn.TransPrcd_123._1" localSheetId="28" hidden="1">{#N/A,#N/A,TRUE,"TransPrcd 1";#N/A,#N/A,TRUE,"TransPrcd 2";#N/A,#N/A,TRUE,"TransPrcd 3"}</definedName>
    <definedName name="wrn.TransPrcd_123._1" hidden="1">{#N/A,#N/A,TRUE,"TransPrcd 1";#N/A,#N/A,TRUE,"TransPrcd 2";#N/A,#N/A,TRUE,"TransPrcd 3"}</definedName>
    <definedName name="wrn.TransPrcd_123._1_1" localSheetId="28" hidden="1">{#N/A,#N/A,TRUE,"TransPrcd 1";#N/A,#N/A,TRUE,"TransPrcd 2";#N/A,#N/A,TRUE,"TransPrcd 3"}</definedName>
    <definedName name="wrn.TransPrcd_123._1_1" hidden="1">{#N/A,#N/A,TRUE,"TransPrcd 1";#N/A,#N/A,TRUE,"TransPrcd 2";#N/A,#N/A,TRUE,"TransPrcd 3"}</definedName>
    <definedName name="wrn.UK._.GAAP._.BS." localSheetId="28" hidden="1">{"UKGAAP balance sheet",#N/A,FALSE,"Balance Sheet"}</definedName>
    <definedName name="wrn.UK._.GAAP._.BS." hidden="1">{"UKGAAP balance sheet",#N/A,FALSE,"Balance Sheet"}</definedName>
    <definedName name="wrn.upstairs." localSheetId="28" hidden="1">{"histincome",#N/A,FALSE,"hyfins";"closing balance",#N/A,FALSE,"hyfins"}</definedName>
    <definedName name="wrn.upstairs." hidden="1">{"histincome",#N/A,FALSE,"hyfins";"closing balance",#N/A,FALSE,"hyfins"}</definedName>
    <definedName name="wrn.upstairs._1" localSheetId="28" hidden="1">{"histincome",#N/A,FALSE,"hyfins";"closing balance",#N/A,FALSE,"hyfins"}</definedName>
    <definedName name="wrn.upstairs._1" hidden="1">{"histincome",#N/A,FALSE,"hyfins";"closing balance",#N/A,FALSE,"hyfins"}</definedName>
    <definedName name="wrn.upstairs._1_1" localSheetId="28" hidden="1">{"histincome",#N/A,FALSE,"hyfins";"closing balance",#N/A,FALSE,"hyfins"}</definedName>
    <definedName name="wrn.upstairs._1_1" hidden="1">{"histincome",#N/A,FALSE,"hyfins";"closing balance",#N/A,FALSE,"hyfins"}</definedName>
    <definedName name="wrn.VALUATION." localSheetId="28"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1" localSheetId="28"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localSheetId="28"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localSheetId="28" hidden="1">{"Summary Weekly",#N/A,FALSE,"SUMMARY";"P &amp; L Weekly",#N/A,FALSE,"SUMMARY";"weekly holdings",#N/A,FALSE,"SUMMARY"}</definedName>
    <definedName name="wrn.Weekly._.Report." hidden="1">{"Summary Weekly",#N/A,FALSE,"SUMMARY";"P &amp; L Weekly",#N/A,FALSE,"SUMMARY";"weekly holdings",#N/A,FALSE,"SUMMARY"}</definedName>
    <definedName name="wrn.Weekly._.Scrap._.Report." localSheetId="28"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 localSheetId="28"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localSheetId="28"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localSheetId="28"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localSheetId="28"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localSheetId="28"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localSheetId="28" hidden="1">{#N/A,#N/A,FALSE,"FACTSHEETS";#N/A,#N/A,FALSE,"pump";#N/A,#N/A,FALSE,"filter"}</definedName>
    <definedName name="wrn.wicor." hidden="1">{#N/A,#N/A,FALSE,"FACTSHEETS";#N/A,#N/A,FALSE,"pump";#N/A,#N/A,FALSE,"filter"}</definedName>
    <definedName name="wrn.wicor._1" localSheetId="28" hidden="1">{#N/A,#N/A,FALSE,"FACTSHEETS";#N/A,#N/A,FALSE,"pump";#N/A,#N/A,FALSE,"filter"}</definedName>
    <definedName name="wrn.wicor._1" hidden="1">{#N/A,#N/A,FALSE,"FACTSHEETS";#N/A,#N/A,FALSE,"pump";#N/A,#N/A,FALSE,"filter"}</definedName>
    <definedName name="wrn.wicor._1_1" localSheetId="28" hidden="1">{#N/A,#N/A,FALSE,"FACTSHEETS";#N/A,#N/A,FALSE,"pump";#N/A,#N/A,FALSE,"filter"}</definedName>
    <definedName name="wrn.wicor._1_1" hidden="1">{#N/A,#N/A,FALSE,"FACTSHEETS";#N/A,#N/A,FALSE,"pump";#N/A,#N/A,FALSE,"filter"}</definedName>
    <definedName name="wrn.work._.paper._.shcedules." localSheetId="28"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_.paper._.shcedules._1" localSheetId="28"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localSheetId="28"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localSheetId="2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localSheetId="28" hidden="1">{#N/A,#N/A,FALSE,"buildings"}</definedName>
    <definedName name="wrn.감가." hidden="1">{#N/A,#N/A,FALSE,"buildings"}</definedName>
    <definedName name="wrn.成本预测全表." localSheetId="28" hidden="1">{"已付情况表",#N/A,FALSE,"成本测算 (3)";"折算各货币成本",#N/A,FALSE,"成本测算 (3)"}</definedName>
    <definedName name="wrn.成本预测全表." hidden="1">{"已付情况表",#N/A,FALSE,"成本测算 (3)";"折算各货币成本",#N/A,FALSE,"成本测算 (3)"}</definedName>
    <definedName name="wrn.单位成本1." localSheetId="28" hidden="1">{#N/A,#N/A,FALSE,"成本表[一期计算1] (2)"}</definedName>
    <definedName name="wrn.单位成本1." hidden="1">{#N/A,#N/A,FALSE,"成本表[一期计算1] (2)"}</definedName>
    <definedName name="wrn.单位成本2." localSheetId="28" hidden="1">{#N/A,#N/A,FALSE,"成本表[一期计算1] (2)"}</definedName>
    <definedName name="wrn.单位成本2." hidden="1">{#N/A,#N/A,FALSE,"成本表[一期计算1] (2)"}</definedName>
    <definedName name="wrn.세무조정계산서." localSheetId="2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2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localSheetId="28" hidden="1">{#N/A,#N/A,FALSE,"손익표지";#N/A,#N/A,FALSE,"손익계산";#N/A,#N/A,FALSE,"일반관리비";#N/A,#N/A,FALSE,"영업외수익";#N/A,#N/A,FALSE,"영업외비용";#N/A,#N/A,FALSE,"매출액";#N/A,#N/A,FALSE,"요약손익";#N/A,#N/A,FALSE,"요약대차";#N/A,#N/A,FALSE,"매출채권현황";#N/A,#N/A,FALSE,"매출채권명세"}</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localSheetId="28" hidden="1">{#N/A,#N/A,TRUE,"KEY DATA";#N/A,#N/A,TRUE,"KEY DATA Base Case";#N/A,#N/A,TRUE,"JULY";#N/A,#N/A,TRUE,"AUG";#N/A,#N/A,TRUE,"SEPT";#N/A,#N/A,TRUE,"3Q"}</definedName>
    <definedName name="wrn1.summary" hidden="1">{#N/A,#N/A,TRUE,"KEY DATA";#N/A,#N/A,TRUE,"KEY DATA Base Case";#N/A,#N/A,TRUE,"JULY";#N/A,#N/A,TRUE,"AUG";#N/A,#N/A,TRUE,"SEPT";#N/A,#N/A,TRUE,"3Q"}</definedName>
    <definedName name="wrn1.summary.." localSheetId="28" hidden="1">{#N/A,#N/A,TRUE,"KEY DATA";#N/A,#N/A,TRUE,"KEY DATA Base Case";#N/A,#N/A,TRUE,"JULY";#N/A,#N/A,TRUE,"AUG";#N/A,#N/A,TRUE,"SEPT";#N/A,#N/A,TRUE,"3Q"}</definedName>
    <definedName name="wrn1.summary.." hidden="1">{#N/A,#N/A,TRUE,"KEY DATA";#N/A,#N/A,TRUE,"KEY DATA Base Case";#N/A,#N/A,TRUE,"JULY";#N/A,#N/A,TRUE,"AUG";#N/A,#N/A,TRUE,"SEPT";#N/A,#N/A,TRUE,"3Q"}</definedName>
    <definedName name="wrn1.summary.._1" localSheetId="28" hidden="1">{#N/A,#N/A,TRUE,"KEY DATA";#N/A,#N/A,TRUE,"KEY DATA Base Case";#N/A,#N/A,TRUE,"JULY";#N/A,#N/A,TRUE,"AUG";#N/A,#N/A,TRUE,"SEPT";#N/A,#N/A,TRUE,"3Q"}</definedName>
    <definedName name="wrn1.summary.._1" hidden="1">{#N/A,#N/A,TRUE,"KEY DATA";#N/A,#N/A,TRUE,"KEY DATA Base Case";#N/A,#N/A,TRUE,"JULY";#N/A,#N/A,TRUE,"AUG";#N/A,#N/A,TRUE,"SEPT";#N/A,#N/A,TRUE,"3Q"}</definedName>
    <definedName name="wrn1.summary.._1_1" localSheetId="28" hidden="1">{#N/A,#N/A,TRUE,"KEY DATA";#N/A,#N/A,TRUE,"KEY DATA Base Case";#N/A,#N/A,TRUE,"JULY";#N/A,#N/A,TRUE,"AUG";#N/A,#N/A,TRUE,"SEPT";#N/A,#N/A,TRUE,"3Q"}</definedName>
    <definedName name="wrn1.summary.._1_1" hidden="1">{#N/A,#N/A,TRUE,"KEY DATA";#N/A,#N/A,TRUE,"KEY DATA Base Case";#N/A,#N/A,TRUE,"JULY";#N/A,#N/A,TRUE,"AUG";#N/A,#N/A,TRUE,"SEPT";#N/A,#N/A,TRUE,"3Q"}</definedName>
    <definedName name="wrn1.summary_1" localSheetId="28" hidden="1">{#N/A,#N/A,TRUE,"KEY DATA";#N/A,#N/A,TRUE,"KEY DATA Base Case";#N/A,#N/A,TRUE,"JULY";#N/A,#N/A,TRUE,"AUG";#N/A,#N/A,TRUE,"SEPT";#N/A,#N/A,TRUE,"3Q"}</definedName>
    <definedName name="wrn1.summary_1" hidden="1">{#N/A,#N/A,TRUE,"KEY DATA";#N/A,#N/A,TRUE,"KEY DATA Base Case";#N/A,#N/A,TRUE,"JULY";#N/A,#N/A,TRUE,"AUG";#N/A,#N/A,TRUE,"SEPT";#N/A,#N/A,TRUE,"3Q"}</definedName>
    <definedName name="wrn1.summary_1_1" localSheetId="28" hidden="1">{#N/A,#N/A,TRUE,"KEY DATA";#N/A,#N/A,TRUE,"KEY DATA Base Case";#N/A,#N/A,TRUE,"JULY";#N/A,#N/A,TRUE,"AUG";#N/A,#N/A,TRUE,"SEPT";#N/A,#N/A,TRUE,"3Q"}</definedName>
    <definedName name="wrn1.summary_1_1" hidden="1">{#N/A,#N/A,TRUE,"KEY DATA";#N/A,#N/A,TRUE,"KEY DATA Base Case";#N/A,#N/A,TRUE,"JULY";#N/A,#N/A,TRUE,"AUG";#N/A,#N/A,TRUE,"SEPT";#N/A,#N/A,TRUE,"3Q"}</definedName>
    <definedName name="wrn100.gb" localSheetId="28" hidden="1">{#N/A,#N/A,FALSE,"资产负债表";#N/A,#N/A,FALSE,"资产负债表"}</definedName>
    <definedName name="wrn100.gb" hidden="1">{#N/A,#N/A,FALSE,"资产负债表";#N/A,#N/A,FALSE,"资产负债表"}</definedName>
    <definedName name="wuchung" localSheetId="26">#REF!</definedName>
    <definedName name="wuchung" localSheetId="25">#REF!</definedName>
    <definedName name="wuchung" localSheetId="35">#REF!</definedName>
    <definedName name="wuchung" localSheetId="33">#REF!</definedName>
    <definedName name="wuchung">#REF!</definedName>
    <definedName name="Wuxi" localSheetId="26">#REF!</definedName>
    <definedName name="Wuxi" localSheetId="25">#REF!</definedName>
    <definedName name="Wuxi" localSheetId="35">#REF!</definedName>
    <definedName name="Wuxi" localSheetId="33">#REF!</definedName>
    <definedName name="Wuxi">#REF!</definedName>
    <definedName name="WUXI1" localSheetId="26" hidden="1">#REF!</definedName>
    <definedName name="WUXI1" localSheetId="25" hidden="1">#REF!</definedName>
    <definedName name="WUXI1" localSheetId="35" hidden="1">#REF!</definedName>
    <definedName name="WUXI1" localSheetId="33" hidden="1">#REF!</definedName>
    <definedName name="WUXI1" hidden="1">#REF!</definedName>
    <definedName name="wuyebili" localSheetId="26">#REF!,#REF!,#REF!,#REF!,#REF!,#REF!,#REF!,#REF!,#REF!</definedName>
    <definedName name="wuyebili" localSheetId="25">#REF!,#REF!,#REF!,#REF!,#REF!,#REF!,#REF!,#REF!,#REF!</definedName>
    <definedName name="wuyebili" localSheetId="35">#REF!,#REF!,#REF!,#REF!,#REF!,#REF!,#REF!,#REF!,#REF!</definedName>
    <definedName name="wuyebili" localSheetId="33">#REF!,#REF!,#REF!,#REF!,#REF!,#REF!,#REF!,#REF!,#REF!</definedName>
    <definedName name="wuyebili">#REF!,#REF!,#REF!,#REF!,#REF!,#REF!,#REF!,#REF!,#REF!</definedName>
    <definedName name="wwww"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localSheetId="28" hidden="1">{#N/A,#N/A,FALSE,"Aging Summary";#N/A,#N/A,FALSE,"Ratio Analysis";#N/A,#N/A,FALSE,"Test 120 Day Accts";#N/A,#N/A,FALSE,"Tickmarks"}</definedName>
    <definedName name="x" hidden="1">{#N/A,#N/A,FALSE,"Aging Summary";#N/A,#N/A,FALSE,"Ratio Analysis";#N/A,#N/A,FALSE,"Test 120 Day Accts";#N/A,#N/A,FALSE,"Tickmarks"}</definedName>
    <definedName name="x_1" localSheetId="28" hidden="1">{#N/A,#N/A,FALSE,"Aging Summary";#N/A,#N/A,FALSE,"Ratio Analysis";#N/A,#N/A,FALSE,"Test 120 Day Accts";#N/A,#N/A,FALSE,"Tickmarks"}</definedName>
    <definedName name="x_1" hidden="1">{#N/A,#N/A,FALSE,"Aging Summary";#N/A,#N/A,FALSE,"Ratio Analysis";#N/A,#N/A,FALSE,"Test 120 Day Accts";#N/A,#N/A,FALSE,"Tickmarks"}</definedName>
    <definedName name="x_1_1" localSheetId="28" hidden="1">{#N/A,#N/A,FALSE,"Aging Summary";#N/A,#N/A,FALSE,"Ratio Analysis";#N/A,#N/A,FALSE,"Test 120 Day Accts";#N/A,#N/A,FALSE,"Tickmarks"}</definedName>
    <definedName name="x_1_1" hidden="1">{#N/A,#N/A,FALSE,"Aging Summary";#N/A,#N/A,FALSE,"Ratio Analysis";#N/A,#N/A,FALSE,"Test 120 Day Accts";#N/A,#N/A,FALSE,"Tickmarks"}</definedName>
    <definedName name="xdfsd" localSheetId="28" hidden="1">{#N/A,#N/A,TRUE,"Acquirer_Cases_Input";#N/A,#N/A,TRUE,"Acquirer_Input";#N/A,#N/A,TRUE,"Acquirer"}</definedName>
    <definedName name="xdfsd" hidden="1">{#N/A,#N/A,TRUE,"Acquirer_Cases_Input";#N/A,#N/A,TRUE,"Acquirer_Input";#N/A,#N/A,TRUE,"Acquirer"}</definedName>
    <definedName name="xdfsd_1" localSheetId="28" hidden="1">{#N/A,#N/A,TRUE,"Acquirer_Cases_Input";#N/A,#N/A,TRUE,"Acquirer_Input";#N/A,#N/A,TRUE,"Acquirer"}</definedName>
    <definedName name="xdfsd_1" hidden="1">{#N/A,#N/A,TRUE,"Acquirer_Cases_Input";#N/A,#N/A,TRUE,"Acquirer_Input";#N/A,#N/A,TRUE,"Acquirer"}</definedName>
    <definedName name="xdfsd_1_1" localSheetId="28" hidden="1">{#N/A,#N/A,TRUE,"Acquirer_Cases_Input";#N/A,#N/A,TRUE,"Acquirer_Input";#N/A,#N/A,TRUE,"Acquirer"}</definedName>
    <definedName name="xdfsd_1_1" hidden="1">{#N/A,#N/A,TRUE,"Acquirer_Cases_Input";#N/A,#N/A,TRUE,"Acquirer_Input";#N/A,#N/A,TRUE,"Acquirer"}</definedName>
    <definedName name="XREF_COLUMN_2" localSheetId="26" hidden="1">#REF!</definedName>
    <definedName name="XREF_COLUMN_2" localSheetId="25" hidden="1">#REF!</definedName>
    <definedName name="XREF_COLUMN_2" localSheetId="35" hidden="1">#REF!</definedName>
    <definedName name="XREF_COLUMN_2" localSheetId="33" hidden="1">#REF!</definedName>
    <definedName name="XREF_COLUMN_2" localSheetId="36" hidden="1">#REF!</definedName>
    <definedName name="XREF_COLUMN_2" hidden="1">#REF!</definedName>
    <definedName name="XREF_COLUMN_26" localSheetId="26" hidden="1">#REF!</definedName>
    <definedName name="XREF_COLUMN_26" localSheetId="25" hidden="1">#REF!</definedName>
    <definedName name="XREF_COLUMN_26" localSheetId="35" hidden="1">#REF!</definedName>
    <definedName name="XREF_COLUMN_26" localSheetId="33" hidden="1">#REF!</definedName>
    <definedName name="XREF_COLUMN_26" localSheetId="36" hidden="1">#REF!</definedName>
    <definedName name="XREF_COLUMN_26" hidden="1">#REF!</definedName>
    <definedName name="XREF_COLUMN_29" localSheetId="26" hidden="1">#REF!</definedName>
    <definedName name="XREF_COLUMN_29" localSheetId="25" hidden="1">#REF!</definedName>
    <definedName name="XREF_COLUMN_29" localSheetId="35" hidden="1">#REF!</definedName>
    <definedName name="XREF_COLUMN_29" localSheetId="33" hidden="1">#REF!</definedName>
    <definedName name="XREF_COLUMN_29" localSheetId="36" hidden="1">#REF!</definedName>
    <definedName name="XREF_COLUMN_29" hidden="1">#REF!</definedName>
    <definedName name="XREF_COLUMN_3" localSheetId="26" hidden="1">#REF!</definedName>
    <definedName name="XREF_COLUMN_3" localSheetId="25" hidden="1">#REF!</definedName>
    <definedName name="XREF_COLUMN_3" localSheetId="35" hidden="1">#REF!</definedName>
    <definedName name="XREF_COLUMN_3" localSheetId="33" hidden="1">#REF!</definedName>
    <definedName name="XREF_COLUMN_3" localSheetId="36" hidden="1">#REF!</definedName>
    <definedName name="XREF_COLUMN_3" hidden="1">#REF!</definedName>
    <definedName name="XREF_COLUMN_32" localSheetId="26" hidden="1">#REF!</definedName>
    <definedName name="XREF_COLUMN_32" localSheetId="25" hidden="1">#REF!</definedName>
    <definedName name="XREF_COLUMN_32" localSheetId="35" hidden="1">#REF!</definedName>
    <definedName name="XREF_COLUMN_32" localSheetId="33" hidden="1">#REF!</definedName>
    <definedName name="XREF_COLUMN_32" localSheetId="36" hidden="1">#REF!</definedName>
    <definedName name="XREF_COLUMN_32" hidden="1">#REF!</definedName>
    <definedName name="XREF_COLUMN_34" localSheetId="26" hidden="1">#REF!</definedName>
    <definedName name="XREF_COLUMN_34" localSheetId="25" hidden="1">#REF!</definedName>
    <definedName name="XREF_COLUMN_34" localSheetId="35" hidden="1">#REF!</definedName>
    <definedName name="XREF_COLUMN_34" localSheetId="33" hidden="1">#REF!</definedName>
    <definedName name="XREF_COLUMN_34" localSheetId="36" hidden="1">#REF!</definedName>
    <definedName name="XREF_COLUMN_34" hidden="1">#REF!</definedName>
    <definedName name="XREF_COLUMN_35" localSheetId="26" hidden="1">#REF!</definedName>
    <definedName name="XREF_COLUMN_35" localSheetId="25" hidden="1">#REF!</definedName>
    <definedName name="XREF_COLUMN_35" localSheetId="35" hidden="1">#REF!</definedName>
    <definedName name="XREF_COLUMN_35" localSheetId="33" hidden="1">#REF!</definedName>
    <definedName name="XREF_COLUMN_35" localSheetId="36" hidden="1">#REF!</definedName>
    <definedName name="XREF_COLUMN_35" hidden="1">#REF!</definedName>
    <definedName name="XREF_COLUMN_36" localSheetId="26" hidden="1">#REF!</definedName>
    <definedName name="XREF_COLUMN_36" localSheetId="25" hidden="1">#REF!</definedName>
    <definedName name="XREF_COLUMN_36" localSheetId="35" hidden="1">#REF!</definedName>
    <definedName name="XREF_COLUMN_36" localSheetId="33" hidden="1">#REF!</definedName>
    <definedName name="XREF_COLUMN_36" localSheetId="36" hidden="1">#REF!</definedName>
    <definedName name="XREF_COLUMN_36" hidden="1">#REF!</definedName>
    <definedName name="XREF_COLUMN_4" localSheetId="26" hidden="1">#REF!</definedName>
    <definedName name="XREF_COLUMN_4" localSheetId="25" hidden="1">#REF!</definedName>
    <definedName name="XREF_COLUMN_4" localSheetId="35" hidden="1">#REF!</definedName>
    <definedName name="XREF_COLUMN_4" localSheetId="33" hidden="1">#REF!</definedName>
    <definedName name="XREF_COLUMN_4" localSheetId="36" hidden="1">#REF!</definedName>
    <definedName name="XREF_COLUMN_4" hidden="1">#REF!</definedName>
    <definedName name="XREF_COLUMN_5" localSheetId="26" hidden="1">#REF!</definedName>
    <definedName name="XREF_COLUMN_5" localSheetId="25" hidden="1">#REF!</definedName>
    <definedName name="XREF_COLUMN_5" localSheetId="35" hidden="1">#REF!</definedName>
    <definedName name="XREF_COLUMN_5" localSheetId="33" hidden="1">#REF!</definedName>
    <definedName name="XREF_COLUMN_5" localSheetId="36" hidden="1">#REF!</definedName>
    <definedName name="XREF_COLUMN_5" hidden="1">#REF!</definedName>
    <definedName name="XREF_COLUMN_6" localSheetId="26" hidden="1">#REF!</definedName>
    <definedName name="XREF_COLUMN_6" localSheetId="25" hidden="1">#REF!</definedName>
    <definedName name="XREF_COLUMN_6" localSheetId="35" hidden="1">#REF!</definedName>
    <definedName name="XREF_COLUMN_6" localSheetId="33" hidden="1">#REF!</definedName>
    <definedName name="XREF_COLUMN_6" localSheetId="36" hidden="1">#REF!</definedName>
    <definedName name="XREF_COLUMN_6" hidden="1">#REF!</definedName>
    <definedName name="XRefActiveRow" localSheetId="26" hidden="1">#REF!</definedName>
    <definedName name="XRefActiveRow" localSheetId="25" hidden="1">#REF!</definedName>
    <definedName name="XRefActiveRow" localSheetId="35" hidden="1">#REF!</definedName>
    <definedName name="XRefActiveRow" localSheetId="33" hidden="1">#REF!</definedName>
    <definedName name="XRefActiveRow" localSheetId="36" hidden="1">#REF!</definedName>
    <definedName name="XRefActiveRow" hidden="1">#REF!</definedName>
    <definedName name="XRefColumnsCount" hidden="1">1</definedName>
    <definedName name="XRefCopy10" localSheetId="26" hidden="1">#REF!</definedName>
    <definedName name="XRefCopy10" localSheetId="25" hidden="1">#REF!</definedName>
    <definedName name="XRefCopy10" localSheetId="35" hidden="1">#REF!</definedName>
    <definedName name="XRefCopy10" localSheetId="33" hidden="1">#REF!</definedName>
    <definedName name="XRefCopy10" localSheetId="36" hidden="1">#REF!</definedName>
    <definedName name="XRefCopy10" hidden="1">#REF!</definedName>
    <definedName name="XRefCopy100Row" localSheetId="26" hidden="1">#REF!</definedName>
    <definedName name="XRefCopy100Row" localSheetId="25" hidden="1">#REF!</definedName>
    <definedName name="XRefCopy100Row" localSheetId="35" hidden="1">#REF!</definedName>
    <definedName name="XRefCopy100Row" localSheetId="33" hidden="1">#REF!</definedName>
    <definedName name="XRefCopy100Row" localSheetId="36" hidden="1">#REF!</definedName>
    <definedName name="XRefCopy100Row" hidden="1">#REF!</definedName>
    <definedName name="XRefCopy102Row" localSheetId="26" hidden="1">#REF!</definedName>
    <definedName name="XRefCopy102Row" localSheetId="25" hidden="1">#REF!</definedName>
    <definedName name="XRefCopy102Row" localSheetId="35" hidden="1">#REF!</definedName>
    <definedName name="XRefCopy102Row" localSheetId="33" hidden="1">#REF!</definedName>
    <definedName name="XRefCopy102Row" localSheetId="36" hidden="1">#REF!</definedName>
    <definedName name="XRefCopy102Row" hidden="1">#REF!</definedName>
    <definedName name="XRefCopy103Row" localSheetId="26" hidden="1">#REF!</definedName>
    <definedName name="XRefCopy103Row" localSheetId="25" hidden="1">#REF!</definedName>
    <definedName name="XRefCopy103Row" localSheetId="35" hidden="1">#REF!</definedName>
    <definedName name="XRefCopy103Row" localSheetId="33" hidden="1">#REF!</definedName>
    <definedName name="XRefCopy103Row" localSheetId="36" hidden="1">#REF!</definedName>
    <definedName name="XRefCopy103Row" hidden="1">#REF!</definedName>
    <definedName name="XRefCopy104Row" localSheetId="26" hidden="1">#REF!</definedName>
    <definedName name="XRefCopy104Row" localSheetId="25" hidden="1">#REF!</definedName>
    <definedName name="XRefCopy104Row" localSheetId="35" hidden="1">#REF!</definedName>
    <definedName name="XRefCopy104Row" localSheetId="33" hidden="1">#REF!</definedName>
    <definedName name="XRefCopy104Row" localSheetId="36" hidden="1">#REF!</definedName>
    <definedName name="XRefCopy104Row" hidden="1">#REF!</definedName>
    <definedName name="XRefCopy105Row" localSheetId="26" hidden="1">#REF!</definedName>
    <definedName name="XRefCopy105Row" localSheetId="25" hidden="1">#REF!</definedName>
    <definedName name="XRefCopy105Row" localSheetId="35" hidden="1">#REF!</definedName>
    <definedName name="XRefCopy105Row" localSheetId="33" hidden="1">#REF!</definedName>
    <definedName name="XRefCopy105Row" localSheetId="36" hidden="1">#REF!</definedName>
    <definedName name="XRefCopy105Row" hidden="1">#REF!</definedName>
    <definedName name="XRefCopy106Row" localSheetId="26" hidden="1">#REF!</definedName>
    <definedName name="XRefCopy106Row" localSheetId="25" hidden="1">#REF!</definedName>
    <definedName name="XRefCopy106Row" localSheetId="35" hidden="1">#REF!</definedName>
    <definedName name="XRefCopy106Row" localSheetId="33" hidden="1">#REF!</definedName>
    <definedName name="XRefCopy106Row" localSheetId="36" hidden="1">#REF!</definedName>
    <definedName name="XRefCopy106Row" hidden="1">#REF!</definedName>
    <definedName name="XRefCopy107Row" localSheetId="26" hidden="1">#REF!</definedName>
    <definedName name="XRefCopy107Row" localSheetId="25" hidden="1">#REF!</definedName>
    <definedName name="XRefCopy107Row" localSheetId="35" hidden="1">#REF!</definedName>
    <definedName name="XRefCopy107Row" localSheetId="33" hidden="1">#REF!</definedName>
    <definedName name="XRefCopy107Row" localSheetId="36" hidden="1">#REF!</definedName>
    <definedName name="XRefCopy107Row" hidden="1">#REF!</definedName>
    <definedName name="XRefCopy108Row" localSheetId="26" hidden="1">#REF!</definedName>
    <definedName name="XRefCopy108Row" localSheetId="25" hidden="1">#REF!</definedName>
    <definedName name="XRefCopy108Row" localSheetId="35" hidden="1">#REF!</definedName>
    <definedName name="XRefCopy108Row" localSheetId="33" hidden="1">#REF!</definedName>
    <definedName name="XRefCopy108Row" localSheetId="36" hidden="1">#REF!</definedName>
    <definedName name="XRefCopy108Row" hidden="1">#REF!</definedName>
    <definedName name="XRefCopy109Row" localSheetId="26" hidden="1">#REF!</definedName>
    <definedName name="XRefCopy109Row" localSheetId="25" hidden="1">#REF!</definedName>
    <definedName name="XRefCopy109Row" localSheetId="35" hidden="1">#REF!</definedName>
    <definedName name="XRefCopy109Row" localSheetId="33" hidden="1">#REF!</definedName>
    <definedName name="XRefCopy109Row" localSheetId="36" hidden="1">#REF!</definedName>
    <definedName name="XRefCopy109Row" hidden="1">#REF!</definedName>
    <definedName name="XRefCopy10Row" localSheetId="26" hidden="1">#REF!</definedName>
    <definedName name="XRefCopy10Row" localSheetId="25" hidden="1">#REF!</definedName>
    <definedName name="XRefCopy10Row" localSheetId="35" hidden="1">#REF!</definedName>
    <definedName name="XRefCopy10Row" localSheetId="33" hidden="1">#REF!</definedName>
    <definedName name="XRefCopy10Row" localSheetId="36" hidden="1">#REF!</definedName>
    <definedName name="XRefCopy10Row" hidden="1">#REF!</definedName>
    <definedName name="XRefCopy111Row" localSheetId="26" hidden="1">#REF!</definedName>
    <definedName name="XRefCopy111Row" localSheetId="25" hidden="1">#REF!</definedName>
    <definedName name="XRefCopy111Row" localSheetId="35" hidden="1">#REF!</definedName>
    <definedName name="XRefCopy111Row" localSheetId="33" hidden="1">#REF!</definedName>
    <definedName name="XRefCopy111Row" localSheetId="36" hidden="1">#REF!</definedName>
    <definedName name="XRefCopy111Row" hidden="1">#REF!</definedName>
    <definedName name="XRefCopy112Row" localSheetId="26" hidden="1">#REF!</definedName>
    <definedName name="XRefCopy112Row" localSheetId="25" hidden="1">#REF!</definedName>
    <definedName name="XRefCopy112Row" localSheetId="35" hidden="1">#REF!</definedName>
    <definedName name="XRefCopy112Row" localSheetId="33" hidden="1">#REF!</definedName>
    <definedName name="XRefCopy112Row" localSheetId="36" hidden="1">#REF!</definedName>
    <definedName name="XRefCopy112Row" hidden="1">#REF!</definedName>
    <definedName name="XRefCopy113Row" localSheetId="26" hidden="1">#REF!</definedName>
    <definedName name="XRefCopy113Row" localSheetId="25" hidden="1">#REF!</definedName>
    <definedName name="XRefCopy113Row" localSheetId="35" hidden="1">#REF!</definedName>
    <definedName name="XRefCopy113Row" localSheetId="33" hidden="1">#REF!</definedName>
    <definedName name="XRefCopy113Row" localSheetId="36" hidden="1">#REF!</definedName>
    <definedName name="XRefCopy113Row" hidden="1">#REF!</definedName>
    <definedName name="XRefCopy114Row" localSheetId="26" hidden="1">#REF!</definedName>
    <definedName name="XRefCopy114Row" localSheetId="25" hidden="1">#REF!</definedName>
    <definedName name="XRefCopy114Row" localSheetId="35" hidden="1">#REF!</definedName>
    <definedName name="XRefCopy114Row" localSheetId="33" hidden="1">#REF!</definedName>
    <definedName name="XRefCopy114Row" localSheetId="36" hidden="1">#REF!</definedName>
    <definedName name="XRefCopy114Row" hidden="1">#REF!</definedName>
    <definedName name="XRefCopy115Row" localSheetId="26" hidden="1">#REF!</definedName>
    <definedName name="XRefCopy115Row" localSheetId="25" hidden="1">#REF!</definedName>
    <definedName name="XRefCopy115Row" localSheetId="35" hidden="1">#REF!</definedName>
    <definedName name="XRefCopy115Row" localSheetId="33" hidden="1">#REF!</definedName>
    <definedName name="XRefCopy115Row" localSheetId="36" hidden="1">#REF!</definedName>
    <definedName name="XRefCopy115Row" hidden="1">#REF!</definedName>
    <definedName name="XRefCopy116Row" localSheetId="26" hidden="1">#REF!</definedName>
    <definedName name="XRefCopy116Row" localSheetId="25" hidden="1">#REF!</definedName>
    <definedName name="XRefCopy116Row" localSheetId="35" hidden="1">#REF!</definedName>
    <definedName name="XRefCopy116Row" localSheetId="33" hidden="1">#REF!</definedName>
    <definedName name="XRefCopy116Row" localSheetId="36" hidden="1">#REF!</definedName>
    <definedName name="XRefCopy116Row" hidden="1">#REF!</definedName>
    <definedName name="XRefCopy117Row" localSheetId="26" hidden="1">#REF!</definedName>
    <definedName name="XRefCopy117Row" localSheetId="25" hidden="1">#REF!</definedName>
    <definedName name="XRefCopy117Row" localSheetId="35" hidden="1">#REF!</definedName>
    <definedName name="XRefCopy117Row" localSheetId="33" hidden="1">#REF!</definedName>
    <definedName name="XRefCopy117Row" localSheetId="36" hidden="1">#REF!</definedName>
    <definedName name="XRefCopy117Row" hidden="1">#REF!</definedName>
    <definedName name="XRefCopy119Row" localSheetId="26" hidden="1">#REF!</definedName>
    <definedName name="XRefCopy119Row" localSheetId="25" hidden="1">#REF!</definedName>
    <definedName name="XRefCopy119Row" localSheetId="35" hidden="1">#REF!</definedName>
    <definedName name="XRefCopy119Row" localSheetId="33" hidden="1">#REF!</definedName>
    <definedName name="XRefCopy119Row" localSheetId="36" hidden="1">#REF!</definedName>
    <definedName name="XRefCopy119Row" hidden="1">#REF!</definedName>
    <definedName name="XRefCopy11Row" localSheetId="26" hidden="1">#REF!</definedName>
    <definedName name="XRefCopy11Row" localSheetId="25" hidden="1">#REF!</definedName>
    <definedName name="XRefCopy11Row" localSheetId="35" hidden="1">#REF!</definedName>
    <definedName name="XRefCopy11Row" localSheetId="33" hidden="1">#REF!</definedName>
    <definedName name="XRefCopy11Row" localSheetId="36" hidden="1">#REF!</definedName>
    <definedName name="XRefCopy11Row" hidden="1">#REF!</definedName>
    <definedName name="XRefCopy12" localSheetId="26" hidden="1">#REF!</definedName>
    <definedName name="XRefCopy12" localSheetId="25" hidden="1">#REF!</definedName>
    <definedName name="XRefCopy12" localSheetId="35" hidden="1">#REF!</definedName>
    <definedName name="XRefCopy12" localSheetId="33" hidden="1">#REF!</definedName>
    <definedName name="XRefCopy12" localSheetId="36" hidden="1">#REF!</definedName>
    <definedName name="XRefCopy12" hidden="1">#REF!</definedName>
    <definedName name="XRefCopy120Row" localSheetId="26" hidden="1">#REF!</definedName>
    <definedName name="XRefCopy120Row" localSheetId="25" hidden="1">#REF!</definedName>
    <definedName name="XRefCopy120Row" localSheetId="35" hidden="1">#REF!</definedName>
    <definedName name="XRefCopy120Row" localSheetId="33" hidden="1">#REF!</definedName>
    <definedName name="XRefCopy120Row" localSheetId="36" hidden="1">#REF!</definedName>
    <definedName name="XRefCopy120Row" hidden="1">#REF!</definedName>
    <definedName name="XRefCopy121Row" localSheetId="26" hidden="1">#REF!</definedName>
    <definedName name="XRefCopy121Row" localSheetId="25" hidden="1">#REF!</definedName>
    <definedName name="XRefCopy121Row" localSheetId="35" hidden="1">#REF!</definedName>
    <definedName name="XRefCopy121Row" localSheetId="33" hidden="1">#REF!</definedName>
    <definedName name="XRefCopy121Row" localSheetId="36" hidden="1">#REF!</definedName>
    <definedName name="XRefCopy121Row" hidden="1">#REF!</definedName>
    <definedName name="XRefCopy122Row" localSheetId="26" hidden="1">#REF!</definedName>
    <definedName name="XRefCopy122Row" localSheetId="25" hidden="1">#REF!</definedName>
    <definedName name="XRefCopy122Row" localSheetId="35" hidden="1">#REF!</definedName>
    <definedName name="XRefCopy122Row" localSheetId="33" hidden="1">#REF!</definedName>
    <definedName name="XRefCopy122Row" localSheetId="36" hidden="1">#REF!</definedName>
    <definedName name="XRefCopy122Row" hidden="1">#REF!</definedName>
    <definedName name="XRefCopy123Row" localSheetId="26" hidden="1">#REF!</definedName>
    <definedName name="XRefCopy123Row" localSheetId="25" hidden="1">#REF!</definedName>
    <definedName name="XRefCopy123Row" localSheetId="35" hidden="1">#REF!</definedName>
    <definedName name="XRefCopy123Row" localSheetId="33" hidden="1">#REF!</definedName>
    <definedName name="XRefCopy123Row" localSheetId="36" hidden="1">#REF!</definedName>
    <definedName name="XRefCopy123Row" hidden="1">#REF!</definedName>
    <definedName name="XRefCopy124Row" localSheetId="26" hidden="1">#REF!</definedName>
    <definedName name="XRefCopy124Row" localSheetId="25" hidden="1">#REF!</definedName>
    <definedName name="XRefCopy124Row" localSheetId="35" hidden="1">#REF!</definedName>
    <definedName name="XRefCopy124Row" localSheetId="33" hidden="1">#REF!</definedName>
    <definedName name="XRefCopy124Row" localSheetId="36" hidden="1">#REF!</definedName>
    <definedName name="XRefCopy124Row" hidden="1">#REF!</definedName>
    <definedName name="XRefCopy125Row" localSheetId="26" hidden="1">#REF!</definedName>
    <definedName name="XRefCopy125Row" localSheetId="25" hidden="1">#REF!</definedName>
    <definedName name="XRefCopy125Row" localSheetId="35" hidden="1">#REF!</definedName>
    <definedName name="XRefCopy125Row" localSheetId="33" hidden="1">#REF!</definedName>
    <definedName name="XRefCopy125Row" localSheetId="36" hidden="1">#REF!</definedName>
    <definedName name="XRefCopy125Row" hidden="1">#REF!</definedName>
    <definedName name="XRefCopy126Row" localSheetId="26" hidden="1">#REF!</definedName>
    <definedName name="XRefCopy126Row" localSheetId="25" hidden="1">#REF!</definedName>
    <definedName name="XRefCopy126Row" localSheetId="35" hidden="1">#REF!</definedName>
    <definedName name="XRefCopy126Row" localSheetId="33" hidden="1">#REF!</definedName>
    <definedName name="XRefCopy126Row" localSheetId="36" hidden="1">#REF!</definedName>
    <definedName name="XRefCopy126Row" hidden="1">#REF!</definedName>
    <definedName name="XRefCopy127Row" localSheetId="26" hidden="1">#REF!</definedName>
    <definedName name="XRefCopy127Row" localSheetId="25" hidden="1">#REF!</definedName>
    <definedName name="XRefCopy127Row" localSheetId="35" hidden="1">#REF!</definedName>
    <definedName name="XRefCopy127Row" localSheetId="33" hidden="1">#REF!</definedName>
    <definedName name="XRefCopy127Row" localSheetId="36" hidden="1">#REF!</definedName>
    <definedName name="XRefCopy127Row" hidden="1">#REF!</definedName>
    <definedName name="XRefCopy128Row" localSheetId="26" hidden="1">#REF!</definedName>
    <definedName name="XRefCopy128Row" localSheetId="25" hidden="1">#REF!</definedName>
    <definedName name="XRefCopy128Row" localSheetId="35" hidden="1">#REF!</definedName>
    <definedName name="XRefCopy128Row" localSheetId="33" hidden="1">#REF!</definedName>
    <definedName name="XRefCopy128Row" localSheetId="36" hidden="1">#REF!</definedName>
    <definedName name="XRefCopy128Row" hidden="1">#REF!</definedName>
    <definedName name="XRefCopy129Row" localSheetId="26" hidden="1">#REF!</definedName>
    <definedName name="XRefCopy129Row" localSheetId="25" hidden="1">#REF!</definedName>
    <definedName name="XRefCopy129Row" localSheetId="35" hidden="1">#REF!</definedName>
    <definedName name="XRefCopy129Row" localSheetId="33" hidden="1">#REF!</definedName>
    <definedName name="XRefCopy129Row" localSheetId="36" hidden="1">#REF!</definedName>
    <definedName name="XRefCopy129Row" hidden="1">#REF!</definedName>
    <definedName name="XRefCopy130Row" localSheetId="26" hidden="1">#REF!</definedName>
    <definedName name="XRefCopy130Row" localSheetId="25" hidden="1">#REF!</definedName>
    <definedName name="XRefCopy130Row" localSheetId="35" hidden="1">#REF!</definedName>
    <definedName name="XRefCopy130Row" localSheetId="33" hidden="1">#REF!</definedName>
    <definedName name="XRefCopy130Row" localSheetId="36" hidden="1">#REF!</definedName>
    <definedName name="XRefCopy130Row" hidden="1">#REF!</definedName>
    <definedName name="XRefCopy131Row" localSheetId="26" hidden="1">#REF!</definedName>
    <definedName name="XRefCopy131Row" localSheetId="25" hidden="1">#REF!</definedName>
    <definedName name="XRefCopy131Row" localSheetId="35" hidden="1">#REF!</definedName>
    <definedName name="XRefCopy131Row" localSheetId="33" hidden="1">#REF!</definedName>
    <definedName name="XRefCopy131Row" localSheetId="36" hidden="1">#REF!</definedName>
    <definedName name="XRefCopy131Row" hidden="1">#REF!</definedName>
    <definedName name="XRefCopy132Row" localSheetId="26" hidden="1">#REF!</definedName>
    <definedName name="XRefCopy132Row" localSheetId="25" hidden="1">#REF!</definedName>
    <definedName name="XRefCopy132Row" localSheetId="35" hidden="1">#REF!</definedName>
    <definedName name="XRefCopy132Row" localSheetId="33" hidden="1">#REF!</definedName>
    <definedName name="XRefCopy132Row" localSheetId="36" hidden="1">#REF!</definedName>
    <definedName name="XRefCopy132Row" hidden="1">#REF!</definedName>
    <definedName name="XRefCopy133Row" localSheetId="26" hidden="1">#REF!</definedName>
    <definedName name="XRefCopy133Row" localSheetId="25" hidden="1">#REF!</definedName>
    <definedName name="XRefCopy133Row" localSheetId="35" hidden="1">#REF!</definedName>
    <definedName name="XRefCopy133Row" localSheetId="33" hidden="1">#REF!</definedName>
    <definedName name="XRefCopy133Row" localSheetId="36" hidden="1">#REF!</definedName>
    <definedName name="XRefCopy133Row" hidden="1">#REF!</definedName>
    <definedName name="XRefCopy134Row" localSheetId="26" hidden="1">#REF!</definedName>
    <definedName name="XRefCopy134Row" localSheetId="25" hidden="1">#REF!</definedName>
    <definedName name="XRefCopy134Row" localSheetId="35" hidden="1">#REF!</definedName>
    <definedName name="XRefCopy134Row" localSheetId="33" hidden="1">#REF!</definedName>
    <definedName name="XRefCopy134Row" localSheetId="36" hidden="1">#REF!</definedName>
    <definedName name="XRefCopy134Row" hidden="1">#REF!</definedName>
    <definedName name="XRefCopy136Row" localSheetId="26" hidden="1">#REF!</definedName>
    <definedName name="XRefCopy136Row" localSheetId="25" hidden="1">#REF!</definedName>
    <definedName name="XRefCopy136Row" localSheetId="35" hidden="1">#REF!</definedName>
    <definedName name="XRefCopy136Row" localSheetId="33" hidden="1">#REF!</definedName>
    <definedName name="XRefCopy136Row" localSheetId="36" hidden="1">#REF!</definedName>
    <definedName name="XRefCopy136Row" hidden="1">#REF!</definedName>
    <definedName name="XRefCopy137Row" localSheetId="26" hidden="1">#REF!</definedName>
    <definedName name="XRefCopy137Row" localSheetId="25" hidden="1">#REF!</definedName>
    <definedName name="XRefCopy137Row" localSheetId="35" hidden="1">#REF!</definedName>
    <definedName name="XRefCopy137Row" localSheetId="33" hidden="1">#REF!</definedName>
    <definedName name="XRefCopy137Row" localSheetId="36" hidden="1">#REF!</definedName>
    <definedName name="XRefCopy137Row" hidden="1">#REF!</definedName>
    <definedName name="XRefCopy138Row" localSheetId="26" hidden="1">#REF!</definedName>
    <definedName name="XRefCopy138Row" localSheetId="25" hidden="1">#REF!</definedName>
    <definedName name="XRefCopy138Row" localSheetId="35" hidden="1">#REF!</definedName>
    <definedName name="XRefCopy138Row" localSheetId="33" hidden="1">#REF!</definedName>
    <definedName name="XRefCopy138Row" localSheetId="36" hidden="1">#REF!</definedName>
    <definedName name="XRefCopy138Row" hidden="1">#REF!</definedName>
    <definedName name="XRefCopy139Row" localSheetId="26" hidden="1">#REF!</definedName>
    <definedName name="XRefCopy139Row" localSheetId="25" hidden="1">#REF!</definedName>
    <definedName name="XRefCopy139Row" localSheetId="35" hidden="1">#REF!</definedName>
    <definedName name="XRefCopy139Row" localSheetId="33" hidden="1">#REF!</definedName>
    <definedName name="XRefCopy139Row" localSheetId="36" hidden="1">#REF!</definedName>
    <definedName name="XRefCopy139Row" hidden="1">#REF!</definedName>
    <definedName name="XRefCopy13Row" localSheetId="26" hidden="1">#REF!</definedName>
    <definedName name="XRefCopy13Row" localSheetId="25" hidden="1">#REF!</definedName>
    <definedName name="XRefCopy13Row" localSheetId="35" hidden="1">#REF!</definedName>
    <definedName name="XRefCopy13Row" localSheetId="33" hidden="1">#REF!</definedName>
    <definedName name="XRefCopy13Row" localSheetId="36" hidden="1">#REF!</definedName>
    <definedName name="XRefCopy13Row" hidden="1">#REF!</definedName>
    <definedName name="XRefCopy14" localSheetId="26" hidden="1">#REF!</definedName>
    <definedName name="XRefCopy14" localSheetId="25" hidden="1">#REF!</definedName>
    <definedName name="XRefCopy14" localSheetId="35" hidden="1">#REF!</definedName>
    <definedName name="XRefCopy14" localSheetId="33" hidden="1">#REF!</definedName>
    <definedName name="XRefCopy14" localSheetId="36" hidden="1">#REF!</definedName>
    <definedName name="XRefCopy14" hidden="1">#REF!</definedName>
    <definedName name="XRefCopy141Row" localSheetId="26" hidden="1">#REF!</definedName>
    <definedName name="XRefCopy141Row" localSheetId="25" hidden="1">#REF!</definedName>
    <definedName name="XRefCopy141Row" localSheetId="35" hidden="1">#REF!</definedName>
    <definedName name="XRefCopy141Row" localSheetId="33" hidden="1">#REF!</definedName>
    <definedName name="XRefCopy141Row" localSheetId="36" hidden="1">#REF!</definedName>
    <definedName name="XRefCopy141Row" hidden="1">#REF!</definedName>
    <definedName name="XRefCopy142Row" localSheetId="26" hidden="1">#REF!</definedName>
    <definedName name="XRefCopy142Row" localSheetId="25" hidden="1">#REF!</definedName>
    <definedName name="XRefCopy142Row" localSheetId="35" hidden="1">#REF!</definedName>
    <definedName name="XRefCopy142Row" localSheetId="33" hidden="1">#REF!</definedName>
    <definedName name="XRefCopy142Row" localSheetId="36" hidden="1">#REF!</definedName>
    <definedName name="XRefCopy142Row" hidden="1">#REF!</definedName>
    <definedName name="XRefCopy143Row" localSheetId="26" hidden="1">#REF!</definedName>
    <definedName name="XRefCopy143Row" localSheetId="25" hidden="1">#REF!</definedName>
    <definedName name="XRefCopy143Row" localSheetId="35" hidden="1">#REF!</definedName>
    <definedName name="XRefCopy143Row" localSheetId="33" hidden="1">#REF!</definedName>
    <definedName name="XRefCopy143Row" localSheetId="36" hidden="1">#REF!</definedName>
    <definedName name="XRefCopy143Row" hidden="1">#REF!</definedName>
    <definedName name="XRefCopy144Row" localSheetId="26" hidden="1">#REF!</definedName>
    <definedName name="XRefCopy144Row" localSheetId="25" hidden="1">#REF!</definedName>
    <definedName name="XRefCopy144Row" localSheetId="35" hidden="1">#REF!</definedName>
    <definedName name="XRefCopy144Row" localSheetId="33" hidden="1">#REF!</definedName>
    <definedName name="XRefCopy144Row" localSheetId="36" hidden="1">#REF!</definedName>
    <definedName name="XRefCopy144Row" hidden="1">#REF!</definedName>
    <definedName name="XRefCopy145Row" localSheetId="26" hidden="1">#REF!</definedName>
    <definedName name="XRefCopy145Row" localSheetId="25" hidden="1">#REF!</definedName>
    <definedName name="XRefCopy145Row" localSheetId="35" hidden="1">#REF!</definedName>
    <definedName name="XRefCopy145Row" localSheetId="33" hidden="1">#REF!</definedName>
    <definedName name="XRefCopy145Row" localSheetId="36" hidden="1">#REF!</definedName>
    <definedName name="XRefCopy145Row" hidden="1">#REF!</definedName>
    <definedName name="XRefCopy146Row" localSheetId="26" hidden="1">#REF!</definedName>
    <definedName name="XRefCopy146Row" localSheetId="25" hidden="1">#REF!</definedName>
    <definedName name="XRefCopy146Row" localSheetId="35" hidden="1">#REF!</definedName>
    <definedName name="XRefCopy146Row" localSheetId="33" hidden="1">#REF!</definedName>
    <definedName name="XRefCopy146Row" localSheetId="36" hidden="1">#REF!</definedName>
    <definedName name="XRefCopy146Row" hidden="1">#REF!</definedName>
    <definedName name="XRefCopy148Row" localSheetId="26" hidden="1">#REF!</definedName>
    <definedName name="XRefCopy148Row" localSheetId="25" hidden="1">#REF!</definedName>
    <definedName name="XRefCopy148Row" localSheetId="35" hidden="1">#REF!</definedName>
    <definedName name="XRefCopy148Row" localSheetId="33" hidden="1">#REF!</definedName>
    <definedName name="XRefCopy148Row" localSheetId="36" hidden="1">#REF!</definedName>
    <definedName name="XRefCopy148Row" hidden="1">#REF!</definedName>
    <definedName name="XRefCopy14Row" localSheetId="26" hidden="1">#REF!</definedName>
    <definedName name="XRefCopy14Row" localSheetId="25" hidden="1">#REF!</definedName>
    <definedName name="XRefCopy14Row" localSheetId="35" hidden="1">#REF!</definedName>
    <definedName name="XRefCopy14Row" localSheetId="33" hidden="1">#REF!</definedName>
    <definedName name="XRefCopy14Row" localSheetId="36" hidden="1">#REF!</definedName>
    <definedName name="XRefCopy14Row" hidden="1">#REF!</definedName>
    <definedName name="XRefCopy150Row" localSheetId="26" hidden="1">#REF!</definedName>
    <definedName name="XRefCopy150Row" localSheetId="25" hidden="1">#REF!</definedName>
    <definedName name="XRefCopy150Row" localSheetId="35" hidden="1">#REF!</definedName>
    <definedName name="XRefCopy150Row" localSheetId="33" hidden="1">#REF!</definedName>
    <definedName name="XRefCopy150Row" localSheetId="36" hidden="1">#REF!</definedName>
    <definedName name="XRefCopy150Row" hidden="1">#REF!</definedName>
    <definedName name="XRefCopy151Row" localSheetId="26" hidden="1">#REF!</definedName>
    <definedName name="XRefCopy151Row" localSheetId="25" hidden="1">#REF!</definedName>
    <definedName name="XRefCopy151Row" localSheetId="35" hidden="1">#REF!</definedName>
    <definedName name="XRefCopy151Row" localSheetId="33" hidden="1">#REF!</definedName>
    <definedName name="XRefCopy151Row" localSheetId="36" hidden="1">#REF!</definedName>
    <definedName name="XRefCopy151Row" hidden="1">#REF!</definedName>
    <definedName name="XRefCopy152Row" localSheetId="26" hidden="1">#REF!</definedName>
    <definedName name="XRefCopy152Row" localSheetId="25" hidden="1">#REF!</definedName>
    <definedName name="XRefCopy152Row" localSheetId="35" hidden="1">#REF!</definedName>
    <definedName name="XRefCopy152Row" localSheetId="33" hidden="1">#REF!</definedName>
    <definedName name="XRefCopy152Row" localSheetId="36" hidden="1">#REF!</definedName>
    <definedName name="XRefCopy152Row" hidden="1">#REF!</definedName>
    <definedName name="XRefCopy153Row" localSheetId="26" hidden="1">#REF!</definedName>
    <definedName name="XRefCopy153Row" localSheetId="25" hidden="1">#REF!</definedName>
    <definedName name="XRefCopy153Row" localSheetId="35" hidden="1">#REF!</definedName>
    <definedName name="XRefCopy153Row" localSheetId="33" hidden="1">#REF!</definedName>
    <definedName name="XRefCopy153Row" localSheetId="36" hidden="1">#REF!</definedName>
    <definedName name="XRefCopy153Row" hidden="1">#REF!</definedName>
    <definedName name="XRefCopy154Row" localSheetId="26" hidden="1">#REF!</definedName>
    <definedName name="XRefCopy154Row" localSheetId="25" hidden="1">#REF!</definedName>
    <definedName name="XRefCopy154Row" localSheetId="35" hidden="1">#REF!</definedName>
    <definedName name="XRefCopy154Row" localSheetId="33" hidden="1">#REF!</definedName>
    <definedName name="XRefCopy154Row" localSheetId="36" hidden="1">#REF!</definedName>
    <definedName name="XRefCopy154Row" hidden="1">#REF!</definedName>
    <definedName name="XRefCopy155Row" localSheetId="26" hidden="1">#REF!</definedName>
    <definedName name="XRefCopy155Row" localSheetId="25" hidden="1">#REF!</definedName>
    <definedName name="XRefCopy155Row" localSheetId="35" hidden="1">#REF!</definedName>
    <definedName name="XRefCopy155Row" localSheetId="33" hidden="1">#REF!</definedName>
    <definedName name="XRefCopy155Row" localSheetId="36" hidden="1">#REF!</definedName>
    <definedName name="XRefCopy155Row" hidden="1">#REF!</definedName>
    <definedName name="XRefCopy156Row" localSheetId="26" hidden="1">#REF!</definedName>
    <definedName name="XRefCopy156Row" localSheetId="25" hidden="1">#REF!</definedName>
    <definedName name="XRefCopy156Row" localSheetId="35" hidden="1">#REF!</definedName>
    <definedName name="XRefCopy156Row" localSheetId="33" hidden="1">#REF!</definedName>
    <definedName name="XRefCopy156Row" localSheetId="36" hidden="1">#REF!</definedName>
    <definedName name="XRefCopy156Row" hidden="1">#REF!</definedName>
    <definedName name="XRefCopy157Row" localSheetId="26" hidden="1">#REF!</definedName>
    <definedName name="XRefCopy157Row" localSheetId="25" hidden="1">#REF!</definedName>
    <definedName name="XRefCopy157Row" localSheetId="35" hidden="1">#REF!</definedName>
    <definedName name="XRefCopy157Row" localSheetId="33" hidden="1">#REF!</definedName>
    <definedName name="XRefCopy157Row" localSheetId="36" hidden="1">#REF!</definedName>
    <definedName name="XRefCopy157Row" hidden="1">#REF!</definedName>
    <definedName name="XRefCopy158Row" localSheetId="26" hidden="1">#REF!</definedName>
    <definedName name="XRefCopy158Row" localSheetId="25" hidden="1">#REF!</definedName>
    <definedName name="XRefCopy158Row" localSheetId="35" hidden="1">#REF!</definedName>
    <definedName name="XRefCopy158Row" localSheetId="33" hidden="1">#REF!</definedName>
    <definedName name="XRefCopy158Row" localSheetId="36" hidden="1">#REF!</definedName>
    <definedName name="XRefCopy158Row" hidden="1">#REF!</definedName>
    <definedName name="XRefCopy159Row" localSheetId="26" hidden="1">#REF!</definedName>
    <definedName name="XRefCopy159Row" localSheetId="25" hidden="1">#REF!</definedName>
    <definedName name="XRefCopy159Row" localSheetId="35" hidden="1">#REF!</definedName>
    <definedName name="XRefCopy159Row" localSheetId="33" hidden="1">#REF!</definedName>
    <definedName name="XRefCopy159Row" localSheetId="36" hidden="1">#REF!</definedName>
    <definedName name="XRefCopy159Row" hidden="1">#REF!</definedName>
    <definedName name="XRefCopy15Row" localSheetId="26" hidden="1">#REF!</definedName>
    <definedName name="XRefCopy15Row" localSheetId="25" hidden="1">#REF!</definedName>
    <definedName name="XRefCopy15Row" localSheetId="35" hidden="1">#REF!</definedName>
    <definedName name="XRefCopy15Row" localSheetId="33" hidden="1">#REF!</definedName>
    <definedName name="XRefCopy15Row" localSheetId="36" hidden="1">#REF!</definedName>
    <definedName name="XRefCopy15Row" hidden="1">#REF!</definedName>
    <definedName name="XRefCopy160Row" localSheetId="26" hidden="1">#REF!</definedName>
    <definedName name="XRefCopy160Row" localSheetId="25" hidden="1">#REF!</definedName>
    <definedName name="XRefCopy160Row" localSheetId="35" hidden="1">#REF!</definedName>
    <definedName name="XRefCopy160Row" localSheetId="33" hidden="1">#REF!</definedName>
    <definedName name="XRefCopy160Row" localSheetId="36" hidden="1">#REF!</definedName>
    <definedName name="XRefCopy160Row" hidden="1">#REF!</definedName>
    <definedName name="XRefCopy161Row" localSheetId="26" hidden="1">#REF!</definedName>
    <definedName name="XRefCopy161Row" localSheetId="25" hidden="1">#REF!</definedName>
    <definedName name="XRefCopy161Row" localSheetId="35" hidden="1">#REF!</definedName>
    <definedName name="XRefCopy161Row" localSheetId="33" hidden="1">#REF!</definedName>
    <definedName name="XRefCopy161Row" localSheetId="36" hidden="1">#REF!</definedName>
    <definedName name="XRefCopy161Row" hidden="1">#REF!</definedName>
    <definedName name="XRefCopy162Row" localSheetId="26" hidden="1">#REF!</definedName>
    <definedName name="XRefCopy162Row" localSheetId="25" hidden="1">#REF!</definedName>
    <definedName name="XRefCopy162Row" localSheetId="35" hidden="1">#REF!</definedName>
    <definedName name="XRefCopy162Row" localSheetId="33" hidden="1">#REF!</definedName>
    <definedName name="XRefCopy162Row" localSheetId="36" hidden="1">#REF!</definedName>
    <definedName name="XRefCopy162Row" hidden="1">#REF!</definedName>
    <definedName name="XRefCopy163Row" localSheetId="26" hidden="1">#REF!</definedName>
    <definedName name="XRefCopy163Row" localSheetId="25" hidden="1">#REF!</definedName>
    <definedName name="XRefCopy163Row" localSheetId="35" hidden="1">#REF!</definedName>
    <definedName name="XRefCopy163Row" localSheetId="33" hidden="1">#REF!</definedName>
    <definedName name="XRefCopy163Row" localSheetId="36" hidden="1">#REF!</definedName>
    <definedName name="XRefCopy163Row" hidden="1">#REF!</definedName>
    <definedName name="XRefCopy164Row" localSheetId="26" hidden="1">#REF!</definedName>
    <definedName name="XRefCopy164Row" localSheetId="25" hidden="1">#REF!</definedName>
    <definedName name="XRefCopy164Row" localSheetId="35" hidden="1">#REF!</definedName>
    <definedName name="XRefCopy164Row" localSheetId="33" hidden="1">#REF!</definedName>
    <definedName name="XRefCopy164Row" localSheetId="36" hidden="1">#REF!</definedName>
    <definedName name="XRefCopy164Row" hidden="1">#REF!</definedName>
    <definedName name="XRefCopy165Row" localSheetId="26" hidden="1">#REF!</definedName>
    <definedName name="XRefCopy165Row" localSheetId="25" hidden="1">#REF!</definedName>
    <definedName name="XRefCopy165Row" localSheetId="35" hidden="1">#REF!</definedName>
    <definedName name="XRefCopy165Row" localSheetId="33" hidden="1">#REF!</definedName>
    <definedName name="XRefCopy165Row" localSheetId="36" hidden="1">#REF!</definedName>
    <definedName name="XRefCopy165Row" hidden="1">#REF!</definedName>
    <definedName name="XRefCopy166Row" localSheetId="26" hidden="1">#REF!</definedName>
    <definedName name="XRefCopy166Row" localSheetId="25" hidden="1">#REF!</definedName>
    <definedName name="XRefCopy166Row" localSheetId="35" hidden="1">#REF!</definedName>
    <definedName name="XRefCopy166Row" localSheetId="33" hidden="1">#REF!</definedName>
    <definedName name="XRefCopy166Row" localSheetId="36" hidden="1">#REF!</definedName>
    <definedName name="XRefCopy166Row" hidden="1">#REF!</definedName>
    <definedName name="XRefCopy167Row" localSheetId="26" hidden="1">#REF!</definedName>
    <definedName name="XRefCopy167Row" localSheetId="25" hidden="1">#REF!</definedName>
    <definedName name="XRefCopy167Row" localSheetId="35" hidden="1">#REF!</definedName>
    <definedName name="XRefCopy167Row" localSheetId="33" hidden="1">#REF!</definedName>
    <definedName name="XRefCopy167Row" localSheetId="36" hidden="1">#REF!</definedName>
    <definedName name="XRefCopy167Row" hidden="1">#REF!</definedName>
    <definedName name="XRefCopy168Row" localSheetId="26" hidden="1">#REF!</definedName>
    <definedName name="XRefCopy168Row" localSheetId="25" hidden="1">#REF!</definedName>
    <definedName name="XRefCopy168Row" localSheetId="35" hidden="1">#REF!</definedName>
    <definedName name="XRefCopy168Row" localSheetId="33" hidden="1">#REF!</definedName>
    <definedName name="XRefCopy168Row" localSheetId="36" hidden="1">#REF!</definedName>
    <definedName name="XRefCopy168Row" hidden="1">#REF!</definedName>
    <definedName name="XRefCopy169Row" localSheetId="26" hidden="1">#REF!</definedName>
    <definedName name="XRefCopy169Row" localSheetId="25" hidden="1">#REF!</definedName>
    <definedName name="XRefCopy169Row" localSheetId="35" hidden="1">#REF!</definedName>
    <definedName name="XRefCopy169Row" localSheetId="33" hidden="1">#REF!</definedName>
    <definedName name="XRefCopy169Row" localSheetId="36" hidden="1">#REF!</definedName>
    <definedName name="XRefCopy169Row" hidden="1">#REF!</definedName>
    <definedName name="XRefCopy16Row" localSheetId="26" hidden="1">#REF!</definedName>
    <definedName name="XRefCopy16Row" localSheetId="25" hidden="1">#REF!</definedName>
    <definedName name="XRefCopy16Row" localSheetId="35" hidden="1">#REF!</definedName>
    <definedName name="XRefCopy16Row" localSheetId="33" hidden="1">#REF!</definedName>
    <definedName name="XRefCopy16Row" localSheetId="36" hidden="1">#REF!</definedName>
    <definedName name="XRefCopy16Row" hidden="1">#REF!</definedName>
    <definedName name="XRefCopy17" localSheetId="26" hidden="1">#REF!</definedName>
    <definedName name="XRefCopy17" localSheetId="25" hidden="1">#REF!</definedName>
    <definedName name="XRefCopy17" localSheetId="35" hidden="1">#REF!</definedName>
    <definedName name="XRefCopy17" localSheetId="33" hidden="1">#REF!</definedName>
    <definedName name="XRefCopy17" localSheetId="36" hidden="1">#REF!</definedName>
    <definedName name="XRefCopy17" hidden="1">#REF!</definedName>
    <definedName name="XRefCopy171Row" localSheetId="26" hidden="1">#REF!</definedName>
    <definedName name="XRefCopy171Row" localSheetId="25" hidden="1">#REF!</definedName>
    <definedName name="XRefCopy171Row" localSheetId="35" hidden="1">#REF!</definedName>
    <definedName name="XRefCopy171Row" localSheetId="33" hidden="1">#REF!</definedName>
    <definedName name="XRefCopy171Row" localSheetId="36" hidden="1">#REF!</definedName>
    <definedName name="XRefCopy171Row" hidden="1">#REF!</definedName>
    <definedName name="XRefCopy172Row" localSheetId="26" hidden="1">#REF!</definedName>
    <definedName name="XRefCopy172Row" localSheetId="25" hidden="1">#REF!</definedName>
    <definedName name="XRefCopy172Row" localSheetId="35" hidden="1">#REF!</definedName>
    <definedName name="XRefCopy172Row" localSheetId="33" hidden="1">#REF!</definedName>
    <definedName name="XRefCopy172Row" localSheetId="36" hidden="1">#REF!</definedName>
    <definedName name="XRefCopy172Row" hidden="1">#REF!</definedName>
    <definedName name="XRefCopy173Row" localSheetId="26" hidden="1">#REF!</definedName>
    <definedName name="XRefCopy173Row" localSheetId="25" hidden="1">#REF!</definedName>
    <definedName name="XRefCopy173Row" localSheetId="35" hidden="1">#REF!</definedName>
    <definedName name="XRefCopy173Row" localSheetId="33" hidden="1">#REF!</definedName>
    <definedName name="XRefCopy173Row" localSheetId="36" hidden="1">#REF!</definedName>
    <definedName name="XRefCopy173Row" hidden="1">#REF!</definedName>
    <definedName name="XRefCopy175Row" localSheetId="26" hidden="1">#REF!</definedName>
    <definedName name="XRefCopy175Row" localSheetId="25" hidden="1">#REF!</definedName>
    <definedName name="XRefCopy175Row" localSheetId="35" hidden="1">#REF!</definedName>
    <definedName name="XRefCopy175Row" localSheetId="33" hidden="1">#REF!</definedName>
    <definedName name="XRefCopy175Row" localSheetId="36" hidden="1">#REF!</definedName>
    <definedName name="XRefCopy175Row" hidden="1">#REF!</definedName>
    <definedName name="XRefCopy176Row" localSheetId="26" hidden="1">#REF!</definedName>
    <definedName name="XRefCopy176Row" localSheetId="25" hidden="1">#REF!</definedName>
    <definedName name="XRefCopy176Row" localSheetId="35" hidden="1">#REF!</definedName>
    <definedName name="XRefCopy176Row" localSheetId="33" hidden="1">#REF!</definedName>
    <definedName name="XRefCopy176Row" localSheetId="36" hidden="1">#REF!</definedName>
    <definedName name="XRefCopy176Row" hidden="1">#REF!</definedName>
    <definedName name="XRefCopy177Row" localSheetId="26" hidden="1">#REF!</definedName>
    <definedName name="XRefCopy177Row" localSheetId="25" hidden="1">#REF!</definedName>
    <definedName name="XRefCopy177Row" localSheetId="35" hidden="1">#REF!</definedName>
    <definedName name="XRefCopy177Row" localSheetId="33" hidden="1">#REF!</definedName>
    <definedName name="XRefCopy177Row" localSheetId="36" hidden="1">#REF!</definedName>
    <definedName name="XRefCopy177Row" hidden="1">#REF!</definedName>
    <definedName name="XRefCopy178Row" localSheetId="26" hidden="1">#REF!</definedName>
    <definedName name="XRefCopy178Row" localSheetId="25" hidden="1">#REF!</definedName>
    <definedName name="XRefCopy178Row" localSheetId="35" hidden="1">#REF!</definedName>
    <definedName name="XRefCopy178Row" localSheetId="33" hidden="1">#REF!</definedName>
    <definedName name="XRefCopy178Row" localSheetId="36" hidden="1">#REF!</definedName>
    <definedName name="XRefCopy178Row" hidden="1">#REF!</definedName>
    <definedName name="XRefCopy179Row" localSheetId="26" hidden="1">#REF!</definedName>
    <definedName name="XRefCopy179Row" localSheetId="25" hidden="1">#REF!</definedName>
    <definedName name="XRefCopy179Row" localSheetId="35" hidden="1">#REF!</definedName>
    <definedName name="XRefCopy179Row" localSheetId="33" hidden="1">#REF!</definedName>
    <definedName name="XRefCopy179Row" localSheetId="36" hidden="1">#REF!</definedName>
    <definedName name="XRefCopy179Row" hidden="1">#REF!</definedName>
    <definedName name="XRefCopy17Row" localSheetId="26" hidden="1">#REF!</definedName>
    <definedName name="XRefCopy17Row" localSheetId="25" hidden="1">#REF!</definedName>
    <definedName name="XRefCopy17Row" localSheetId="35" hidden="1">#REF!</definedName>
    <definedName name="XRefCopy17Row" localSheetId="33" hidden="1">#REF!</definedName>
    <definedName name="XRefCopy17Row" localSheetId="36" hidden="1">#REF!</definedName>
    <definedName name="XRefCopy17Row" hidden="1">#REF!</definedName>
    <definedName name="XRefCopy180Row" localSheetId="26" hidden="1">#REF!</definedName>
    <definedName name="XRefCopy180Row" localSheetId="25" hidden="1">#REF!</definedName>
    <definedName name="XRefCopy180Row" localSheetId="35" hidden="1">#REF!</definedName>
    <definedName name="XRefCopy180Row" localSheetId="33" hidden="1">#REF!</definedName>
    <definedName name="XRefCopy180Row" localSheetId="36" hidden="1">#REF!</definedName>
    <definedName name="XRefCopy180Row" hidden="1">#REF!</definedName>
    <definedName name="XRefCopy182Row" localSheetId="26" hidden="1">#REF!</definedName>
    <definedName name="XRefCopy182Row" localSheetId="25" hidden="1">#REF!</definedName>
    <definedName name="XRefCopy182Row" localSheetId="35" hidden="1">#REF!</definedName>
    <definedName name="XRefCopy182Row" localSheetId="33" hidden="1">#REF!</definedName>
    <definedName name="XRefCopy182Row" localSheetId="36" hidden="1">#REF!</definedName>
    <definedName name="XRefCopy182Row" hidden="1">#REF!</definedName>
    <definedName name="XRefCopy183Row" localSheetId="26" hidden="1">#REF!</definedName>
    <definedName name="XRefCopy183Row" localSheetId="25" hidden="1">#REF!</definedName>
    <definedName name="XRefCopy183Row" localSheetId="35" hidden="1">#REF!</definedName>
    <definedName name="XRefCopy183Row" localSheetId="33" hidden="1">#REF!</definedName>
    <definedName name="XRefCopy183Row" localSheetId="36" hidden="1">#REF!</definedName>
    <definedName name="XRefCopy183Row" hidden="1">#REF!</definedName>
    <definedName name="XRefCopy184Row" localSheetId="26" hidden="1">#REF!</definedName>
    <definedName name="XRefCopy184Row" localSheetId="25" hidden="1">#REF!</definedName>
    <definedName name="XRefCopy184Row" localSheetId="35" hidden="1">#REF!</definedName>
    <definedName name="XRefCopy184Row" localSheetId="33" hidden="1">#REF!</definedName>
    <definedName name="XRefCopy184Row" localSheetId="36" hidden="1">#REF!</definedName>
    <definedName name="XRefCopy184Row" hidden="1">#REF!</definedName>
    <definedName name="XRefCopy185Row" localSheetId="26" hidden="1">#REF!</definedName>
    <definedName name="XRefCopy185Row" localSheetId="25" hidden="1">#REF!</definedName>
    <definedName name="XRefCopy185Row" localSheetId="35" hidden="1">#REF!</definedName>
    <definedName name="XRefCopy185Row" localSheetId="33" hidden="1">#REF!</definedName>
    <definedName name="XRefCopy185Row" localSheetId="36" hidden="1">#REF!</definedName>
    <definedName name="XRefCopy185Row" hidden="1">#REF!</definedName>
    <definedName name="XRefCopy186Row" localSheetId="26" hidden="1">#REF!</definedName>
    <definedName name="XRefCopy186Row" localSheetId="25" hidden="1">#REF!</definedName>
    <definedName name="XRefCopy186Row" localSheetId="35" hidden="1">#REF!</definedName>
    <definedName name="XRefCopy186Row" localSheetId="33" hidden="1">#REF!</definedName>
    <definedName name="XRefCopy186Row" localSheetId="36" hidden="1">#REF!</definedName>
    <definedName name="XRefCopy186Row" hidden="1">#REF!</definedName>
    <definedName name="XRefCopy187Row" localSheetId="26" hidden="1">#REF!</definedName>
    <definedName name="XRefCopy187Row" localSheetId="25" hidden="1">#REF!</definedName>
    <definedName name="XRefCopy187Row" localSheetId="35" hidden="1">#REF!</definedName>
    <definedName name="XRefCopy187Row" localSheetId="33" hidden="1">#REF!</definedName>
    <definedName name="XRefCopy187Row" localSheetId="36" hidden="1">#REF!</definedName>
    <definedName name="XRefCopy187Row" hidden="1">#REF!</definedName>
    <definedName name="XRefCopy188Row" localSheetId="26" hidden="1">#REF!</definedName>
    <definedName name="XRefCopy188Row" localSheetId="25" hidden="1">#REF!</definedName>
    <definedName name="XRefCopy188Row" localSheetId="35" hidden="1">#REF!</definedName>
    <definedName name="XRefCopy188Row" localSheetId="33" hidden="1">#REF!</definedName>
    <definedName name="XRefCopy188Row" localSheetId="36" hidden="1">#REF!</definedName>
    <definedName name="XRefCopy188Row" hidden="1">#REF!</definedName>
    <definedName name="XRefCopy189Row" localSheetId="26" hidden="1">#REF!</definedName>
    <definedName name="XRefCopy189Row" localSheetId="25" hidden="1">#REF!</definedName>
    <definedName name="XRefCopy189Row" localSheetId="35" hidden="1">#REF!</definedName>
    <definedName name="XRefCopy189Row" localSheetId="33" hidden="1">#REF!</definedName>
    <definedName name="XRefCopy189Row" localSheetId="36" hidden="1">#REF!</definedName>
    <definedName name="XRefCopy189Row" hidden="1">#REF!</definedName>
    <definedName name="XRefCopy18Row" localSheetId="26" hidden="1">#REF!</definedName>
    <definedName name="XRefCopy18Row" localSheetId="25" hidden="1">#REF!</definedName>
    <definedName name="XRefCopy18Row" localSheetId="35" hidden="1">#REF!</definedName>
    <definedName name="XRefCopy18Row" localSheetId="33" hidden="1">#REF!</definedName>
    <definedName name="XRefCopy18Row" localSheetId="36" hidden="1">#REF!</definedName>
    <definedName name="XRefCopy18Row" hidden="1">#REF!</definedName>
    <definedName name="XRefCopy190Row" localSheetId="26" hidden="1">#REF!</definedName>
    <definedName name="XRefCopy190Row" localSheetId="25" hidden="1">#REF!</definedName>
    <definedName name="XRefCopy190Row" localSheetId="35" hidden="1">#REF!</definedName>
    <definedName name="XRefCopy190Row" localSheetId="33" hidden="1">#REF!</definedName>
    <definedName name="XRefCopy190Row" localSheetId="36" hidden="1">#REF!</definedName>
    <definedName name="XRefCopy190Row" hidden="1">#REF!</definedName>
    <definedName name="XRefCopy191Row" localSheetId="26" hidden="1">#REF!</definedName>
    <definedName name="XRefCopy191Row" localSheetId="25" hidden="1">#REF!</definedName>
    <definedName name="XRefCopy191Row" localSheetId="35" hidden="1">#REF!</definedName>
    <definedName name="XRefCopy191Row" localSheetId="33" hidden="1">#REF!</definedName>
    <definedName name="XRefCopy191Row" localSheetId="36" hidden="1">#REF!</definedName>
    <definedName name="XRefCopy191Row" hidden="1">#REF!</definedName>
    <definedName name="XRefCopy192Row" localSheetId="26" hidden="1">#REF!</definedName>
    <definedName name="XRefCopy192Row" localSheetId="25" hidden="1">#REF!</definedName>
    <definedName name="XRefCopy192Row" localSheetId="35" hidden="1">#REF!</definedName>
    <definedName name="XRefCopy192Row" localSheetId="33" hidden="1">#REF!</definedName>
    <definedName name="XRefCopy192Row" localSheetId="36" hidden="1">#REF!</definedName>
    <definedName name="XRefCopy192Row" hidden="1">#REF!</definedName>
    <definedName name="XRefCopy194Row" localSheetId="26" hidden="1">#REF!</definedName>
    <definedName name="XRefCopy194Row" localSheetId="25" hidden="1">#REF!</definedName>
    <definedName name="XRefCopy194Row" localSheetId="35" hidden="1">#REF!</definedName>
    <definedName name="XRefCopy194Row" localSheetId="33" hidden="1">#REF!</definedName>
    <definedName name="XRefCopy194Row" localSheetId="36" hidden="1">#REF!</definedName>
    <definedName name="XRefCopy194Row" hidden="1">#REF!</definedName>
    <definedName name="XRefCopy195Row" localSheetId="26" hidden="1">#REF!</definedName>
    <definedName name="XRefCopy195Row" localSheetId="25" hidden="1">#REF!</definedName>
    <definedName name="XRefCopy195Row" localSheetId="35" hidden="1">#REF!</definedName>
    <definedName name="XRefCopy195Row" localSheetId="33" hidden="1">#REF!</definedName>
    <definedName name="XRefCopy195Row" localSheetId="36" hidden="1">#REF!</definedName>
    <definedName name="XRefCopy195Row" hidden="1">#REF!</definedName>
    <definedName name="XRefCopy196Row" localSheetId="26" hidden="1">#REF!</definedName>
    <definedName name="XRefCopy196Row" localSheetId="25" hidden="1">#REF!</definedName>
    <definedName name="XRefCopy196Row" localSheetId="35" hidden="1">#REF!</definedName>
    <definedName name="XRefCopy196Row" localSheetId="33" hidden="1">#REF!</definedName>
    <definedName name="XRefCopy196Row" localSheetId="36" hidden="1">#REF!</definedName>
    <definedName name="XRefCopy196Row" hidden="1">#REF!</definedName>
    <definedName name="XRefCopy197Row" localSheetId="26" hidden="1">#REF!</definedName>
    <definedName name="XRefCopy197Row" localSheetId="25" hidden="1">#REF!</definedName>
    <definedName name="XRefCopy197Row" localSheetId="35" hidden="1">#REF!</definedName>
    <definedName name="XRefCopy197Row" localSheetId="33" hidden="1">#REF!</definedName>
    <definedName name="XRefCopy197Row" localSheetId="36" hidden="1">#REF!</definedName>
    <definedName name="XRefCopy197Row" hidden="1">#REF!</definedName>
    <definedName name="XRefCopy198Row" localSheetId="26" hidden="1">#REF!</definedName>
    <definedName name="XRefCopy198Row" localSheetId="25" hidden="1">#REF!</definedName>
    <definedName name="XRefCopy198Row" localSheetId="35" hidden="1">#REF!</definedName>
    <definedName name="XRefCopy198Row" localSheetId="33" hidden="1">#REF!</definedName>
    <definedName name="XRefCopy198Row" localSheetId="36" hidden="1">#REF!</definedName>
    <definedName name="XRefCopy198Row" hidden="1">#REF!</definedName>
    <definedName name="XRefCopy199Row" localSheetId="26" hidden="1">#REF!</definedName>
    <definedName name="XRefCopy199Row" localSheetId="25" hidden="1">#REF!</definedName>
    <definedName name="XRefCopy199Row" localSheetId="35" hidden="1">#REF!</definedName>
    <definedName name="XRefCopy199Row" localSheetId="33" hidden="1">#REF!</definedName>
    <definedName name="XRefCopy199Row" localSheetId="36" hidden="1">#REF!</definedName>
    <definedName name="XRefCopy199Row" hidden="1">#REF!</definedName>
    <definedName name="XRefCopy19Row" localSheetId="26" hidden="1">#REF!</definedName>
    <definedName name="XRefCopy19Row" localSheetId="25" hidden="1">#REF!</definedName>
    <definedName name="XRefCopy19Row" localSheetId="35" hidden="1">#REF!</definedName>
    <definedName name="XRefCopy19Row" localSheetId="33" hidden="1">#REF!</definedName>
    <definedName name="XRefCopy19Row" localSheetId="36" hidden="1">#REF!</definedName>
    <definedName name="XRefCopy19Row" hidden="1">#REF!</definedName>
    <definedName name="XRefCopy1Row" localSheetId="26" hidden="1">#REF!</definedName>
    <definedName name="XRefCopy1Row" localSheetId="25" hidden="1">#REF!</definedName>
    <definedName name="XRefCopy1Row" localSheetId="35" hidden="1">#REF!</definedName>
    <definedName name="XRefCopy1Row" localSheetId="33" hidden="1">#REF!</definedName>
    <definedName name="XRefCopy1Row" localSheetId="36" hidden="1">#REF!</definedName>
    <definedName name="XRefCopy1Row" hidden="1">#REF!</definedName>
    <definedName name="XRefCopy2" localSheetId="26" hidden="1">#REF!</definedName>
    <definedName name="XRefCopy2" localSheetId="25" hidden="1">#REF!</definedName>
    <definedName name="XRefCopy2" localSheetId="35" hidden="1">#REF!</definedName>
    <definedName name="XRefCopy2" localSheetId="33" hidden="1">#REF!</definedName>
    <definedName name="XRefCopy2" localSheetId="36" hidden="1">#REF!</definedName>
    <definedName name="XRefCopy2" hidden="1">#REF!</definedName>
    <definedName name="XRefCopy20" localSheetId="26" hidden="1">#REF!</definedName>
    <definedName name="XRefCopy20" localSheetId="25" hidden="1">#REF!</definedName>
    <definedName name="XRefCopy20" localSheetId="35" hidden="1">#REF!</definedName>
    <definedName name="XRefCopy20" localSheetId="33" hidden="1">#REF!</definedName>
    <definedName name="XRefCopy20" localSheetId="36" hidden="1">#REF!</definedName>
    <definedName name="XRefCopy20" hidden="1">#REF!</definedName>
    <definedName name="XRefCopy200Row" localSheetId="26" hidden="1">#REF!</definedName>
    <definedName name="XRefCopy200Row" localSheetId="25" hidden="1">#REF!</definedName>
    <definedName name="XRefCopy200Row" localSheetId="35" hidden="1">#REF!</definedName>
    <definedName name="XRefCopy200Row" localSheetId="33" hidden="1">#REF!</definedName>
    <definedName name="XRefCopy200Row" localSheetId="36" hidden="1">#REF!</definedName>
    <definedName name="XRefCopy200Row" hidden="1">#REF!</definedName>
    <definedName name="XRefCopy201Row" localSheetId="26" hidden="1">#REF!</definedName>
    <definedName name="XRefCopy201Row" localSheetId="25" hidden="1">#REF!</definedName>
    <definedName name="XRefCopy201Row" localSheetId="35" hidden="1">#REF!</definedName>
    <definedName name="XRefCopy201Row" localSheetId="33" hidden="1">#REF!</definedName>
    <definedName name="XRefCopy201Row" localSheetId="36" hidden="1">#REF!</definedName>
    <definedName name="XRefCopy201Row" hidden="1">#REF!</definedName>
    <definedName name="XRefCopy203Row" localSheetId="26" hidden="1">#REF!</definedName>
    <definedName name="XRefCopy203Row" localSheetId="25" hidden="1">#REF!</definedName>
    <definedName name="XRefCopy203Row" localSheetId="35" hidden="1">#REF!</definedName>
    <definedName name="XRefCopy203Row" localSheetId="33" hidden="1">#REF!</definedName>
    <definedName name="XRefCopy203Row" localSheetId="36" hidden="1">#REF!</definedName>
    <definedName name="XRefCopy203Row" hidden="1">#REF!</definedName>
    <definedName name="XRefCopy204Row" localSheetId="26" hidden="1">#REF!</definedName>
    <definedName name="XRefCopy204Row" localSheetId="25" hidden="1">#REF!</definedName>
    <definedName name="XRefCopy204Row" localSheetId="35" hidden="1">#REF!</definedName>
    <definedName name="XRefCopy204Row" localSheetId="33" hidden="1">#REF!</definedName>
    <definedName name="XRefCopy204Row" localSheetId="36" hidden="1">#REF!</definedName>
    <definedName name="XRefCopy204Row" hidden="1">#REF!</definedName>
    <definedName name="XRefCopy205Row" localSheetId="26" hidden="1">#REF!</definedName>
    <definedName name="XRefCopy205Row" localSheetId="25" hidden="1">#REF!</definedName>
    <definedName name="XRefCopy205Row" localSheetId="35" hidden="1">#REF!</definedName>
    <definedName name="XRefCopy205Row" localSheetId="33" hidden="1">#REF!</definedName>
    <definedName name="XRefCopy205Row" localSheetId="36" hidden="1">#REF!</definedName>
    <definedName name="XRefCopy205Row" hidden="1">#REF!</definedName>
    <definedName name="XRefCopy206Row" localSheetId="26" hidden="1">#REF!</definedName>
    <definedName name="XRefCopy206Row" localSheetId="25" hidden="1">#REF!</definedName>
    <definedName name="XRefCopy206Row" localSheetId="35" hidden="1">#REF!</definedName>
    <definedName name="XRefCopy206Row" localSheetId="33" hidden="1">#REF!</definedName>
    <definedName name="XRefCopy206Row" localSheetId="36" hidden="1">#REF!</definedName>
    <definedName name="XRefCopy206Row" hidden="1">#REF!</definedName>
    <definedName name="XRefCopy207Row" localSheetId="26" hidden="1">#REF!</definedName>
    <definedName name="XRefCopy207Row" localSheetId="25" hidden="1">#REF!</definedName>
    <definedName name="XRefCopy207Row" localSheetId="35" hidden="1">#REF!</definedName>
    <definedName name="XRefCopy207Row" localSheetId="33" hidden="1">#REF!</definedName>
    <definedName name="XRefCopy207Row" localSheetId="36" hidden="1">#REF!</definedName>
    <definedName name="XRefCopy207Row" hidden="1">#REF!</definedName>
    <definedName name="XRefCopy208Row" localSheetId="26" hidden="1">#REF!</definedName>
    <definedName name="XRefCopy208Row" localSheetId="25" hidden="1">#REF!</definedName>
    <definedName name="XRefCopy208Row" localSheetId="35" hidden="1">#REF!</definedName>
    <definedName name="XRefCopy208Row" localSheetId="33" hidden="1">#REF!</definedName>
    <definedName name="XRefCopy208Row" localSheetId="36" hidden="1">#REF!</definedName>
    <definedName name="XRefCopy208Row" hidden="1">#REF!</definedName>
    <definedName name="XRefCopy209Row" localSheetId="26" hidden="1">#REF!</definedName>
    <definedName name="XRefCopy209Row" localSheetId="25" hidden="1">#REF!</definedName>
    <definedName name="XRefCopy209Row" localSheetId="35" hidden="1">#REF!</definedName>
    <definedName name="XRefCopy209Row" localSheetId="33" hidden="1">#REF!</definedName>
    <definedName name="XRefCopy209Row" localSheetId="36" hidden="1">#REF!</definedName>
    <definedName name="XRefCopy209Row" hidden="1">#REF!</definedName>
    <definedName name="XRefCopy20Row" localSheetId="26" hidden="1">#REF!</definedName>
    <definedName name="XRefCopy20Row" localSheetId="25" hidden="1">#REF!</definedName>
    <definedName name="XRefCopy20Row" localSheetId="35" hidden="1">#REF!</definedName>
    <definedName name="XRefCopy20Row" localSheetId="33" hidden="1">#REF!</definedName>
    <definedName name="XRefCopy20Row" localSheetId="36" hidden="1">#REF!</definedName>
    <definedName name="XRefCopy20Row" hidden="1">#REF!</definedName>
    <definedName name="XRefCopy210Row" localSheetId="26" hidden="1">#REF!</definedName>
    <definedName name="XRefCopy210Row" localSheetId="25" hidden="1">#REF!</definedName>
    <definedName name="XRefCopy210Row" localSheetId="35" hidden="1">#REF!</definedName>
    <definedName name="XRefCopy210Row" localSheetId="33" hidden="1">#REF!</definedName>
    <definedName name="XRefCopy210Row" localSheetId="36" hidden="1">#REF!</definedName>
    <definedName name="XRefCopy210Row" hidden="1">#REF!</definedName>
    <definedName name="XRefCopy211Row" localSheetId="26" hidden="1">#REF!</definedName>
    <definedName name="XRefCopy211Row" localSheetId="25" hidden="1">#REF!</definedName>
    <definedName name="XRefCopy211Row" localSheetId="35" hidden="1">#REF!</definedName>
    <definedName name="XRefCopy211Row" localSheetId="33" hidden="1">#REF!</definedName>
    <definedName name="XRefCopy211Row" localSheetId="36" hidden="1">#REF!</definedName>
    <definedName name="XRefCopy211Row" hidden="1">#REF!</definedName>
    <definedName name="XRefCopy212Row" localSheetId="26" hidden="1">#REF!</definedName>
    <definedName name="XRefCopy212Row" localSheetId="25" hidden="1">#REF!</definedName>
    <definedName name="XRefCopy212Row" localSheetId="35" hidden="1">#REF!</definedName>
    <definedName name="XRefCopy212Row" localSheetId="33" hidden="1">#REF!</definedName>
    <definedName name="XRefCopy212Row" localSheetId="36" hidden="1">#REF!</definedName>
    <definedName name="XRefCopy212Row" hidden="1">#REF!</definedName>
    <definedName name="XRefCopy213Row" localSheetId="26" hidden="1">#REF!</definedName>
    <definedName name="XRefCopy213Row" localSheetId="25" hidden="1">#REF!</definedName>
    <definedName name="XRefCopy213Row" localSheetId="35" hidden="1">#REF!</definedName>
    <definedName name="XRefCopy213Row" localSheetId="33" hidden="1">#REF!</definedName>
    <definedName name="XRefCopy213Row" localSheetId="36" hidden="1">#REF!</definedName>
    <definedName name="XRefCopy213Row" hidden="1">#REF!</definedName>
    <definedName name="XRefCopy214Row" localSheetId="26" hidden="1">#REF!</definedName>
    <definedName name="XRefCopy214Row" localSheetId="25" hidden="1">#REF!</definedName>
    <definedName name="XRefCopy214Row" localSheetId="35" hidden="1">#REF!</definedName>
    <definedName name="XRefCopy214Row" localSheetId="33" hidden="1">#REF!</definedName>
    <definedName name="XRefCopy214Row" localSheetId="36" hidden="1">#REF!</definedName>
    <definedName name="XRefCopy214Row" hidden="1">#REF!</definedName>
    <definedName name="XRefCopy215Row" localSheetId="26" hidden="1">#REF!</definedName>
    <definedName name="XRefCopy215Row" localSheetId="25" hidden="1">#REF!</definedName>
    <definedName name="XRefCopy215Row" localSheetId="35" hidden="1">#REF!</definedName>
    <definedName name="XRefCopy215Row" localSheetId="33" hidden="1">#REF!</definedName>
    <definedName name="XRefCopy215Row" localSheetId="36" hidden="1">#REF!</definedName>
    <definedName name="XRefCopy215Row" hidden="1">#REF!</definedName>
    <definedName name="XRefCopy21Row" localSheetId="26" hidden="1">#REF!</definedName>
    <definedName name="XRefCopy21Row" localSheetId="25" hidden="1">#REF!</definedName>
    <definedName name="XRefCopy21Row" localSheetId="35" hidden="1">#REF!</definedName>
    <definedName name="XRefCopy21Row" localSheetId="33" hidden="1">#REF!</definedName>
    <definedName name="XRefCopy21Row" localSheetId="36" hidden="1">#REF!</definedName>
    <definedName name="XRefCopy21Row" hidden="1">#REF!</definedName>
    <definedName name="XRefCopy22" localSheetId="26" hidden="1">#REF!</definedName>
    <definedName name="XRefCopy22" localSheetId="25" hidden="1">#REF!</definedName>
    <definedName name="XRefCopy22" localSheetId="35" hidden="1">#REF!</definedName>
    <definedName name="XRefCopy22" localSheetId="33" hidden="1">#REF!</definedName>
    <definedName name="XRefCopy22" localSheetId="36" hidden="1">#REF!</definedName>
    <definedName name="XRefCopy22" hidden="1">#REF!</definedName>
    <definedName name="XRefCopy221Row" localSheetId="26" hidden="1">#REF!</definedName>
    <definedName name="XRefCopy221Row" localSheetId="25" hidden="1">#REF!</definedName>
    <definedName name="XRefCopy221Row" localSheetId="35" hidden="1">#REF!</definedName>
    <definedName name="XRefCopy221Row" localSheetId="33" hidden="1">#REF!</definedName>
    <definedName name="XRefCopy221Row" localSheetId="36" hidden="1">#REF!</definedName>
    <definedName name="XRefCopy221Row" hidden="1">#REF!</definedName>
    <definedName name="XRefCopy222Row" localSheetId="26" hidden="1">#REF!</definedName>
    <definedName name="XRefCopy222Row" localSheetId="25" hidden="1">#REF!</definedName>
    <definedName name="XRefCopy222Row" localSheetId="35" hidden="1">#REF!</definedName>
    <definedName name="XRefCopy222Row" localSheetId="33" hidden="1">#REF!</definedName>
    <definedName name="XRefCopy222Row" localSheetId="36" hidden="1">#REF!</definedName>
    <definedName name="XRefCopy222Row" hidden="1">#REF!</definedName>
    <definedName name="XRefCopy223Row" localSheetId="26" hidden="1">#REF!</definedName>
    <definedName name="XRefCopy223Row" localSheetId="25" hidden="1">#REF!</definedName>
    <definedName name="XRefCopy223Row" localSheetId="35" hidden="1">#REF!</definedName>
    <definedName name="XRefCopy223Row" localSheetId="33" hidden="1">#REF!</definedName>
    <definedName name="XRefCopy223Row" localSheetId="36" hidden="1">#REF!</definedName>
    <definedName name="XRefCopy223Row" hidden="1">#REF!</definedName>
    <definedName name="XRefCopy224Row" localSheetId="26" hidden="1">#REF!</definedName>
    <definedName name="XRefCopy224Row" localSheetId="25" hidden="1">#REF!</definedName>
    <definedName name="XRefCopy224Row" localSheetId="35" hidden="1">#REF!</definedName>
    <definedName name="XRefCopy224Row" localSheetId="33" hidden="1">#REF!</definedName>
    <definedName name="XRefCopy224Row" localSheetId="36" hidden="1">#REF!</definedName>
    <definedName name="XRefCopy224Row" hidden="1">#REF!</definedName>
    <definedName name="XRefCopy225Row" localSheetId="26" hidden="1">#REF!</definedName>
    <definedName name="XRefCopy225Row" localSheetId="25" hidden="1">#REF!</definedName>
    <definedName name="XRefCopy225Row" localSheetId="35" hidden="1">#REF!</definedName>
    <definedName name="XRefCopy225Row" localSheetId="33" hidden="1">#REF!</definedName>
    <definedName name="XRefCopy225Row" localSheetId="36" hidden="1">#REF!</definedName>
    <definedName name="XRefCopy225Row" hidden="1">#REF!</definedName>
    <definedName name="XRefCopy226Row" localSheetId="26" hidden="1">#REF!</definedName>
    <definedName name="XRefCopy226Row" localSheetId="25" hidden="1">#REF!</definedName>
    <definedName name="XRefCopy226Row" localSheetId="35" hidden="1">#REF!</definedName>
    <definedName name="XRefCopy226Row" localSheetId="33" hidden="1">#REF!</definedName>
    <definedName name="XRefCopy226Row" localSheetId="36" hidden="1">#REF!</definedName>
    <definedName name="XRefCopy226Row" hidden="1">#REF!</definedName>
    <definedName name="XRefCopy227Row" localSheetId="26" hidden="1">#REF!</definedName>
    <definedName name="XRefCopy227Row" localSheetId="25" hidden="1">#REF!</definedName>
    <definedName name="XRefCopy227Row" localSheetId="35" hidden="1">#REF!</definedName>
    <definedName name="XRefCopy227Row" localSheetId="33" hidden="1">#REF!</definedName>
    <definedName name="XRefCopy227Row" localSheetId="36" hidden="1">#REF!</definedName>
    <definedName name="XRefCopy227Row" hidden="1">#REF!</definedName>
    <definedName name="XRefCopy229Row" localSheetId="26" hidden="1">#REF!</definedName>
    <definedName name="XRefCopy229Row" localSheetId="25" hidden="1">#REF!</definedName>
    <definedName name="XRefCopy229Row" localSheetId="35" hidden="1">#REF!</definedName>
    <definedName name="XRefCopy229Row" localSheetId="33" hidden="1">#REF!</definedName>
    <definedName name="XRefCopy229Row" localSheetId="36" hidden="1">#REF!</definedName>
    <definedName name="XRefCopy229Row" hidden="1">#REF!</definedName>
    <definedName name="XRefCopy22Row" localSheetId="26" hidden="1">#REF!</definedName>
    <definedName name="XRefCopy22Row" localSheetId="25" hidden="1">#REF!</definedName>
    <definedName name="XRefCopy22Row" localSheetId="35" hidden="1">#REF!</definedName>
    <definedName name="XRefCopy22Row" localSheetId="33" hidden="1">#REF!</definedName>
    <definedName name="XRefCopy22Row" localSheetId="36" hidden="1">#REF!</definedName>
    <definedName name="XRefCopy22Row" hidden="1">#REF!</definedName>
    <definedName name="XRefCopy23" localSheetId="26" hidden="1">#REF!</definedName>
    <definedName name="XRefCopy23" localSheetId="25" hidden="1">#REF!</definedName>
    <definedName name="XRefCopy23" localSheetId="35" hidden="1">#REF!</definedName>
    <definedName name="XRefCopy23" localSheetId="33" hidden="1">#REF!</definedName>
    <definedName name="XRefCopy23" localSheetId="36" hidden="1">#REF!</definedName>
    <definedName name="XRefCopy23" hidden="1">#REF!</definedName>
    <definedName name="XRefCopy230Row" localSheetId="26" hidden="1">#REF!</definedName>
    <definedName name="XRefCopy230Row" localSheetId="25" hidden="1">#REF!</definedName>
    <definedName name="XRefCopy230Row" localSheetId="35" hidden="1">#REF!</definedName>
    <definedName name="XRefCopy230Row" localSheetId="33" hidden="1">#REF!</definedName>
    <definedName name="XRefCopy230Row" localSheetId="36" hidden="1">#REF!</definedName>
    <definedName name="XRefCopy230Row" hidden="1">#REF!</definedName>
    <definedName name="XRefCopy231Row" localSheetId="26" hidden="1">#REF!</definedName>
    <definedName name="XRefCopy231Row" localSheetId="25" hidden="1">#REF!</definedName>
    <definedName name="XRefCopy231Row" localSheetId="35" hidden="1">#REF!</definedName>
    <definedName name="XRefCopy231Row" localSheetId="33" hidden="1">#REF!</definedName>
    <definedName name="XRefCopy231Row" localSheetId="36" hidden="1">#REF!</definedName>
    <definedName name="XRefCopy231Row" hidden="1">#REF!</definedName>
    <definedName name="XRefCopy232Row" localSheetId="26" hidden="1">#REF!</definedName>
    <definedName name="XRefCopy232Row" localSheetId="25" hidden="1">#REF!</definedName>
    <definedName name="XRefCopy232Row" localSheetId="35" hidden="1">#REF!</definedName>
    <definedName name="XRefCopy232Row" localSheetId="33" hidden="1">#REF!</definedName>
    <definedName name="XRefCopy232Row" localSheetId="36" hidden="1">#REF!</definedName>
    <definedName name="XRefCopy232Row" hidden="1">#REF!</definedName>
    <definedName name="XRefCopy233Row" localSheetId="26" hidden="1">#REF!</definedName>
    <definedName name="XRefCopy233Row" localSheetId="25" hidden="1">#REF!</definedName>
    <definedName name="XRefCopy233Row" localSheetId="35" hidden="1">#REF!</definedName>
    <definedName name="XRefCopy233Row" localSheetId="33" hidden="1">#REF!</definedName>
    <definedName name="XRefCopy233Row" localSheetId="36" hidden="1">#REF!</definedName>
    <definedName name="XRefCopy233Row" hidden="1">#REF!</definedName>
    <definedName name="XRefCopy234Row" localSheetId="26" hidden="1">#REF!</definedName>
    <definedName name="XRefCopy234Row" localSheetId="25" hidden="1">#REF!</definedName>
    <definedName name="XRefCopy234Row" localSheetId="35" hidden="1">#REF!</definedName>
    <definedName name="XRefCopy234Row" localSheetId="33" hidden="1">#REF!</definedName>
    <definedName name="XRefCopy234Row" localSheetId="36" hidden="1">#REF!</definedName>
    <definedName name="XRefCopy234Row" hidden="1">#REF!</definedName>
    <definedName name="XRefCopy23Row" localSheetId="26" hidden="1">#REF!</definedName>
    <definedName name="XRefCopy23Row" localSheetId="25" hidden="1">#REF!</definedName>
    <definedName name="XRefCopy23Row" localSheetId="35" hidden="1">#REF!</definedName>
    <definedName name="XRefCopy23Row" localSheetId="33" hidden="1">#REF!</definedName>
    <definedName name="XRefCopy23Row" localSheetId="36" hidden="1">#REF!</definedName>
    <definedName name="XRefCopy23Row" hidden="1">#REF!</definedName>
    <definedName name="XRefCopy242Row" localSheetId="26" hidden="1">#REF!</definedName>
    <definedName name="XRefCopy242Row" localSheetId="25" hidden="1">#REF!</definedName>
    <definedName name="XRefCopy242Row" localSheetId="35" hidden="1">#REF!</definedName>
    <definedName name="XRefCopy242Row" localSheetId="33" hidden="1">#REF!</definedName>
    <definedName name="XRefCopy242Row" localSheetId="36" hidden="1">#REF!</definedName>
    <definedName name="XRefCopy242Row" hidden="1">#REF!</definedName>
    <definedName name="XRefCopy243Row" localSheetId="26" hidden="1">#REF!</definedName>
    <definedName name="XRefCopy243Row" localSheetId="25" hidden="1">#REF!</definedName>
    <definedName name="XRefCopy243Row" localSheetId="35" hidden="1">#REF!</definedName>
    <definedName name="XRefCopy243Row" localSheetId="33" hidden="1">#REF!</definedName>
    <definedName name="XRefCopy243Row" localSheetId="36" hidden="1">#REF!</definedName>
    <definedName name="XRefCopy243Row" hidden="1">#REF!</definedName>
    <definedName name="XRefCopy244Row" localSheetId="26" hidden="1">#REF!</definedName>
    <definedName name="XRefCopy244Row" localSheetId="25" hidden="1">#REF!</definedName>
    <definedName name="XRefCopy244Row" localSheetId="35" hidden="1">#REF!</definedName>
    <definedName name="XRefCopy244Row" localSheetId="33" hidden="1">#REF!</definedName>
    <definedName name="XRefCopy244Row" localSheetId="36" hidden="1">#REF!</definedName>
    <definedName name="XRefCopy244Row" hidden="1">#REF!</definedName>
    <definedName name="XRefCopy245Row" localSheetId="26" hidden="1">#REF!</definedName>
    <definedName name="XRefCopy245Row" localSheetId="25" hidden="1">#REF!</definedName>
    <definedName name="XRefCopy245Row" localSheetId="35" hidden="1">#REF!</definedName>
    <definedName name="XRefCopy245Row" localSheetId="33" hidden="1">#REF!</definedName>
    <definedName name="XRefCopy245Row" localSheetId="36" hidden="1">#REF!</definedName>
    <definedName name="XRefCopy245Row" hidden="1">#REF!</definedName>
    <definedName name="XRefCopy246Row" localSheetId="26" hidden="1">#REF!</definedName>
    <definedName name="XRefCopy246Row" localSheetId="25" hidden="1">#REF!</definedName>
    <definedName name="XRefCopy246Row" localSheetId="35" hidden="1">#REF!</definedName>
    <definedName name="XRefCopy246Row" localSheetId="33" hidden="1">#REF!</definedName>
    <definedName name="XRefCopy246Row" localSheetId="36" hidden="1">#REF!</definedName>
    <definedName name="XRefCopy246Row" hidden="1">#REF!</definedName>
    <definedName name="XRefCopy247Row" localSheetId="26" hidden="1">#REF!</definedName>
    <definedName name="XRefCopy247Row" localSheetId="25" hidden="1">#REF!</definedName>
    <definedName name="XRefCopy247Row" localSheetId="35" hidden="1">#REF!</definedName>
    <definedName name="XRefCopy247Row" localSheetId="33" hidden="1">#REF!</definedName>
    <definedName name="XRefCopy247Row" localSheetId="36" hidden="1">#REF!</definedName>
    <definedName name="XRefCopy247Row" hidden="1">#REF!</definedName>
    <definedName name="XRefCopy248Row" localSheetId="26" hidden="1">#REF!</definedName>
    <definedName name="XRefCopy248Row" localSheetId="25" hidden="1">#REF!</definedName>
    <definedName name="XRefCopy248Row" localSheetId="35" hidden="1">#REF!</definedName>
    <definedName name="XRefCopy248Row" localSheetId="33" hidden="1">#REF!</definedName>
    <definedName name="XRefCopy248Row" localSheetId="36" hidden="1">#REF!</definedName>
    <definedName name="XRefCopy248Row" hidden="1">#REF!</definedName>
    <definedName name="XRefCopy24Row" localSheetId="26" hidden="1">#REF!</definedName>
    <definedName name="XRefCopy24Row" localSheetId="25" hidden="1">#REF!</definedName>
    <definedName name="XRefCopy24Row" localSheetId="35" hidden="1">#REF!</definedName>
    <definedName name="XRefCopy24Row" localSheetId="33" hidden="1">#REF!</definedName>
    <definedName name="XRefCopy24Row" localSheetId="36" hidden="1">#REF!</definedName>
    <definedName name="XRefCopy24Row" hidden="1">#REF!</definedName>
    <definedName name="XRefCopy25" localSheetId="26" hidden="1">#REF!</definedName>
    <definedName name="XRefCopy25" localSheetId="25" hidden="1">#REF!</definedName>
    <definedName name="XRefCopy25" localSheetId="35" hidden="1">#REF!</definedName>
    <definedName name="XRefCopy25" localSheetId="33" hidden="1">#REF!</definedName>
    <definedName name="XRefCopy25" localSheetId="36" hidden="1">#REF!</definedName>
    <definedName name="XRefCopy25" hidden="1">#REF!</definedName>
    <definedName name="XRefCopy250Row" localSheetId="26" hidden="1">#REF!</definedName>
    <definedName name="XRefCopy250Row" localSheetId="25" hidden="1">#REF!</definedName>
    <definedName name="XRefCopy250Row" localSheetId="35" hidden="1">#REF!</definedName>
    <definedName name="XRefCopy250Row" localSheetId="33" hidden="1">#REF!</definedName>
    <definedName name="XRefCopy250Row" localSheetId="36" hidden="1">#REF!</definedName>
    <definedName name="XRefCopy250Row" hidden="1">#REF!</definedName>
    <definedName name="XRefCopy251Row" localSheetId="26" hidden="1">#REF!</definedName>
    <definedName name="XRefCopy251Row" localSheetId="25" hidden="1">#REF!</definedName>
    <definedName name="XRefCopy251Row" localSheetId="35" hidden="1">#REF!</definedName>
    <definedName name="XRefCopy251Row" localSheetId="33" hidden="1">#REF!</definedName>
    <definedName name="XRefCopy251Row" localSheetId="36" hidden="1">#REF!</definedName>
    <definedName name="XRefCopy251Row" hidden="1">#REF!</definedName>
    <definedName name="XRefCopy252Row" localSheetId="26" hidden="1">#REF!</definedName>
    <definedName name="XRefCopy252Row" localSheetId="25" hidden="1">#REF!</definedName>
    <definedName name="XRefCopy252Row" localSheetId="35" hidden="1">#REF!</definedName>
    <definedName name="XRefCopy252Row" localSheetId="33" hidden="1">#REF!</definedName>
    <definedName name="XRefCopy252Row" localSheetId="36" hidden="1">#REF!</definedName>
    <definedName name="XRefCopy252Row" hidden="1">#REF!</definedName>
    <definedName name="XRefCopy254Row" localSheetId="26" hidden="1">#REF!</definedName>
    <definedName name="XRefCopy254Row" localSheetId="25" hidden="1">#REF!</definedName>
    <definedName name="XRefCopy254Row" localSheetId="35" hidden="1">#REF!</definedName>
    <definedName name="XRefCopy254Row" localSheetId="33" hidden="1">#REF!</definedName>
    <definedName name="XRefCopy254Row" localSheetId="36" hidden="1">#REF!</definedName>
    <definedName name="XRefCopy254Row" hidden="1">#REF!</definedName>
    <definedName name="XRefCopy255Row" localSheetId="26" hidden="1">#REF!</definedName>
    <definedName name="XRefCopy255Row" localSheetId="25" hidden="1">#REF!</definedName>
    <definedName name="XRefCopy255Row" localSheetId="35" hidden="1">#REF!</definedName>
    <definedName name="XRefCopy255Row" localSheetId="33" hidden="1">#REF!</definedName>
    <definedName name="XRefCopy255Row" localSheetId="36" hidden="1">#REF!</definedName>
    <definedName name="XRefCopy255Row" hidden="1">#REF!</definedName>
    <definedName name="XRefCopy256Row" localSheetId="26" hidden="1">#REF!</definedName>
    <definedName name="XRefCopy256Row" localSheetId="25" hidden="1">#REF!</definedName>
    <definedName name="XRefCopy256Row" localSheetId="35" hidden="1">#REF!</definedName>
    <definedName name="XRefCopy256Row" localSheetId="33" hidden="1">#REF!</definedName>
    <definedName name="XRefCopy256Row" localSheetId="36" hidden="1">#REF!</definedName>
    <definedName name="XRefCopy256Row" hidden="1">#REF!</definedName>
    <definedName name="XRefCopy257Row" localSheetId="26" hidden="1">#REF!</definedName>
    <definedName name="XRefCopy257Row" localSheetId="25" hidden="1">#REF!</definedName>
    <definedName name="XRefCopy257Row" localSheetId="35" hidden="1">#REF!</definedName>
    <definedName name="XRefCopy257Row" localSheetId="33" hidden="1">#REF!</definedName>
    <definedName name="XRefCopy257Row" localSheetId="36" hidden="1">#REF!</definedName>
    <definedName name="XRefCopy257Row" hidden="1">#REF!</definedName>
    <definedName name="XRefCopy258Row" localSheetId="26" hidden="1">#REF!</definedName>
    <definedName name="XRefCopy258Row" localSheetId="25" hidden="1">#REF!</definedName>
    <definedName name="XRefCopy258Row" localSheetId="35" hidden="1">#REF!</definedName>
    <definedName name="XRefCopy258Row" localSheetId="33" hidden="1">#REF!</definedName>
    <definedName name="XRefCopy258Row" localSheetId="36" hidden="1">#REF!</definedName>
    <definedName name="XRefCopy258Row" hidden="1">#REF!</definedName>
    <definedName name="XRefCopy259Row" localSheetId="26" hidden="1">#REF!</definedName>
    <definedName name="XRefCopy259Row" localSheetId="25" hidden="1">#REF!</definedName>
    <definedName name="XRefCopy259Row" localSheetId="35" hidden="1">#REF!</definedName>
    <definedName name="XRefCopy259Row" localSheetId="33" hidden="1">#REF!</definedName>
    <definedName name="XRefCopy259Row" localSheetId="36" hidden="1">#REF!</definedName>
    <definedName name="XRefCopy259Row" hidden="1">#REF!</definedName>
    <definedName name="XRefCopy25Row" localSheetId="26" hidden="1">#REF!</definedName>
    <definedName name="XRefCopy25Row" localSheetId="25" hidden="1">#REF!</definedName>
    <definedName name="XRefCopy25Row" localSheetId="35" hidden="1">#REF!</definedName>
    <definedName name="XRefCopy25Row" localSheetId="33" hidden="1">#REF!</definedName>
    <definedName name="XRefCopy25Row" localSheetId="36" hidden="1">#REF!</definedName>
    <definedName name="XRefCopy25Row" hidden="1">#REF!</definedName>
    <definedName name="XRefCopy26" localSheetId="26" hidden="1">#REF!</definedName>
    <definedName name="XRefCopy26" localSheetId="25" hidden="1">#REF!</definedName>
    <definedName name="XRefCopy26" localSheetId="35" hidden="1">#REF!</definedName>
    <definedName name="XRefCopy26" localSheetId="33" hidden="1">#REF!</definedName>
    <definedName name="XRefCopy26" localSheetId="36" hidden="1">#REF!</definedName>
    <definedName name="XRefCopy26" hidden="1">#REF!</definedName>
    <definedName name="XRefCopy260Row" localSheetId="26" hidden="1">#REF!</definedName>
    <definedName name="XRefCopy260Row" localSheetId="25" hidden="1">#REF!</definedName>
    <definedName name="XRefCopy260Row" localSheetId="35" hidden="1">#REF!</definedName>
    <definedName name="XRefCopy260Row" localSheetId="33" hidden="1">#REF!</definedName>
    <definedName name="XRefCopy260Row" localSheetId="36" hidden="1">#REF!</definedName>
    <definedName name="XRefCopy260Row" hidden="1">#REF!</definedName>
    <definedName name="XRefCopy261Row" localSheetId="26" hidden="1">#REF!</definedName>
    <definedName name="XRefCopy261Row" localSheetId="25" hidden="1">#REF!</definedName>
    <definedName name="XRefCopy261Row" localSheetId="35" hidden="1">#REF!</definedName>
    <definedName name="XRefCopy261Row" localSheetId="33" hidden="1">#REF!</definedName>
    <definedName name="XRefCopy261Row" localSheetId="36" hidden="1">#REF!</definedName>
    <definedName name="XRefCopy261Row" hidden="1">#REF!</definedName>
    <definedName name="XRefCopy262Row" localSheetId="26" hidden="1">#REF!</definedName>
    <definedName name="XRefCopy262Row" localSheetId="25" hidden="1">#REF!</definedName>
    <definedName name="XRefCopy262Row" localSheetId="35" hidden="1">#REF!</definedName>
    <definedName name="XRefCopy262Row" localSheetId="33" hidden="1">#REF!</definedName>
    <definedName name="XRefCopy262Row" localSheetId="36" hidden="1">#REF!</definedName>
    <definedName name="XRefCopy262Row" hidden="1">#REF!</definedName>
    <definedName name="XRefCopy263Row" localSheetId="26" hidden="1">#REF!</definedName>
    <definedName name="XRefCopy263Row" localSheetId="25" hidden="1">#REF!</definedName>
    <definedName name="XRefCopy263Row" localSheetId="35" hidden="1">#REF!</definedName>
    <definedName name="XRefCopy263Row" localSheetId="33" hidden="1">#REF!</definedName>
    <definedName name="XRefCopy263Row" localSheetId="36" hidden="1">#REF!</definedName>
    <definedName name="XRefCopy263Row" hidden="1">#REF!</definedName>
    <definedName name="XRefCopy264Row" localSheetId="26" hidden="1">#REF!</definedName>
    <definedName name="XRefCopy264Row" localSheetId="25" hidden="1">#REF!</definedName>
    <definedName name="XRefCopy264Row" localSheetId="35" hidden="1">#REF!</definedName>
    <definedName name="XRefCopy264Row" localSheetId="33" hidden="1">#REF!</definedName>
    <definedName name="XRefCopy264Row" localSheetId="36" hidden="1">#REF!</definedName>
    <definedName name="XRefCopy264Row" hidden="1">#REF!</definedName>
    <definedName name="XRefCopy26Row" localSheetId="26" hidden="1">#REF!</definedName>
    <definedName name="XRefCopy26Row" localSheetId="25" hidden="1">#REF!</definedName>
    <definedName name="XRefCopy26Row" localSheetId="35" hidden="1">#REF!</definedName>
    <definedName name="XRefCopy26Row" localSheetId="33" hidden="1">#REF!</definedName>
    <definedName name="XRefCopy26Row" localSheetId="36" hidden="1">#REF!</definedName>
    <definedName name="XRefCopy26Row" hidden="1">#REF!</definedName>
    <definedName name="XRefCopy27Row" localSheetId="26" hidden="1">#REF!</definedName>
    <definedName name="XRefCopy27Row" localSheetId="25" hidden="1">#REF!</definedName>
    <definedName name="XRefCopy27Row" localSheetId="35" hidden="1">#REF!</definedName>
    <definedName name="XRefCopy27Row" localSheetId="33" hidden="1">#REF!</definedName>
    <definedName name="XRefCopy27Row" localSheetId="36" hidden="1">#REF!</definedName>
    <definedName name="XRefCopy27Row" hidden="1">#REF!</definedName>
    <definedName name="XRefCopy28Row" localSheetId="26" hidden="1">#REF!</definedName>
    <definedName name="XRefCopy28Row" localSheetId="25" hidden="1">#REF!</definedName>
    <definedName name="XRefCopy28Row" localSheetId="35" hidden="1">#REF!</definedName>
    <definedName name="XRefCopy28Row" localSheetId="33" hidden="1">#REF!</definedName>
    <definedName name="XRefCopy28Row" localSheetId="36" hidden="1">#REF!</definedName>
    <definedName name="XRefCopy28Row" hidden="1">#REF!</definedName>
    <definedName name="XRefCopy29Row" localSheetId="26" hidden="1">#REF!</definedName>
    <definedName name="XRefCopy29Row" localSheetId="25" hidden="1">#REF!</definedName>
    <definedName name="XRefCopy29Row" localSheetId="35" hidden="1">#REF!</definedName>
    <definedName name="XRefCopy29Row" localSheetId="33" hidden="1">#REF!</definedName>
    <definedName name="XRefCopy29Row" localSheetId="36" hidden="1">#REF!</definedName>
    <definedName name="XRefCopy29Row" hidden="1">#REF!</definedName>
    <definedName name="XRefCopy2Row" localSheetId="26" hidden="1">#REF!</definedName>
    <definedName name="XRefCopy2Row" localSheetId="25" hidden="1">#REF!</definedName>
    <definedName name="XRefCopy2Row" localSheetId="35" hidden="1">#REF!</definedName>
    <definedName name="XRefCopy2Row" localSheetId="33" hidden="1">#REF!</definedName>
    <definedName name="XRefCopy2Row" localSheetId="36" hidden="1">#REF!</definedName>
    <definedName name="XRefCopy2Row" hidden="1">#REF!</definedName>
    <definedName name="XRefCopy3" localSheetId="26" hidden="1">#REF!</definedName>
    <definedName name="XRefCopy3" localSheetId="25" hidden="1">#REF!</definedName>
    <definedName name="XRefCopy3" localSheetId="35" hidden="1">#REF!</definedName>
    <definedName name="XRefCopy3" localSheetId="33" hidden="1">#REF!</definedName>
    <definedName name="XRefCopy3" localSheetId="36" hidden="1">#REF!</definedName>
    <definedName name="XRefCopy3" hidden="1">#REF!</definedName>
    <definedName name="XRefCopy30Row" localSheetId="26" hidden="1">#REF!</definedName>
    <definedName name="XRefCopy30Row" localSheetId="25" hidden="1">#REF!</definedName>
    <definedName name="XRefCopy30Row" localSheetId="35" hidden="1">#REF!</definedName>
    <definedName name="XRefCopy30Row" localSheetId="33" hidden="1">#REF!</definedName>
    <definedName name="XRefCopy30Row" localSheetId="36" hidden="1">#REF!</definedName>
    <definedName name="XRefCopy30Row" hidden="1">#REF!</definedName>
    <definedName name="XRefCopy31Row" localSheetId="26" hidden="1">#REF!</definedName>
    <definedName name="XRefCopy31Row" localSheetId="25" hidden="1">#REF!</definedName>
    <definedName name="XRefCopy31Row" localSheetId="35" hidden="1">#REF!</definedName>
    <definedName name="XRefCopy31Row" localSheetId="33" hidden="1">#REF!</definedName>
    <definedName name="XRefCopy31Row" localSheetId="36" hidden="1">#REF!</definedName>
    <definedName name="XRefCopy31Row" hidden="1">#REF!</definedName>
    <definedName name="XRefCopy32Row" localSheetId="26" hidden="1">#REF!</definedName>
    <definedName name="XRefCopy32Row" localSheetId="25" hidden="1">#REF!</definedName>
    <definedName name="XRefCopy32Row" localSheetId="35" hidden="1">#REF!</definedName>
    <definedName name="XRefCopy32Row" localSheetId="33" hidden="1">#REF!</definedName>
    <definedName name="XRefCopy32Row" localSheetId="36" hidden="1">#REF!</definedName>
    <definedName name="XRefCopy32Row" hidden="1">#REF!</definedName>
    <definedName name="XRefCopy34" localSheetId="26" hidden="1">#REF!</definedName>
    <definedName name="XRefCopy34" localSheetId="25" hidden="1">#REF!</definedName>
    <definedName name="XRefCopy34" localSheetId="35" hidden="1">#REF!</definedName>
    <definedName name="XRefCopy34" localSheetId="33" hidden="1">#REF!</definedName>
    <definedName name="XRefCopy34" localSheetId="36" hidden="1">#REF!</definedName>
    <definedName name="XRefCopy34" hidden="1">#REF!</definedName>
    <definedName name="XRefCopy34Row" localSheetId="26" hidden="1">#REF!</definedName>
    <definedName name="XRefCopy34Row" localSheetId="25" hidden="1">#REF!</definedName>
    <definedName name="XRefCopy34Row" localSheetId="35" hidden="1">#REF!</definedName>
    <definedName name="XRefCopy34Row" localSheetId="33" hidden="1">#REF!</definedName>
    <definedName name="XRefCopy34Row" localSheetId="36" hidden="1">#REF!</definedName>
    <definedName name="XRefCopy34Row" hidden="1">#REF!</definedName>
    <definedName name="XRefCopy35Row" localSheetId="26" hidden="1">#REF!</definedName>
    <definedName name="XRefCopy35Row" localSheetId="25" hidden="1">#REF!</definedName>
    <definedName name="XRefCopy35Row" localSheetId="35" hidden="1">#REF!</definedName>
    <definedName name="XRefCopy35Row" localSheetId="33" hidden="1">#REF!</definedName>
    <definedName name="XRefCopy35Row" localSheetId="36" hidden="1">#REF!</definedName>
    <definedName name="XRefCopy35Row" hidden="1">#REF!</definedName>
    <definedName name="XRefCopy36Row" localSheetId="26" hidden="1">#REF!</definedName>
    <definedName name="XRefCopy36Row" localSheetId="25" hidden="1">#REF!</definedName>
    <definedName name="XRefCopy36Row" localSheetId="35" hidden="1">#REF!</definedName>
    <definedName name="XRefCopy36Row" localSheetId="33" hidden="1">#REF!</definedName>
    <definedName name="XRefCopy36Row" localSheetId="36" hidden="1">#REF!</definedName>
    <definedName name="XRefCopy36Row" hidden="1">#REF!</definedName>
    <definedName name="XRefCopy37Row" localSheetId="26" hidden="1">#REF!</definedName>
    <definedName name="XRefCopy37Row" localSheetId="25" hidden="1">#REF!</definedName>
    <definedName name="XRefCopy37Row" localSheetId="35" hidden="1">#REF!</definedName>
    <definedName name="XRefCopy37Row" localSheetId="33" hidden="1">#REF!</definedName>
    <definedName name="XRefCopy37Row" localSheetId="36" hidden="1">#REF!</definedName>
    <definedName name="XRefCopy37Row" hidden="1">#REF!</definedName>
    <definedName name="XRefCopy38Row" localSheetId="26" hidden="1">#REF!</definedName>
    <definedName name="XRefCopy38Row" localSheetId="25" hidden="1">#REF!</definedName>
    <definedName name="XRefCopy38Row" localSheetId="35" hidden="1">#REF!</definedName>
    <definedName name="XRefCopy38Row" localSheetId="33" hidden="1">#REF!</definedName>
    <definedName name="XRefCopy38Row" localSheetId="36" hidden="1">#REF!</definedName>
    <definedName name="XRefCopy38Row" hidden="1">#REF!</definedName>
    <definedName name="XRefCopy3Row" localSheetId="26" hidden="1">#REF!</definedName>
    <definedName name="XRefCopy3Row" localSheetId="25" hidden="1">#REF!</definedName>
    <definedName name="XRefCopy3Row" localSheetId="35" hidden="1">#REF!</definedName>
    <definedName name="XRefCopy3Row" localSheetId="33" hidden="1">#REF!</definedName>
    <definedName name="XRefCopy3Row" localSheetId="36" hidden="1">#REF!</definedName>
    <definedName name="XRefCopy3Row" hidden="1">#REF!</definedName>
    <definedName name="XRefCopy4" localSheetId="26" hidden="1">#REF!</definedName>
    <definedName name="XRefCopy4" localSheetId="25" hidden="1">#REF!</definedName>
    <definedName name="XRefCopy4" localSheetId="35" hidden="1">#REF!</definedName>
    <definedName name="XRefCopy4" localSheetId="33" hidden="1">#REF!</definedName>
    <definedName name="XRefCopy4" localSheetId="36" hidden="1">#REF!</definedName>
    <definedName name="XRefCopy4" hidden="1">#REF!</definedName>
    <definedName name="XRefCopy41Row" localSheetId="26" hidden="1">#REF!</definedName>
    <definedName name="XRefCopy41Row" localSheetId="25" hidden="1">#REF!</definedName>
    <definedName name="XRefCopy41Row" localSheetId="35" hidden="1">#REF!</definedName>
    <definedName name="XRefCopy41Row" localSheetId="33" hidden="1">#REF!</definedName>
    <definedName name="XRefCopy41Row" localSheetId="36" hidden="1">#REF!</definedName>
    <definedName name="XRefCopy41Row" hidden="1">#REF!</definedName>
    <definedName name="XRefCopy42Row" localSheetId="26" hidden="1">#REF!</definedName>
    <definedName name="XRefCopy42Row" localSheetId="25" hidden="1">#REF!</definedName>
    <definedName name="XRefCopy42Row" localSheetId="35" hidden="1">#REF!</definedName>
    <definedName name="XRefCopy42Row" localSheetId="33" hidden="1">#REF!</definedName>
    <definedName name="XRefCopy42Row" localSheetId="36" hidden="1">#REF!</definedName>
    <definedName name="XRefCopy42Row" hidden="1">#REF!</definedName>
    <definedName name="XRefCopy43Row" localSheetId="26" hidden="1">#REF!</definedName>
    <definedName name="XRefCopy43Row" localSheetId="25" hidden="1">#REF!</definedName>
    <definedName name="XRefCopy43Row" localSheetId="35" hidden="1">#REF!</definedName>
    <definedName name="XRefCopy43Row" localSheetId="33" hidden="1">#REF!</definedName>
    <definedName name="XRefCopy43Row" localSheetId="36" hidden="1">#REF!</definedName>
    <definedName name="XRefCopy43Row" hidden="1">#REF!</definedName>
    <definedName name="XRefCopy44Row" localSheetId="26" hidden="1">#REF!</definedName>
    <definedName name="XRefCopy44Row" localSheetId="25" hidden="1">#REF!</definedName>
    <definedName name="XRefCopy44Row" localSheetId="35" hidden="1">#REF!</definedName>
    <definedName name="XRefCopy44Row" localSheetId="33" hidden="1">#REF!</definedName>
    <definedName name="XRefCopy44Row" localSheetId="36" hidden="1">#REF!</definedName>
    <definedName name="XRefCopy44Row" hidden="1">#REF!</definedName>
    <definedName name="XRefCopy46Row" localSheetId="26" hidden="1">#REF!</definedName>
    <definedName name="XRefCopy46Row" localSheetId="25" hidden="1">#REF!</definedName>
    <definedName name="XRefCopy46Row" localSheetId="35" hidden="1">#REF!</definedName>
    <definedName name="XRefCopy46Row" localSheetId="33" hidden="1">#REF!</definedName>
    <definedName name="XRefCopy46Row" localSheetId="36" hidden="1">#REF!</definedName>
    <definedName name="XRefCopy46Row" hidden="1">#REF!</definedName>
    <definedName name="XRefCopy47Row" localSheetId="26" hidden="1">#REF!</definedName>
    <definedName name="XRefCopy47Row" localSheetId="25" hidden="1">#REF!</definedName>
    <definedName name="XRefCopy47Row" localSheetId="35" hidden="1">#REF!</definedName>
    <definedName name="XRefCopy47Row" localSheetId="33" hidden="1">#REF!</definedName>
    <definedName name="XRefCopy47Row" localSheetId="36" hidden="1">#REF!</definedName>
    <definedName name="XRefCopy47Row" hidden="1">#REF!</definedName>
    <definedName name="XRefCopy48Row" localSheetId="26" hidden="1">#REF!</definedName>
    <definedName name="XRefCopy48Row" localSheetId="25" hidden="1">#REF!</definedName>
    <definedName name="XRefCopy48Row" localSheetId="35" hidden="1">#REF!</definedName>
    <definedName name="XRefCopy48Row" localSheetId="33" hidden="1">#REF!</definedName>
    <definedName name="XRefCopy48Row" localSheetId="36" hidden="1">#REF!</definedName>
    <definedName name="XRefCopy48Row" hidden="1">#REF!</definedName>
    <definedName name="XRefCopy49Row" localSheetId="26" hidden="1">#REF!</definedName>
    <definedName name="XRefCopy49Row" localSheetId="25" hidden="1">#REF!</definedName>
    <definedName name="XRefCopy49Row" localSheetId="35" hidden="1">#REF!</definedName>
    <definedName name="XRefCopy49Row" localSheetId="33" hidden="1">#REF!</definedName>
    <definedName name="XRefCopy49Row" localSheetId="36" hidden="1">#REF!</definedName>
    <definedName name="XRefCopy49Row" hidden="1">#REF!</definedName>
    <definedName name="XRefCopy4Row" localSheetId="26" hidden="1">#REF!</definedName>
    <definedName name="XRefCopy4Row" localSheetId="25" hidden="1">#REF!</definedName>
    <definedName name="XRefCopy4Row" localSheetId="35" hidden="1">#REF!</definedName>
    <definedName name="XRefCopy4Row" localSheetId="33" hidden="1">#REF!</definedName>
    <definedName name="XRefCopy4Row" localSheetId="36" hidden="1">#REF!</definedName>
    <definedName name="XRefCopy4Row" hidden="1">#REF!</definedName>
    <definedName name="XRefCopy5" localSheetId="26" hidden="1">#REF!</definedName>
    <definedName name="XRefCopy5" localSheetId="25" hidden="1">#REF!</definedName>
    <definedName name="XRefCopy5" localSheetId="35" hidden="1">#REF!</definedName>
    <definedName name="XRefCopy5" localSheetId="33" hidden="1">#REF!</definedName>
    <definedName name="XRefCopy5" localSheetId="36" hidden="1">#REF!</definedName>
    <definedName name="XRefCopy5" hidden="1">#REF!</definedName>
    <definedName name="XRefCopy50Row" localSheetId="26" hidden="1">#REF!</definedName>
    <definedName name="XRefCopy50Row" localSheetId="25" hidden="1">#REF!</definedName>
    <definedName name="XRefCopy50Row" localSheetId="35" hidden="1">#REF!</definedName>
    <definedName name="XRefCopy50Row" localSheetId="33" hidden="1">#REF!</definedName>
    <definedName name="XRefCopy50Row" localSheetId="36" hidden="1">#REF!</definedName>
    <definedName name="XRefCopy50Row" hidden="1">#REF!</definedName>
    <definedName name="XRefCopy52Row" localSheetId="26" hidden="1">#REF!</definedName>
    <definedName name="XRefCopy52Row" localSheetId="25" hidden="1">#REF!</definedName>
    <definedName name="XRefCopy52Row" localSheetId="35" hidden="1">#REF!</definedName>
    <definedName name="XRefCopy52Row" localSheetId="33" hidden="1">#REF!</definedName>
    <definedName name="XRefCopy52Row" localSheetId="36" hidden="1">#REF!</definedName>
    <definedName name="XRefCopy52Row" hidden="1">#REF!</definedName>
    <definedName name="XRefCopy53Row" localSheetId="26" hidden="1">#REF!</definedName>
    <definedName name="XRefCopy53Row" localSheetId="25" hidden="1">#REF!</definedName>
    <definedName name="XRefCopy53Row" localSheetId="35" hidden="1">#REF!</definedName>
    <definedName name="XRefCopy53Row" localSheetId="33" hidden="1">#REF!</definedName>
    <definedName name="XRefCopy53Row" localSheetId="36" hidden="1">#REF!</definedName>
    <definedName name="XRefCopy53Row" hidden="1">#REF!</definedName>
    <definedName name="XRefCopy54Row" localSheetId="26" hidden="1">#REF!</definedName>
    <definedName name="XRefCopy54Row" localSheetId="25" hidden="1">#REF!</definedName>
    <definedName name="XRefCopy54Row" localSheetId="35" hidden="1">#REF!</definedName>
    <definedName name="XRefCopy54Row" localSheetId="33" hidden="1">#REF!</definedName>
    <definedName name="XRefCopy54Row" localSheetId="36" hidden="1">#REF!</definedName>
    <definedName name="XRefCopy54Row" hidden="1">#REF!</definedName>
    <definedName name="XRefCopy55Row" localSheetId="26" hidden="1">#REF!</definedName>
    <definedName name="XRefCopy55Row" localSheetId="25" hidden="1">#REF!</definedName>
    <definedName name="XRefCopy55Row" localSheetId="35" hidden="1">#REF!</definedName>
    <definedName name="XRefCopy55Row" localSheetId="33" hidden="1">#REF!</definedName>
    <definedName name="XRefCopy55Row" localSheetId="36" hidden="1">#REF!</definedName>
    <definedName name="XRefCopy55Row" hidden="1">#REF!</definedName>
    <definedName name="XRefCopy56Row" localSheetId="26" hidden="1">#REF!</definedName>
    <definedName name="XRefCopy56Row" localSheetId="25" hidden="1">#REF!</definedName>
    <definedName name="XRefCopy56Row" localSheetId="35" hidden="1">#REF!</definedName>
    <definedName name="XRefCopy56Row" localSheetId="33" hidden="1">#REF!</definedName>
    <definedName name="XRefCopy56Row" localSheetId="36" hidden="1">#REF!</definedName>
    <definedName name="XRefCopy56Row" hidden="1">#REF!</definedName>
    <definedName name="XRefCopy58Row" localSheetId="26" hidden="1">#REF!</definedName>
    <definedName name="XRefCopy58Row" localSheetId="25" hidden="1">#REF!</definedName>
    <definedName name="XRefCopy58Row" localSheetId="35" hidden="1">#REF!</definedName>
    <definedName name="XRefCopy58Row" localSheetId="33" hidden="1">#REF!</definedName>
    <definedName name="XRefCopy58Row" localSheetId="36" hidden="1">#REF!</definedName>
    <definedName name="XRefCopy58Row" hidden="1">#REF!</definedName>
    <definedName name="XRefCopy59Row" localSheetId="26" hidden="1">#REF!</definedName>
    <definedName name="XRefCopy59Row" localSheetId="25" hidden="1">#REF!</definedName>
    <definedName name="XRefCopy59Row" localSheetId="35" hidden="1">#REF!</definedName>
    <definedName name="XRefCopy59Row" localSheetId="33" hidden="1">#REF!</definedName>
    <definedName name="XRefCopy59Row" localSheetId="36" hidden="1">#REF!</definedName>
    <definedName name="XRefCopy59Row" hidden="1">#REF!</definedName>
    <definedName name="XRefCopy5Row" localSheetId="26" hidden="1">#REF!</definedName>
    <definedName name="XRefCopy5Row" localSheetId="25" hidden="1">#REF!</definedName>
    <definedName name="XRefCopy5Row" localSheetId="35" hidden="1">#REF!</definedName>
    <definedName name="XRefCopy5Row" localSheetId="33" hidden="1">#REF!</definedName>
    <definedName name="XRefCopy5Row" localSheetId="36" hidden="1">#REF!</definedName>
    <definedName name="XRefCopy5Row" hidden="1">#REF!</definedName>
    <definedName name="XRefCopy6" localSheetId="26" hidden="1">#REF!</definedName>
    <definedName name="XRefCopy6" localSheetId="25" hidden="1">#REF!</definedName>
    <definedName name="XRefCopy6" localSheetId="35" hidden="1">#REF!</definedName>
    <definedName name="XRefCopy6" localSheetId="33" hidden="1">#REF!</definedName>
    <definedName name="XRefCopy6" localSheetId="36" hidden="1">#REF!</definedName>
    <definedName name="XRefCopy6" hidden="1">#REF!</definedName>
    <definedName name="XRefCopy60Row" localSheetId="26" hidden="1">#REF!</definedName>
    <definedName name="XRefCopy60Row" localSheetId="25" hidden="1">#REF!</definedName>
    <definedName name="XRefCopy60Row" localSheetId="35" hidden="1">#REF!</definedName>
    <definedName name="XRefCopy60Row" localSheetId="33" hidden="1">#REF!</definedName>
    <definedName name="XRefCopy60Row" localSheetId="36" hidden="1">#REF!</definedName>
    <definedName name="XRefCopy60Row" hidden="1">#REF!</definedName>
    <definedName name="XRefCopy62Row" localSheetId="26" hidden="1">#REF!</definedName>
    <definedName name="XRefCopy62Row" localSheetId="25" hidden="1">#REF!</definedName>
    <definedName name="XRefCopy62Row" localSheetId="35" hidden="1">#REF!</definedName>
    <definedName name="XRefCopy62Row" localSheetId="33" hidden="1">#REF!</definedName>
    <definedName name="XRefCopy62Row" localSheetId="36" hidden="1">#REF!</definedName>
    <definedName name="XRefCopy62Row" hidden="1">#REF!</definedName>
    <definedName name="XRefCopy63Row" localSheetId="26" hidden="1">#REF!</definedName>
    <definedName name="XRefCopy63Row" localSheetId="25" hidden="1">#REF!</definedName>
    <definedName name="XRefCopy63Row" localSheetId="35" hidden="1">#REF!</definedName>
    <definedName name="XRefCopy63Row" localSheetId="33" hidden="1">#REF!</definedName>
    <definedName name="XRefCopy63Row" localSheetId="36" hidden="1">#REF!</definedName>
    <definedName name="XRefCopy63Row" hidden="1">#REF!</definedName>
    <definedName name="XRefCopy64Row" localSheetId="26" hidden="1">#REF!</definedName>
    <definedName name="XRefCopy64Row" localSheetId="25" hidden="1">#REF!</definedName>
    <definedName name="XRefCopy64Row" localSheetId="35" hidden="1">#REF!</definedName>
    <definedName name="XRefCopy64Row" localSheetId="33" hidden="1">#REF!</definedName>
    <definedName name="XRefCopy64Row" localSheetId="36" hidden="1">#REF!</definedName>
    <definedName name="XRefCopy64Row" hidden="1">#REF!</definedName>
    <definedName name="XRefCopy65Row" localSheetId="26" hidden="1">#REF!</definedName>
    <definedName name="XRefCopy65Row" localSheetId="25" hidden="1">#REF!</definedName>
    <definedName name="XRefCopy65Row" localSheetId="35" hidden="1">#REF!</definedName>
    <definedName name="XRefCopy65Row" localSheetId="33" hidden="1">#REF!</definedName>
    <definedName name="XRefCopy65Row" localSheetId="36" hidden="1">#REF!</definedName>
    <definedName name="XRefCopy65Row" hidden="1">#REF!</definedName>
    <definedName name="XRefCopy66Row" localSheetId="26" hidden="1">#REF!</definedName>
    <definedName name="XRefCopy66Row" localSheetId="25" hidden="1">#REF!</definedName>
    <definedName name="XRefCopy66Row" localSheetId="35" hidden="1">#REF!</definedName>
    <definedName name="XRefCopy66Row" localSheetId="33" hidden="1">#REF!</definedName>
    <definedName name="XRefCopy66Row" localSheetId="36" hidden="1">#REF!</definedName>
    <definedName name="XRefCopy66Row" hidden="1">#REF!</definedName>
    <definedName name="XRefCopy67" localSheetId="26" hidden="1">#REF!</definedName>
    <definedName name="XRefCopy67" localSheetId="25" hidden="1">#REF!</definedName>
    <definedName name="XRefCopy67" localSheetId="35" hidden="1">#REF!</definedName>
    <definedName name="XRefCopy67" localSheetId="33" hidden="1">#REF!</definedName>
    <definedName name="XRefCopy67" localSheetId="36" hidden="1">#REF!</definedName>
    <definedName name="XRefCopy67" hidden="1">#REF!</definedName>
    <definedName name="XRefCopy68Row" localSheetId="26" hidden="1">#REF!</definedName>
    <definedName name="XRefCopy68Row" localSheetId="25" hidden="1">#REF!</definedName>
    <definedName name="XRefCopy68Row" localSheetId="35" hidden="1">#REF!</definedName>
    <definedName name="XRefCopy68Row" localSheetId="33" hidden="1">#REF!</definedName>
    <definedName name="XRefCopy68Row" localSheetId="36" hidden="1">#REF!</definedName>
    <definedName name="XRefCopy68Row" hidden="1">#REF!</definedName>
    <definedName name="XRefCopy69Row" localSheetId="26" hidden="1">#REF!</definedName>
    <definedName name="XRefCopy69Row" localSheetId="25" hidden="1">#REF!</definedName>
    <definedName name="XRefCopy69Row" localSheetId="35" hidden="1">#REF!</definedName>
    <definedName name="XRefCopy69Row" localSheetId="33" hidden="1">#REF!</definedName>
    <definedName name="XRefCopy69Row" localSheetId="36" hidden="1">#REF!</definedName>
    <definedName name="XRefCopy69Row" hidden="1">#REF!</definedName>
    <definedName name="XRefCopy6Row" localSheetId="26" hidden="1">#REF!</definedName>
    <definedName name="XRefCopy6Row" localSheetId="25" hidden="1">#REF!</definedName>
    <definedName name="XRefCopy6Row" localSheetId="35" hidden="1">#REF!</definedName>
    <definedName name="XRefCopy6Row" localSheetId="33" hidden="1">#REF!</definedName>
    <definedName name="XRefCopy6Row" localSheetId="36" hidden="1">#REF!</definedName>
    <definedName name="XRefCopy6Row" hidden="1">#REF!</definedName>
    <definedName name="XRefCopy7" localSheetId="26" hidden="1">#REF!</definedName>
    <definedName name="XRefCopy7" localSheetId="25" hidden="1">#REF!</definedName>
    <definedName name="XRefCopy7" localSheetId="35" hidden="1">#REF!</definedName>
    <definedName name="XRefCopy7" localSheetId="33" hidden="1">#REF!</definedName>
    <definedName name="XRefCopy7" localSheetId="36" hidden="1">#REF!</definedName>
    <definedName name="XRefCopy7" hidden="1">#REF!</definedName>
    <definedName name="XRefCopy70Row" localSheetId="26" hidden="1">#REF!</definedName>
    <definedName name="XRefCopy70Row" localSheetId="25" hidden="1">#REF!</definedName>
    <definedName name="XRefCopy70Row" localSheetId="35" hidden="1">#REF!</definedName>
    <definedName name="XRefCopy70Row" localSheetId="33" hidden="1">#REF!</definedName>
    <definedName name="XRefCopy70Row" localSheetId="36" hidden="1">#REF!</definedName>
    <definedName name="XRefCopy70Row" hidden="1">#REF!</definedName>
    <definedName name="XRefCopy71Row" localSheetId="26" hidden="1">#REF!</definedName>
    <definedName name="XRefCopy71Row" localSheetId="25" hidden="1">#REF!</definedName>
    <definedName name="XRefCopy71Row" localSheetId="35" hidden="1">#REF!</definedName>
    <definedName name="XRefCopy71Row" localSheetId="33" hidden="1">#REF!</definedName>
    <definedName name="XRefCopy71Row" localSheetId="36" hidden="1">#REF!</definedName>
    <definedName name="XRefCopy71Row" hidden="1">#REF!</definedName>
    <definedName name="XRefCopy73" localSheetId="26" hidden="1">#REF!</definedName>
    <definedName name="XRefCopy73" localSheetId="25" hidden="1">#REF!</definedName>
    <definedName name="XRefCopy73" localSheetId="35" hidden="1">#REF!</definedName>
    <definedName name="XRefCopy73" localSheetId="33" hidden="1">#REF!</definedName>
    <definedName name="XRefCopy73" localSheetId="36" hidden="1">#REF!</definedName>
    <definedName name="XRefCopy73" hidden="1">#REF!</definedName>
    <definedName name="XRefCopy73Row" localSheetId="26" hidden="1">#REF!</definedName>
    <definedName name="XRefCopy73Row" localSheetId="25" hidden="1">#REF!</definedName>
    <definedName name="XRefCopy73Row" localSheetId="35" hidden="1">#REF!</definedName>
    <definedName name="XRefCopy73Row" localSheetId="33" hidden="1">#REF!</definedName>
    <definedName name="XRefCopy73Row" localSheetId="36" hidden="1">#REF!</definedName>
    <definedName name="XRefCopy73Row" hidden="1">#REF!</definedName>
    <definedName name="XRefCopy74Row" localSheetId="26" hidden="1">#REF!</definedName>
    <definedName name="XRefCopy74Row" localSheetId="25" hidden="1">#REF!</definedName>
    <definedName name="XRefCopy74Row" localSheetId="35" hidden="1">#REF!</definedName>
    <definedName name="XRefCopy74Row" localSheetId="33" hidden="1">#REF!</definedName>
    <definedName name="XRefCopy74Row" localSheetId="36" hidden="1">#REF!</definedName>
    <definedName name="XRefCopy74Row" hidden="1">#REF!</definedName>
    <definedName name="XRefCopy75Row" localSheetId="26" hidden="1">#REF!</definedName>
    <definedName name="XRefCopy75Row" localSheetId="25" hidden="1">#REF!</definedName>
    <definedName name="XRefCopy75Row" localSheetId="35" hidden="1">#REF!</definedName>
    <definedName name="XRefCopy75Row" localSheetId="33" hidden="1">#REF!</definedName>
    <definedName name="XRefCopy75Row" localSheetId="36" hidden="1">#REF!</definedName>
    <definedName name="XRefCopy75Row" hidden="1">#REF!</definedName>
    <definedName name="XRefCopy76Row" localSheetId="26" hidden="1">#REF!</definedName>
    <definedName name="XRefCopy76Row" localSheetId="25" hidden="1">#REF!</definedName>
    <definedName name="XRefCopy76Row" localSheetId="35" hidden="1">#REF!</definedName>
    <definedName name="XRefCopy76Row" localSheetId="33" hidden="1">#REF!</definedName>
    <definedName name="XRefCopy76Row" localSheetId="36" hidden="1">#REF!</definedName>
    <definedName name="XRefCopy76Row" hidden="1">#REF!</definedName>
    <definedName name="XRefCopy77Row" localSheetId="26" hidden="1">#REF!</definedName>
    <definedName name="XRefCopy77Row" localSheetId="25" hidden="1">#REF!</definedName>
    <definedName name="XRefCopy77Row" localSheetId="35" hidden="1">#REF!</definedName>
    <definedName name="XRefCopy77Row" localSheetId="33" hidden="1">#REF!</definedName>
    <definedName name="XRefCopy77Row" localSheetId="36" hidden="1">#REF!</definedName>
    <definedName name="XRefCopy77Row" hidden="1">#REF!</definedName>
    <definedName name="XRefCopy78Row" localSheetId="26" hidden="1">#REF!</definedName>
    <definedName name="XRefCopy78Row" localSheetId="25" hidden="1">#REF!</definedName>
    <definedName name="XRefCopy78Row" localSheetId="35" hidden="1">#REF!</definedName>
    <definedName name="XRefCopy78Row" localSheetId="33" hidden="1">#REF!</definedName>
    <definedName name="XRefCopy78Row" localSheetId="36" hidden="1">#REF!</definedName>
    <definedName name="XRefCopy78Row" hidden="1">#REF!</definedName>
    <definedName name="XRefCopy79Row" localSheetId="26" hidden="1">#REF!</definedName>
    <definedName name="XRefCopy79Row" localSheetId="25" hidden="1">#REF!</definedName>
    <definedName name="XRefCopy79Row" localSheetId="35" hidden="1">#REF!</definedName>
    <definedName name="XRefCopy79Row" localSheetId="33" hidden="1">#REF!</definedName>
    <definedName name="XRefCopy79Row" localSheetId="36" hidden="1">#REF!</definedName>
    <definedName name="XRefCopy79Row" hidden="1">#REF!</definedName>
    <definedName name="XRefCopy7Row" localSheetId="26" hidden="1">#REF!</definedName>
    <definedName name="XRefCopy7Row" localSheetId="25" hidden="1">#REF!</definedName>
    <definedName name="XRefCopy7Row" localSheetId="35" hidden="1">#REF!</definedName>
    <definedName name="XRefCopy7Row" localSheetId="33" hidden="1">#REF!</definedName>
    <definedName name="XRefCopy7Row" localSheetId="36" hidden="1">#REF!</definedName>
    <definedName name="XRefCopy7Row" hidden="1">#REF!</definedName>
    <definedName name="XRefCopy8" localSheetId="26" hidden="1">#REF!</definedName>
    <definedName name="XRefCopy8" localSheetId="25" hidden="1">#REF!</definedName>
    <definedName name="XRefCopy8" localSheetId="35" hidden="1">#REF!</definedName>
    <definedName name="XRefCopy8" localSheetId="33" hidden="1">#REF!</definedName>
    <definedName name="XRefCopy8" localSheetId="36" hidden="1">#REF!</definedName>
    <definedName name="XRefCopy8" hidden="1">#REF!</definedName>
    <definedName name="XRefCopy80Row" localSheetId="26" hidden="1">#REF!</definedName>
    <definedName name="XRefCopy80Row" localSheetId="25" hidden="1">#REF!</definedName>
    <definedName name="XRefCopy80Row" localSheetId="35" hidden="1">#REF!</definedName>
    <definedName name="XRefCopy80Row" localSheetId="33" hidden="1">#REF!</definedName>
    <definedName name="XRefCopy80Row" localSheetId="36" hidden="1">#REF!</definedName>
    <definedName name="XRefCopy80Row" hidden="1">#REF!</definedName>
    <definedName name="XRefCopy81Row" localSheetId="26" hidden="1">#REF!</definedName>
    <definedName name="XRefCopy81Row" localSheetId="25" hidden="1">#REF!</definedName>
    <definedName name="XRefCopy81Row" localSheetId="35" hidden="1">#REF!</definedName>
    <definedName name="XRefCopy81Row" localSheetId="33" hidden="1">#REF!</definedName>
    <definedName name="XRefCopy81Row" localSheetId="36" hidden="1">#REF!</definedName>
    <definedName name="XRefCopy81Row" hidden="1">#REF!</definedName>
    <definedName name="XRefCopy82Row" localSheetId="26" hidden="1">#REF!</definedName>
    <definedName name="XRefCopy82Row" localSheetId="25" hidden="1">#REF!</definedName>
    <definedName name="XRefCopy82Row" localSheetId="35" hidden="1">#REF!</definedName>
    <definedName name="XRefCopy82Row" localSheetId="33" hidden="1">#REF!</definedName>
    <definedName name="XRefCopy82Row" localSheetId="36" hidden="1">#REF!</definedName>
    <definedName name="XRefCopy82Row" hidden="1">#REF!</definedName>
    <definedName name="XRefCopy84Row" localSheetId="26" hidden="1">#REF!</definedName>
    <definedName name="XRefCopy84Row" localSheetId="25" hidden="1">#REF!</definedName>
    <definedName name="XRefCopy84Row" localSheetId="35" hidden="1">#REF!</definedName>
    <definedName name="XRefCopy84Row" localSheetId="33" hidden="1">#REF!</definedName>
    <definedName name="XRefCopy84Row" localSheetId="36" hidden="1">#REF!</definedName>
    <definedName name="XRefCopy84Row" hidden="1">#REF!</definedName>
    <definedName name="XRefCopy85Row" localSheetId="26" hidden="1">#REF!</definedName>
    <definedName name="XRefCopy85Row" localSheetId="25" hidden="1">#REF!</definedName>
    <definedName name="XRefCopy85Row" localSheetId="35" hidden="1">#REF!</definedName>
    <definedName name="XRefCopy85Row" localSheetId="33" hidden="1">#REF!</definedName>
    <definedName name="XRefCopy85Row" localSheetId="36" hidden="1">#REF!</definedName>
    <definedName name="XRefCopy85Row" hidden="1">#REF!</definedName>
    <definedName name="XRefCopy86Row" localSheetId="26" hidden="1">#REF!</definedName>
    <definedName name="XRefCopy86Row" localSheetId="25" hidden="1">#REF!</definedName>
    <definedName name="XRefCopy86Row" localSheetId="35" hidden="1">#REF!</definedName>
    <definedName name="XRefCopy86Row" localSheetId="33" hidden="1">#REF!</definedName>
    <definedName name="XRefCopy86Row" localSheetId="36" hidden="1">#REF!</definedName>
    <definedName name="XRefCopy86Row" hidden="1">#REF!</definedName>
    <definedName name="XRefCopy87Row" localSheetId="26" hidden="1">#REF!</definedName>
    <definedName name="XRefCopy87Row" localSheetId="25" hidden="1">#REF!</definedName>
    <definedName name="XRefCopy87Row" localSheetId="35" hidden="1">#REF!</definedName>
    <definedName name="XRefCopy87Row" localSheetId="33" hidden="1">#REF!</definedName>
    <definedName name="XRefCopy87Row" localSheetId="36" hidden="1">#REF!</definedName>
    <definedName name="XRefCopy87Row" hidden="1">#REF!</definedName>
    <definedName name="XRefCopy88Row" localSheetId="26" hidden="1">#REF!</definedName>
    <definedName name="XRefCopy88Row" localSheetId="25" hidden="1">#REF!</definedName>
    <definedName name="XRefCopy88Row" localSheetId="35" hidden="1">#REF!</definedName>
    <definedName name="XRefCopy88Row" localSheetId="33" hidden="1">#REF!</definedName>
    <definedName name="XRefCopy88Row" localSheetId="36" hidden="1">#REF!</definedName>
    <definedName name="XRefCopy88Row" hidden="1">#REF!</definedName>
    <definedName name="XRefCopy89Row" localSheetId="26" hidden="1">#REF!</definedName>
    <definedName name="XRefCopy89Row" localSheetId="25" hidden="1">#REF!</definedName>
    <definedName name="XRefCopy89Row" localSheetId="35" hidden="1">#REF!</definedName>
    <definedName name="XRefCopy89Row" localSheetId="33" hidden="1">#REF!</definedName>
    <definedName name="XRefCopy89Row" localSheetId="36" hidden="1">#REF!</definedName>
    <definedName name="XRefCopy89Row" hidden="1">#REF!</definedName>
    <definedName name="XRefCopy8Row" localSheetId="26" hidden="1">#REF!</definedName>
    <definedName name="XRefCopy8Row" localSheetId="25" hidden="1">#REF!</definedName>
    <definedName name="XRefCopy8Row" localSheetId="35" hidden="1">#REF!</definedName>
    <definedName name="XRefCopy8Row" localSheetId="33" hidden="1">#REF!</definedName>
    <definedName name="XRefCopy8Row" localSheetId="36" hidden="1">#REF!</definedName>
    <definedName name="XRefCopy8Row" hidden="1">#REF!</definedName>
    <definedName name="XRefCopy9" localSheetId="26" hidden="1">#REF!</definedName>
    <definedName name="XRefCopy9" localSheetId="25" hidden="1">#REF!</definedName>
    <definedName name="XRefCopy9" localSheetId="35" hidden="1">#REF!</definedName>
    <definedName name="XRefCopy9" localSheetId="33" hidden="1">#REF!</definedName>
    <definedName name="XRefCopy9" localSheetId="36" hidden="1">#REF!</definedName>
    <definedName name="XRefCopy9" hidden="1">#REF!</definedName>
    <definedName name="XRefCopy90Row" localSheetId="26" hidden="1">#REF!</definedName>
    <definedName name="XRefCopy90Row" localSheetId="25" hidden="1">#REF!</definedName>
    <definedName name="XRefCopy90Row" localSheetId="35" hidden="1">#REF!</definedName>
    <definedName name="XRefCopy90Row" localSheetId="33" hidden="1">#REF!</definedName>
    <definedName name="XRefCopy90Row" localSheetId="36" hidden="1">#REF!</definedName>
    <definedName name="XRefCopy90Row" hidden="1">#REF!</definedName>
    <definedName name="XRefCopy91Row" localSheetId="26" hidden="1">#REF!</definedName>
    <definedName name="XRefCopy91Row" localSheetId="25" hidden="1">#REF!</definedName>
    <definedName name="XRefCopy91Row" localSheetId="35" hidden="1">#REF!</definedName>
    <definedName name="XRefCopy91Row" localSheetId="33" hidden="1">#REF!</definedName>
    <definedName name="XRefCopy91Row" localSheetId="36" hidden="1">#REF!</definedName>
    <definedName name="XRefCopy91Row" hidden="1">#REF!</definedName>
    <definedName name="XRefCopy92Row" localSheetId="26" hidden="1">#REF!</definedName>
    <definedName name="XRefCopy92Row" localSheetId="25" hidden="1">#REF!</definedName>
    <definedName name="XRefCopy92Row" localSheetId="35" hidden="1">#REF!</definedName>
    <definedName name="XRefCopy92Row" localSheetId="33" hidden="1">#REF!</definedName>
    <definedName name="XRefCopy92Row" localSheetId="36" hidden="1">#REF!</definedName>
    <definedName name="XRefCopy92Row" hidden="1">#REF!</definedName>
    <definedName name="XRefCopy93Row" localSheetId="26" hidden="1">#REF!</definedName>
    <definedName name="XRefCopy93Row" localSheetId="25" hidden="1">#REF!</definedName>
    <definedName name="XRefCopy93Row" localSheetId="35" hidden="1">#REF!</definedName>
    <definedName name="XRefCopy93Row" localSheetId="33" hidden="1">#REF!</definedName>
    <definedName name="XRefCopy93Row" localSheetId="36" hidden="1">#REF!</definedName>
    <definedName name="XRefCopy93Row" hidden="1">#REF!</definedName>
    <definedName name="XRefCopy94Row" localSheetId="26" hidden="1">#REF!</definedName>
    <definedName name="XRefCopy94Row" localSheetId="25" hidden="1">#REF!</definedName>
    <definedName name="XRefCopy94Row" localSheetId="35" hidden="1">#REF!</definedName>
    <definedName name="XRefCopy94Row" localSheetId="33" hidden="1">#REF!</definedName>
    <definedName name="XRefCopy94Row" localSheetId="36" hidden="1">#REF!</definedName>
    <definedName name="XRefCopy94Row" hidden="1">#REF!</definedName>
    <definedName name="XRefCopy95Row" localSheetId="26" hidden="1">#REF!</definedName>
    <definedName name="XRefCopy95Row" localSheetId="25" hidden="1">#REF!</definedName>
    <definedName name="XRefCopy95Row" localSheetId="35" hidden="1">#REF!</definedName>
    <definedName name="XRefCopy95Row" localSheetId="33" hidden="1">#REF!</definedName>
    <definedName name="XRefCopy95Row" localSheetId="36" hidden="1">#REF!</definedName>
    <definedName name="XRefCopy95Row" hidden="1">#REF!</definedName>
    <definedName name="XRefCopy96Row" localSheetId="26" hidden="1">#REF!</definedName>
    <definedName name="XRefCopy96Row" localSheetId="25" hidden="1">#REF!</definedName>
    <definedName name="XRefCopy96Row" localSheetId="35" hidden="1">#REF!</definedName>
    <definedName name="XRefCopy96Row" localSheetId="33" hidden="1">#REF!</definedName>
    <definedName name="XRefCopy96Row" localSheetId="36" hidden="1">#REF!</definedName>
    <definedName name="XRefCopy96Row" hidden="1">#REF!</definedName>
    <definedName name="XRefCopy99Row" localSheetId="26" hidden="1">#REF!</definedName>
    <definedName name="XRefCopy99Row" localSheetId="25" hidden="1">#REF!</definedName>
    <definedName name="XRefCopy99Row" localSheetId="35" hidden="1">#REF!</definedName>
    <definedName name="XRefCopy99Row" localSheetId="33" hidden="1">#REF!</definedName>
    <definedName name="XRefCopy99Row" localSheetId="36" hidden="1">#REF!</definedName>
    <definedName name="XRefCopy99Row" hidden="1">#REF!</definedName>
    <definedName name="XRefCopy9Row" localSheetId="26" hidden="1">#REF!</definedName>
    <definedName name="XRefCopy9Row" localSheetId="25" hidden="1">#REF!</definedName>
    <definedName name="XRefCopy9Row" localSheetId="35" hidden="1">#REF!</definedName>
    <definedName name="XRefCopy9Row" localSheetId="33" hidden="1">#REF!</definedName>
    <definedName name="XRefCopy9Row" localSheetId="36" hidden="1">#REF!</definedName>
    <definedName name="XRefCopy9Row" hidden="1">#REF!</definedName>
    <definedName name="XRefCopyRangeCount" hidden="1">1</definedName>
    <definedName name="XRefPaste1" localSheetId="26" hidden="1">#REF!</definedName>
    <definedName name="XRefPaste1" localSheetId="25" hidden="1">#REF!</definedName>
    <definedName name="XRefPaste1" localSheetId="35" hidden="1">#REF!</definedName>
    <definedName name="XRefPaste1" localSheetId="33" hidden="1">#REF!</definedName>
    <definedName name="XRefPaste1" localSheetId="36" hidden="1">#REF!</definedName>
    <definedName name="XRefPaste1" hidden="1">#REF!</definedName>
    <definedName name="XRefPaste100Row" localSheetId="26" hidden="1">#REF!</definedName>
    <definedName name="XRefPaste100Row" localSheetId="25" hidden="1">#REF!</definedName>
    <definedName name="XRefPaste100Row" localSheetId="35" hidden="1">#REF!</definedName>
    <definedName name="XRefPaste100Row" localSheetId="33" hidden="1">#REF!</definedName>
    <definedName name="XRefPaste100Row" localSheetId="36" hidden="1">#REF!</definedName>
    <definedName name="XRefPaste100Row" hidden="1">#REF!</definedName>
    <definedName name="XRefPaste101Row" localSheetId="26" hidden="1">#REF!</definedName>
    <definedName name="XRefPaste101Row" localSheetId="25" hidden="1">#REF!</definedName>
    <definedName name="XRefPaste101Row" localSheetId="35" hidden="1">#REF!</definedName>
    <definedName name="XRefPaste101Row" localSheetId="33" hidden="1">#REF!</definedName>
    <definedName name="XRefPaste101Row" localSheetId="36" hidden="1">#REF!</definedName>
    <definedName name="XRefPaste101Row" hidden="1">#REF!</definedName>
    <definedName name="XRefPaste102Row" localSheetId="26" hidden="1">#REF!</definedName>
    <definedName name="XRefPaste102Row" localSheetId="25" hidden="1">#REF!</definedName>
    <definedName name="XRefPaste102Row" localSheetId="35" hidden="1">#REF!</definedName>
    <definedName name="XRefPaste102Row" localSheetId="33" hidden="1">#REF!</definedName>
    <definedName name="XRefPaste102Row" localSheetId="36" hidden="1">#REF!</definedName>
    <definedName name="XRefPaste102Row" hidden="1">#REF!</definedName>
    <definedName name="XRefPaste103Row" localSheetId="26" hidden="1">#REF!</definedName>
    <definedName name="XRefPaste103Row" localSheetId="25" hidden="1">#REF!</definedName>
    <definedName name="XRefPaste103Row" localSheetId="35" hidden="1">#REF!</definedName>
    <definedName name="XRefPaste103Row" localSheetId="33" hidden="1">#REF!</definedName>
    <definedName name="XRefPaste103Row" localSheetId="36" hidden="1">#REF!</definedName>
    <definedName name="XRefPaste103Row" hidden="1">#REF!</definedName>
    <definedName name="XRefPaste104Row" localSheetId="26" hidden="1">#REF!</definedName>
    <definedName name="XRefPaste104Row" localSheetId="25" hidden="1">#REF!</definedName>
    <definedName name="XRefPaste104Row" localSheetId="35" hidden="1">#REF!</definedName>
    <definedName name="XRefPaste104Row" localSheetId="33" hidden="1">#REF!</definedName>
    <definedName name="XRefPaste104Row" localSheetId="36" hidden="1">#REF!</definedName>
    <definedName name="XRefPaste104Row" hidden="1">#REF!</definedName>
    <definedName name="XRefPaste105Row" localSheetId="26" hidden="1">#REF!</definedName>
    <definedName name="XRefPaste105Row" localSheetId="25" hidden="1">#REF!</definedName>
    <definedName name="XRefPaste105Row" localSheetId="35" hidden="1">#REF!</definedName>
    <definedName name="XRefPaste105Row" localSheetId="33" hidden="1">#REF!</definedName>
    <definedName name="XRefPaste105Row" localSheetId="36" hidden="1">#REF!</definedName>
    <definedName name="XRefPaste105Row" hidden="1">#REF!</definedName>
    <definedName name="XRefPaste106Row" localSheetId="26" hidden="1">#REF!</definedName>
    <definedName name="XRefPaste106Row" localSheetId="25" hidden="1">#REF!</definedName>
    <definedName name="XRefPaste106Row" localSheetId="35" hidden="1">#REF!</definedName>
    <definedName name="XRefPaste106Row" localSheetId="33" hidden="1">#REF!</definedName>
    <definedName name="XRefPaste106Row" localSheetId="36" hidden="1">#REF!</definedName>
    <definedName name="XRefPaste106Row" hidden="1">#REF!</definedName>
    <definedName name="XRefPaste107Row" localSheetId="26" hidden="1">#REF!</definedName>
    <definedName name="XRefPaste107Row" localSheetId="25" hidden="1">#REF!</definedName>
    <definedName name="XRefPaste107Row" localSheetId="35" hidden="1">#REF!</definedName>
    <definedName name="XRefPaste107Row" localSheetId="33" hidden="1">#REF!</definedName>
    <definedName name="XRefPaste107Row" localSheetId="36" hidden="1">#REF!</definedName>
    <definedName name="XRefPaste107Row" hidden="1">#REF!</definedName>
    <definedName name="XRefPaste108Row" localSheetId="26" hidden="1">#REF!</definedName>
    <definedName name="XRefPaste108Row" localSheetId="25" hidden="1">#REF!</definedName>
    <definedName name="XRefPaste108Row" localSheetId="35" hidden="1">#REF!</definedName>
    <definedName name="XRefPaste108Row" localSheetId="33" hidden="1">#REF!</definedName>
    <definedName name="XRefPaste108Row" localSheetId="36" hidden="1">#REF!</definedName>
    <definedName name="XRefPaste108Row" hidden="1">#REF!</definedName>
    <definedName name="XRefPaste109Row" localSheetId="26" hidden="1">#REF!</definedName>
    <definedName name="XRefPaste109Row" localSheetId="25" hidden="1">#REF!</definedName>
    <definedName name="XRefPaste109Row" localSheetId="35" hidden="1">#REF!</definedName>
    <definedName name="XRefPaste109Row" localSheetId="33" hidden="1">#REF!</definedName>
    <definedName name="XRefPaste109Row" localSheetId="36" hidden="1">#REF!</definedName>
    <definedName name="XRefPaste109Row" hidden="1">#REF!</definedName>
    <definedName name="XRefPaste110Row" localSheetId="26" hidden="1">#REF!</definedName>
    <definedName name="XRefPaste110Row" localSheetId="25" hidden="1">#REF!</definedName>
    <definedName name="XRefPaste110Row" localSheetId="35" hidden="1">#REF!</definedName>
    <definedName name="XRefPaste110Row" localSheetId="33" hidden="1">#REF!</definedName>
    <definedName name="XRefPaste110Row" localSheetId="36" hidden="1">#REF!</definedName>
    <definedName name="XRefPaste110Row" hidden="1">#REF!</definedName>
    <definedName name="XRefPaste111Row" localSheetId="26" hidden="1">#REF!</definedName>
    <definedName name="XRefPaste111Row" localSheetId="25" hidden="1">#REF!</definedName>
    <definedName name="XRefPaste111Row" localSheetId="35" hidden="1">#REF!</definedName>
    <definedName name="XRefPaste111Row" localSheetId="33" hidden="1">#REF!</definedName>
    <definedName name="XRefPaste111Row" localSheetId="36" hidden="1">#REF!</definedName>
    <definedName name="XRefPaste111Row" hidden="1">#REF!</definedName>
    <definedName name="XRefPaste112Row" localSheetId="26" hidden="1">#REF!</definedName>
    <definedName name="XRefPaste112Row" localSheetId="25" hidden="1">#REF!</definedName>
    <definedName name="XRefPaste112Row" localSheetId="35" hidden="1">#REF!</definedName>
    <definedName name="XRefPaste112Row" localSheetId="33" hidden="1">#REF!</definedName>
    <definedName name="XRefPaste112Row" localSheetId="36" hidden="1">#REF!</definedName>
    <definedName name="XRefPaste112Row" hidden="1">#REF!</definedName>
    <definedName name="XRefPaste113Row" localSheetId="26" hidden="1">#REF!</definedName>
    <definedName name="XRefPaste113Row" localSheetId="25" hidden="1">#REF!</definedName>
    <definedName name="XRefPaste113Row" localSheetId="35" hidden="1">#REF!</definedName>
    <definedName name="XRefPaste113Row" localSheetId="33" hidden="1">#REF!</definedName>
    <definedName name="XRefPaste113Row" localSheetId="36" hidden="1">#REF!</definedName>
    <definedName name="XRefPaste113Row" hidden="1">#REF!</definedName>
    <definedName name="XRefPaste114Row" localSheetId="26" hidden="1">#REF!</definedName>
    <definedName name="XRefPaste114Row" localSheetId="25" hidden="1">#REF!</definedName>
    <definedName name="XRefPaste114Row" localSheetId="35" hidden="1">#REF!</definedName>
    <definedName name="XRefPaste114Row" localSheetId="33" hidden="1">#REF!</definedName>
    <definedName name="XRefPaste114Row" localSheetId="36" hidden="1">#REF!</definedName>
    <definedName name="XRefPaste114Row" hidden="1">#REF!</definedName>
    <definedName name="XRefPaste115Row" localSheetId="26" hidden="1">#REF!</definedName>
    <definedName name="XRefPaste115Row" localSheetId="25" hidden="1">#REF!</definedName>
    <definedName name="XRefPaste115Row" localSheetId="35" hidden="1">#REF!</definedName>
    <definedName name="XRefPaste115Row" localSheetId="33" hidden="1">#REF!</definedName>
    <definedName name="XRefPaste115Row" localSheetId="36" hidden="1">#REF!</definedName>
    <definedName name="XRefPaste115Row" hidden="1">#REF!</definedName>
    <definedName name="XRefPaste117Row" localSheetId="26" hidden="1">#REF!</definedName>
    <definedName name="XRefPaste117Row" localSheetId="25" hidden="1">#REF!</definedName>
    <definedName name="XRefPaste117Row" localSheetId="35" hidden="1">#REF!</definedName>
    <definedName name="XRefPaste117Row" localSheetId="33" hidden="1">#REF!</definedName>
    <definedName name="XRefPaste117Row" localSheetId="36" hidden="1">#REF!</definedName>
    <definedName name="XRefPaste117Row" hidden="1">#REF!</definedName>
    <definedName name="XRefPaste120Row" localSheetId="26" hidden="1">#REF!</definedName>
    <definedName name="XRefPaste120Row" localSheetId="25" hidden="1">#REF!</definedName>
    <definedName name="XRefPaste120Row" localSheetId="35" hidden="1">#REF!</definedName>
    <definedName name="XRefPaste120Row" localSheetId="33" hidden="1">#REF!</definedName>
    <definedName name="XRefPaste120Row" localSheetId="36" hidden="1">#REF!</definedName>
    <definedName name="XRefPaste120Row" hidden="1">#REF!</definedName>
    <definedName name="XRefPaste122Row" localSheetId="26" hidden="1">#REF!</definedName>
    <definedName name="XRefPaste122Row" localSheetId="25" hidden="1">#REF!</definedName>
    <definedName name="XRefPaste122Row" localSheetId="35" hidden="1">#REF!</definedName>
    <definedName name="XRefPaste122Row" localSheetId="33" hidden="1">#REF!</definedName>
    <definedName name="XRefPaste122Row" localSheetId="36" hidden="1">#REF!</definedName>
    <definedName name="XRefPaste122Row" hidden="1">#REF!</definedName>
    <definedName name="XRefPaste123Row" localSheetId="26" hidden="1">#REF!</definedName>
    <definedName name="XRefPaste123Row" localSheetId="25" hidden="1">#REF!</definedName>
    <definedName name="XRefPaste123Row" localSheetId="35" hidden="1">#REF!</definedName>
    <definedName name="XRefPaste123Row" localSheetId="33" hidden="1">#REF!</definedName>
    <definedName name="XRefPaste123Row" localSheetId="36" hidden="1">#REF!</definedName>
    <definedName name="XRefPaste123Row" hidden="1">#REF!</definedName>
    <definedName name="XRefPaste125Row" localSheetId="26" hidden="1">#REF!</definedName>
    <definedName name="XRefPaste125Row" localSheetId="25" hidden="1">#REF!</definedName>
    <definedName name="XRefPaste125Row" localSheetId="35" hidden="1">#REF!</definedName>
    <definedName name="XRefPaste125Row" localSheetId="33" hidden="1">#REF!</definedName>
    <definedName name="XRefPaste125Row" localSheetId="36" hidden="1">#REF!</definedName>
    <definedName name="XRefPaste125Row" hidden="1">#REF!</definedName>
    <definedName name="XRefPaste126Row" localSheetId="26" hidden="1">#REF!</definedName>
    <definedName name="XRefPaste126Row" localSheetId="25" hidden="1">#REF!</definedName>
    <definedName name="XRefPaste126Row" localSheetId="35" hidden="1">#REF!</definedName>
    <definedName name="XRefPaste126Row" localSheetId="33" hidden="1">#REF!</definedName>
    <definedName name="XRefPaste126Row" localSheetId="36" hidden="1">#REF!</definedName>
    <definedName name="XRefPaste126Row" hidden="1">#REF!</definedName>
    <definedName name="XRefPaste127Row" localSheetId="26" hidden="1">#REF!</definedName>
    <definedName name="XRefPaste127Row" localSheetId="25" hidden="1">#REF!</definedName>
    <definedName name="XRefPaste127Row" localSheetId="35" hidden="1">#REF!</definedName>
    <definedName name="XRefPaste127Row" localSheetId="33" hidden="1">#REF!</definedName>
    <definedName name="XRefPaste127Row" localSheetId="36" hidden="1">#REF!</definedName>
    <definedName name="XRefPaste127Row" hidden="1">#REF!</definedName>
    <definedName name="XRefPaste129Row" localSheetId="26" hidden="1">#REF!</definedName>
    <definedName name="XRefPaste129Row" localSheetId="25" hidden="1">#REF!</definedName>
    <definedName name="XRefPaste129Row" localSheetId="35" hidden="1">#REF!</definedName>
    <definedName name="XRefPaste129Row" localSheetId="33" hidden="1">#REF!</definedName>
    <definedName name="XRefPaste129Row" localSheetId="36" hidden="1">#REF!</definedName>
    <definedName name="XRefPaste129Row" hidden="1">#REF!</definedName>
    <definedName name="XRefPaste131Row" localSheetId="26" hidden="1">#REF!</definedName>
    <definedName name="XRefPaste131Row" localSheetId="25" hidden="1">#REF!</definedName>
    <definedName name="XRefPaste131Row" localSheetId="35" hidden="1">#REF!</definedName>
    <definedName name="XRefPaste131Row" localSheetId="33" hidden="1">#REF!</definedName>
    <definedName name="XRefPaste131Row" localSheetId="36" hidden="1">#REF!</definedName>
    <definedName name="XRefPaste131Row" hidden="1">#REF!</definedName>
    <definedName name="XRefPaste132Row" localSheetId="26" hidden="1">#REF!</definedName>
    <definedName name="XRefPaste132Row" localSheetId="25" hidden="1">#REF!</definedName>
    <definedName name="XRefPaste132Row" localSheetId="35" hidden="1">#REF!</definedName>
    <definedName name="XRefPaste132Row" localSheetId="33" hidden="1">#REF!</definedName>
    <definedName name="XRefPaste132Row" localSheetId="36" hidden="1">#REF!</definedName>
    <definedName name="XRefPaste132Row" hidden="1">#REF!</definedName>
    <definedName name="XRefPaste134" localSheetId="26" hidden="1">#REF!</definedName>
    <definedName name="XRefPaste134" localSheetId="25" hidden="1">#REF!</definedName>
    <definedName name="XRefPaste134" localSheetId="35" hidden="1">#REF!</definedName>
    <definedName name="XRefPaste134" localSheetId="33" hidden="1">#REF!</definedName>
    <definedName name="XRefPaste134" localSheetId="36" hidden="1">#REF!</definedName>
    <definedName name="XRefPaste134" hidden="1">#REF!</definedName>
    <definedName name="XRefPaste134Row" localSheetId="26" hidden="1">#REF!</definedName>
    <definedName name="XRefPaste134Row" localSheetId="25" hidden="1">#REF!</definedName>
    <definedName name="XRefPaste134Row" localSheetId="35" hidden="1">#REF!</definedName>
    <definedName name="XRefPaste134Row" localSheetId="33" hidden="1">#REF!</definedName>
    <definedName name="XRefPaste134Row" localSheetId="36" hidden="1">#REF!</definedName>
    <definedName name="XRefPaste134Row" hidden="1">#REF!</definedName>
    <definedName name="XRefPaste136Row" localSheetId="26" hidden="1">#REF!</definedName>
    <definedName name="XRefPaste136Row" localSheetId="25" hidden="1">#REF!</definedName>
    <definedName name="XRefPaste136Row" localSheetId="35" hidden="1">#REF!</definedName>
    <definedName name="XRefPaste136Row" localSheetId="33" hidden="1">#REF!</definedName>
    <definedName name="XRefPaste136Row" localSheetId="36" hidden="1">#REF!</definedName>
    <definedName name="XRefPaste136Row" hidden="1">#REF!</definedName>
    <definedName name="XRefPaste138Row" localSheetId="26" hidden="1">#REF!</definedName>
    <definedName name="XRefPaste138Row" localSheetId="25" hidden="1">#REF!</definedName>
    <definedName name="XRefPaste138Row" localSheetId="35" hidden="1">#REF!</definedName>
    <definedName name="XRefPaste138Row" localSheetId="33" hidden="1">#REF!</definedName>
    <definedName name="XRefPaste138Row" localSheetId="36" hidden="1">#REF!</definedName>
    <definedName name="XRefPaste138Row" hidden="1">#REF!</definedName>
    <definedName name="XRefPaste144" localSheetId="26" hidden="1">#REF!</definedName>
    <definedName name="XRefPaste144" localSheetId="25" hidden="1">#REF!</definedName>
    <definedName name="XRefPaste144" localSheetId="35" hidden="1">#REF!</definedName>
    <definedName name="XRefPaste144" localSheetId="33" hidden="1">#REF!</definedName>
    <definedName name="XRefPaste144" localSheetId="36" hidden="1">#REF!</definedName>
    <definedName name="XRefPaste144" hidden="1">#REF!</definedName>
    <definedName name="XRefPaste144Row" localSheetId="26" hidden="1">#REF!</definedName>
    <definedName name="XRefPaste144Row" localSheetId="25" hidden="1">#REF!</definedName>
    <definedName name="XRefPaste144Row" localSheetId="35" hidden="1">#REF!</definedName>
    <definedName name="XRefPaste144Row" localSheetId="33" hidden="1">#REF!</definedName>
    <definedName name="XRefPaste144Row" localSheetId="36" hidden="1">#REF!</definedName>
    <definedName name="XRefPaste144Row" hidden="1">#REF!</definedName>
    <definedName name="XRefPaste145Row" localSheetId="26" hidden="1">#REF!</definedName>
    <definedName name="XRefPaste145Row" localSheetId="25" hidden="1">#REF!</definedName>
    <definedName name="XRefPaste145Row" localSheetId="35" hidden="1">#REF!</definedName>
    <definedName name="XRefPaste145Row" localSheetId="33" hidden="1">#REF!</definedName>
    <definedName name="XRefPaste145Row" localSheetId="36" hidden="1">#REF!</definedName>
    <definedName name="XRefPaste145Row" hidden="1">#REF!</definedName>
    <definedName name="XRefPaste148Row" localSheetId="26" hidden="1">#REF!</definedName>
    <definedName name="XRefPaste148Row" localSheetId="25" hidden="1">#REF!</definedName>
    <definedName name="XRefPaste148Row" localSheetId="35" hidden="1">#REF!</definedName>
    <definedName name="XRefPaste148Row" localSheetId="33" hidden="1">#REF!</definedName>
    <definedName name="XRefPaste148Row" localSheetId="36" hidden="1">#REF!</definedName>
    <definedName name="XRefPaste148Row" hidden="1">#REF!</definedName>
    <definedName name="XRefPaste150Row" localSheetId="26" hidden="1">#REF!</definedName>
    <definedName name="XRefPaste150Row" localSheetId="25" hidden="1">#REF!</definedName>
    <definedName name="XRefPaste150Row" localSheetId="35" hidden="1">#REF!</definedName>
    <definedName name="XRefPaste150Row" localSheetId="33" hidden="1">#REF!</definedName>
    <definedName name="XRefPaste150Row" localSheetId="36" hidden="1">#REF!</definedName>
    <definedName name="XRefPaste150Row" hidden="1">#REF!</definedName>
    <definedName name="XRefPaste151Row" localSheetId="26" hidden="1">#REF!</definedName>
    <definedName name="XRefPaste151Row" localSheetId="25" hidden="1">#REF!</definedName>
    <definedName name="XRefPaste151Row" localSheetId="35" hidden="1">#REF!</definedName>
    <definedName name="XRefPaste151Row" localSheetId="33" hidden="1">#REF!</definedName>
    <definedName name="XRefPaste151Row" localSheetId="36" hidden="1">#REF!</definedName>
    <definedName name="XRefPaste151Row" hidden="1">#REF!</definedName>
    <definedName name="XRefPaste152Row" localSheetId="26" hidden="1">#REF!</definedName>
    <definedName name="XRefPaste152Row" localSheetId="25" hidden="1">#REF!</definedName>
    <definedName name="XRefPaste152Row" localSheetId="35" hidden="1">#REF!</definedName>
    <definedName name="XRefPaste152Row" localSheetId="33" hidden="1">#REF!</definedName>
    <definedName name="XRefPaste152Row" localSheetId="36" hidden="1">#REF!</definedName>
    <definedName name="XRefPaste152Row" hidden="1">#REF!</definedName>
    <definedName name="XRefPaste153Row" localSheetId="26" hidden="1">#REF!</definedName>
    <definedName name="XRefPaste153Row" localSheetId="25" hidden="1">#REF!</definedName>
    <definedName name="XRefPaste153Row" localSheetId="35" hidden="1">#REF!</definedName>
    <definedName name="XRefPaste153Row" localSheetId="33" hidden="1">#REF!</definedName>
    <definedName name="XRefPaste153Row" localSheetId="36" hidden="1">#REF!</definedName>
    <definedName name="XRefPaste153Row" hidden="1">#REF!</definedName>
    <definedName name="XRefPaste154Row" localSheetId="26" hidden="1">#REF!</definedName>
    <definedName name="XRefPaste154Row" localSheetId="25" hidden="1">#REF!</definedName>
    <definedName name="XRefPaste154Row" localSheetId="35" hidden="1">#REF!</definedName>
    <definedName name="XRefPaste154Row" localSheetId="33" hidden="1">#REF!</definedName>
    <definedName name="XRefPaste154Row" localSheetId="36" hidden="1">#REF!</definedName>
    <definedName name="XRefPaste154Row" hidden="1">#REF!</definedName>
    <definedName name="XRefPaste155Row" localSheetId="26" hidden="1">#REF!</definedName>
    <definedName name="XRefPaste155Row" localSheetId="25" hidden="1">#REF!</definedName>
    <definedName name="XRefPaste155Row" localSheetId="35" hidden="1">#REF!</definedName>
    <definedName name="XRefPaste155Row" localSheetId="33" hidden="1">#REF!</definedName>
    <definedName name="XRefPaste155Row" localSheetId="36" hidden="1">#REF!</definedName>
    <definedName name="XRefPaste155Row" hidden="1">#REF!</definedName>
    <definedName name="XRefPaste157Row" localSheetId="26" hidden="1">#REF!</definedName>
    <definedName name="XRefPaste157Row" localSheetId="25" hidden="1">#REF!</definedName>
    <definedName name="XRefPaste157Row" localSheetId="35" hidden="1">#REF!</definedName>
    <definedName name="XRefPaste157Row" localSheetId="33" hidden="1">#REF!</definedName>
    <definedName name="XRefPaste157Row" localSheetId="36" hidden="1">#REF!</definedName>
    <definedName name="XRefPaste157Row" hidden="1">#REF!</definedName>
    <definedName name="XRefPaste158Row" localSheetId="26" hidden="1">#REF!</definedName>
    <definedName name="XRefPaste158Row" localSheetId="25" hidden="1">#REF!</definedName>
    <definedName name="XRefPaste158Row" localSheetId="35" hidden="1">#REF!</definedName>
    <definedName name="XRefPaste158Row" localSheetId="33" hidden="1">#REF!</definedName>
    <definedName name="XRefPaste158Row" localSheetId="36" hidden="1">#REF!</definedName>
    <definedName name="XRefPaste158Row" hidden="1">#REF!</definedName>
    <definedName name="XRefPaste159Row" localSheetId="26" hidden="1">#REF!</definedName>
    <definedName name="XRefPaste159Row" localSheetId="25" hidden="1">#REF!</definedName>
    <definedName name="XRefPaste159Row" localSheetId="35" hidden="1">#REF!</definedName>
    <definedName name="XRefPaste159Row" localSheetId="33" hidden="1">#REF!</definedName>
    <definedName name="XRefPaste159Row" localSheetId="36" hidden="1">#REF!</definedName>
    <definedName name="XRefPaste159Row" hidden="1">#REF!</definedName>
    <definedName name="XRefPaste16" localSheetId="26" hidden="1">#REF!</definedName>
    <definedName name="XRefPaste16" localSheetId="25" hidden="1">#REF!</definedName>
    <definedName name="XRefPaste16" localSheetId="35" hidden="1">#REF!</definedName>
    <definedName name="XRefPaste16" localSheetId="33" hidden="1">#REF!</definedName>
    <definedName name="XRefPaste16" localSheetId="36" hidden="1">#REF!</definedName>
    <definedName name="XRefPaste16" hidden="1">#REF!</definedName>
    <definedName name="XRefPaste160Row" localSheetId="26" hidden="1">#REF!</definedName>
    <definedName name="XRefPaste160Row" localSheetId="25" hidden="1">#REF!</definedName>
    <definedName name="XRefPaste160Row" localSheetId="35" hidden="1">#REF!</definedName>
    <definedName name="XRefPaste160Row" localSheetId="33" hidden="1">#REF!</definedName>
    <definedName name="XRefPaste160Row" localSheetId="36" hidden="1">#REF!</definedName>
    <definedName name="XRefPaste160Row" hidden="1">#REF!</definedName>
    <definedName name="XRefPaste162Row" localSheetId="26" hidden="1">#REF!</definedName>
    <definedName name="XRefPaste162Row" localSheetId="25" hidden="1">#REF!</definedName>
    <definedName name="XRefPaste162Row" localSheetId="35" hidden="1">#REF!</definedName>
    <definedName name="XRefPaste162Row" localSheetId="33" hidden="1">#REF!</definedName>
    <definedName name="XRefPaste162Row" localSheetId="36" hidden="1">#REF!</definedName>
    <definedName name="XRefPaste162Row" hidden="1">#REF!</definedName>
    <definedName name="XRefPaste163Row" localSheetId="26" hidden="1">#REF!</definedName>
    <definedName name="XRefPaste163Row" localSheetId="25" hidden="1">#REF!</definedName>
    <definedName name="XRefPaste163Row" localSheetId="35" hidden="1">#REF!</definedName>
    <definedName name="XRefPaste163Row" localSheetId="33" hidden="1">#REF!</definedName>
    <definedName name="XRefPaste163Row" localSheetId="36" hidden="1">#REF!</definedName>
    <definedName name="XRefPaste163Row" hidden="1">#REF!</definedName>
    <definedName name="XRefPaste164Row" localSheetId="26" hidden="1">#REF!</definedName>
    <definedName name="XRefPaste164Row" localSheetId="25" hidden="1">#REF!</definedName>
    <definedName name="XRefPaste164Row" localSheetId="35" hidden="1">#REF!</definedName>
    <definedName name="XRefPaste164Row" localSheetId="33" hidden="1">#REF!</definedName>
    <definedName name="XRefPaste164Row" localSheetId="36" hidden="1">#REF!</definedName>
    <definedName name="XRefPaste164Row" hidden="1">#REF!</definedName>
    <definedName name="XRefPaste165Row" localSheetId="26" hidden="1">#REF!</definedName>
    <definedName name="XRefPaste165Row" localSheetId="25" hidden="1">#REF!</definedName>
    <definedName name="XRefPaste165Row" localSheetId="35" hidden="1">#REF!</definedName>
    <definedName name="XRefPaste165Row" localSheetId="33" hidden="1">#REF!</definedName>
    <definedName name="XRefPaste165Row" localSheetId="36" hidden="1">#REF!</definedName>
    <definedName name="XRefPaste165Row" hidden="1">#REF!</definedName>
    <definedName name="XRefPaste166Row" localSheetId="26" hidden="1">#REF!</definedName>
    <definedName name="XRefPaste166Row" localSheetId="25" hidden="1">#REF!</definedName>
    <definedName name="XRefPaste166Row" localSheetId="35" hidden="1">#REF!</definedName>
    <definedName name="XRefPaste166Row" localSheetId="33" hidden="1">#REF!</definedName>
    <definedName name="XRefPaste166Row" localSheetId="36" hidden="1">#REF!</definedName>
    <definedName name="XRefPaste166Row" hidden="1">#REF!</definedName>
    <definedName name="XRefPaste167Row" localSheetId="26" hidden="1">#REF!</definedName>
    <definedName name="XRefPaste167Row" localSheetId="25" hidden="1">#REF!</definedName>
    <definedName name="XRefPaste167Row" localSheetId="35" hidden="1">#REF!</definedName>
    <definedName name="XRefPaste167Row" localSheetId="33" hidden="1">#REF!</definedName>
    <definedName name="XRefPaste167Row" localSheetId="36" hidden="1">#REF!</definedName>
    <definedName name="XRefPaste167Row" hidden="1">#REF!</definedName>
    <definedName name="XRefPaste168" localSheetId="26" hidden="1">#REF!</definedName>
    <definedName name="XRefPaste168" localSheetId="25" hidden="1">#REF!</definedName>
    <definedName name="XRefPaste168" localSheetId="35" hidden="1">#REF!</definedName>
    <definedName name="XRefPaste168" localSheetId="33" hidden="1">#REF!</definedName>
    <definedName name="XRefPaste168" localSheetId="36" hidden="1">#REF!</definedName>
    <definedName name="XRefPaste168" hidden="1">#REF!</definedName>
    <definedName name="XRefPaste168Row" localSheetId="26" hidden="1">#REF!</definedName>
    <definedName name="XRefPaste168Row" localSheetId="25" hidden="1">#REF!</definedName>
    <definedName name="XRefPaste168Row" localSheetId="35" hidden="1">#REF!</definedName>
    <definedName name="XRefPaste168Row" localSheetId="33" hidden="1">#REF!</definedName>
    <definedName name="XRefPaste168Row" localSheetId="36" hidden="1">#REF!</definedName>
    <definedName name="XRefPaste168Row" hidden="1">#REF!</definedName>
    <definedName name="XRefPaste16Row" localSheetId="26" hidden="1">#REF!</definedName>
    <definedName name="XRefPaste16Row" localSheetId="25" hidden="1">#REF!</definedName>
    <definedName name="XRefPaste16Row" localSheetId="35" hidden="1">#REF!</definedName>
    <definedName name="XRefPaste16Row" localSheetId="33" hidden="1">#REF!</definedName>
    <definedName name="XRefPaste16Row" localSheetId="36" hidden="1">#REF!</definedName>
    <definedName name="XRefPaste16Row" hidden="1">#REF!</definedName>
    <definedName name="XRefPaste17" localSheetId="26" hidden="1">#REF!</definedName>
    <definedName name="XRefPaste17" localSheetId="25" hidden="1">#REF!</definedName>
    <definedName name="XRefPaste17" localSheetId="35" hidden="1">#REF!</definedName>
    <definedName name="XRefPaste17" localSheetId="33" hidden="1">#REF!</definedName>
    <definedName name="XRefPaste17" localSheetId="36" hidden="1">#REF!</definedName>
    <definedName name="XRefPaste17" hidden="1">#REF!</definedName>
    <definedName name="XRefPaste19" localSheetId="26" hidden="1">#REF!</definedName>
    <definedName name="XRefPaste19" localSheetId="25" hidden="1">#REF!</definedName>
    <definedName name="XRefPaste19" localSheetId="35" hidden="1">#REF!</definedName>
    <definedName name="XRefPaste19" localSheetId="33" hidden="1">#REF!</definedName>
    <definedName name="XRefPaste19" localSheetId="36" hidden="1">#REF!</definedName>
    <definedName name="XRefPaste19" hidden="1">#REF!</definedName>
    <definedName name="XRefPaste1Row" localSheetId="26" hidden="1">#REF!</definedName>
    <definedName name="XRefPaste1Row" localSheetId="25" hidden="1">#REF!</definedName>
    <definedName name="XRefPaste1Row" localSheetId="35" hidden="1">#REF!</definedName>
    <definedName name="XRefPaste1Row" localSheetId="33" hidden="1">#REF!</definedName>
    <definedName name="XRefPaste1Row" localSheetId="36" hidden="1">#REF!</definedName>
    <definedName name="XRefPaste1Row" hidden="1">#REF!</definedName>
    <definedName name="XRefPaste2" localSheetId="26" hidden="1">#REF!</definedName>
    <definedName name="XRefPaste2" localSheetId="25" hidden="1">#REF!</definedName>
    <definedName name="XRefPaste2" localSheetId="35" hidden="1">#REF!</definedName>
    <definedName name="XRefPaste2" localSheetId="33" hidden="1">#REF!</definedName>
    <definedName name="XRefPaste2" localSheetId="36" hidden="1">#REF!</definedName>
    <definedName name="XRefPaste2" hidden="1">#REF!</definedName>
    <definedName name="XRefPaste22" localSheetId="26" hidden="1">#REF!</definedName>
    <definedName name="XRefPaste22" localSheetId="25" hidden="1">#REF!</definedName>
    <definedName name="XRefPaste22" localSheetId="35" hidden="1">#REF!</definedName>
    <definedName name="XRefPaste22" localSheetId="33" hidden="1">#REF!</definedName>
    <definedName name="XRefPaste22" localSheetId="36" hidden="1">#REF!</definedName>
    <definedName name="XRefPaste22" hidden="1">#REF!</definedName>
    <definedName name="XRefPaste22Row" localSheetId="26" hidden="1">#REF!</definedName>
    <definedName name="XRefPaste22Row" localSheetId="25" hidden="1">#REF!</definedName>
    <definedName name="XRefPaste22Row" localSheetId="35" hidden="1">#REF!</definedName>
    <definedName name="XRefPaste22Row" localSheetId="33" hidden="1">#REF!</definedName>
    <definedName name="XRefPaste22Row" localSheetId="36" hidden="1">#REF!</definedName>
    <definedName name="XRefPaste22Row" hidden="1">#REF!</definedName>
    <definedName name="XRefPaste24" localSheetId="26" hidden="1">#REF!</definedName>
    <definedName name="XRefPaste24" localSheetId="25" hidden="1">#REF!</definedName>
    <definedName name="XRefPaste24" localSheetId="35" hidden="1">#REF!</definedName>
    <definedName name="XRefPaste24" localSheetId="33" hidden="1">#REF!</definedName>
    <definedName name="XRefPaste24" localSheetId="36" hidden="1">#REF!</definedName>
    <definedName name="XRefPaste24" hidden="1">#REF!</definedName>
    <definedName name="XRefPaste25" localSheetId="26" hidden="1">#REF!</definedName>
    <definedName name="XRefPaste25" localSheetId="25" hidden="1">#REF!</definedName>
    <definedName name="XRefPaste25" localSheetId="35" hidden="1">#REF!</definedName>
    <definedName name="XRefPaste25" localSheetId="33" hidden="1">#REF!</definedName>
    <definedName name="XRefPaste25" localSheetId="36" hidden="1">#REF!</definedName>
    <definedName name="XRefPaste25" hidden="1">#REF!</definedName>
    <definedName name="XRefPaste26" localSheetId="26" hidden="1">#REF!</definedName>
    <definedName name="XRefPaste26" localSheetId="25" hidden="1">#REF!</definedName>
    <definedName name="XRefPaste26" localSheetId="35" hidden="1">#REF!</definedName>
    <definedName name="XRefPaste26" localSheetId="33" hidden="1">#REF!</definedName>
    <definedName name="XRefPaste26" localSheetId="36" hidden="1">#REF!</definedName>
    <definedName name="XRefPaste26" hidden="1">#REF!</definedName>
    <definedName name="XRefPaste27" localSheetId="26" hidden="1">#REF!</definedName>
    <definedName name="XRefPaste27" localSheetId="25" hidden="1">#REF!</definedName>
    <definedName name="XRefPaste27" localSheetId="35" hidden="1">#REF!</definedName>
    <definedName name="XRefPaste27" localSheetId="33" hidden="1">#REF!</definedName>
    <definedName name="XRefPaste27" localSheetId="36" hidden="1">#REF!</definedName>
    <definedName name="XRefPaste27" hidden="1">#REF!</definedName>
    <definedName name="XRefPaste28" localSheetId="26" hidden="1">#REF!</definedName>
    <definedName name="XRefPaste28" localSheetId="25" hidden="1">#REF!</definedName>
    <definedName name="XRefPaste28" localSheetId="35" hidden="1">#REF!</definedName>
    <definedName name="XRefPaste28" localSheetId="33" hidden="1">#REF!</definedName>
    <definedName name="XRefPaste28" localSheetId="36" hidden="1">#REF!</definedName>
    <definedName name="XRefPaste28" hidden="1">#REF!</definedName>
    <definedName name="XRefPaste29" localSheetId="26" hidden="1">#REF!</definedName>
    <definedName name="XRefPaste29" localSheetId="25" hidden="1">#REF!</definedName>
    <definedName name="XRefPaste29" localSheetId="35" hidden="1">#REF!</definedName>
    <definedName name="XRefPaste29" localSheetId="33" hidden="1">#REF!</definedName>
    <definedName name="XRefPaste29" localSheetId="36" hidden="1">#REF!</definedName>
    <definedName name="XRefPaste29" hidden="1">#REF!</definedName>
    <definedName name="XRefPaste29Row" localSheetId="26" hidden="1">#REF!</definedName>
    <definedName name="XRefPaste29Row" localSheetId="25" hidden="1">#REF!</definedName>
    <definedName name="XRefPaste29Row" localSheetId="35" hidden="1">#REF!</definedName>
    <definedName name="XRefPaste29Row" localSheetId="33" hidden="1">#REF!</definedName>
    <definedName name="XRefPaste29Row" localSheetId="36" hidden="1">#REF!</definedName>
    <definedName name="XRefPaste29Row" hidden="1">#REF!</definedName>
    <definedName name="XRefPaste3" localSheetId="26" hidden="1">#REF!</definedName>
    <definedName name="XRefPaste3" localSheetId="25" hidden="1">#REF!</definedName>
    <definedName name="XRefPaste3" localSheetId="35" hidden="1">#REF!</definedName>
    <definedName name="XRefPaste3" localSheetId="33" hidden="1">#REF!</definedName>
    <definedName name="XRefPaste3" localSheetId="36" hidden="1">#REF!</definedName>
    <definedName name="XRefPaste3" hidden="1">#REF!</definedName>
    <definedName name="XRefPaste30" localSheetId="26" hidden="1">#REF!</definedName>
    <definedName name="XRefPaste30" localSheetId="25" hidden="1">#REF!</definedName>
    <definedName name="XRefPaste30" localSheetId="35" hidden="1">#REF!</definedName>
    <definedName name="XRefPaste30" localSheetId="33" hidden="1">#REF!</definedName>
    <definedName name="XRefPaste30" localSheetId="36" hidden="1">#REF!</definedName>
    <definedName name="XRefPaste30" hidden="1">#REF!</definedName>
    <definedName name="XRefPaste31" localSheetId="26" hidden="1">#REF!</definedName>
    <definedName name="XRefPaste31" localSheetId="25" hidden="1">#REF!</definedName>
    <definedName name="XRefPaste31" localSheetId="35" hidden="1">#REF!</definedName>
    <definedName name="XRefPaste31" localSheetId="33" hidden="1">#REF!</definedName>
    <definedName name="XRefPaste31" localSheetId="36" hidden="1">#REF!</definedName>
    <definedName name="XRefPaste31" hidden="1">#REF!</definedName>
    <definedName name="XRefPaste38Row" localSheetId="26" hidden="1">#REF!</definedName>
    <definedName name="XRefPaste38Row" localSheetId="25" hidden="1">#REF!</definedName>
    <definedName name="XRefPaste38Row" localSheetId="35" hidden="1">#REF!</definedName>
    <definedName name="XRefPaste38Row" localSheetId="33" hidden="1">#REF!</definedName>
    <definedName name="XRefPaste38Row" localSheetId="36" hidden="1">#REF!</definedName>
    <definedName name="XRefPaste38Row" hidden="1">#REF!</definedName>
    <definedName name="XRefPaste3Row" localSheetId="26" hidden="1">#REF!</definedName>
    <definedName name="XRefPaste3Row" localSheetId="25" hidden="1">#REF!</definedName>
    <definedName name="XRefPaste3Row" localSheetId="35" hidden="1">#REF!</definedName>
    <definedName name="XRefPaste3Row" localSheetId="33" hidden="1">#REF!</definedName>
    <definedName name="XRefPaste3Row" localSheetId="36" hidden="1">#REF!</definedName>
    <definedName name="XRefPaste3Row" hidden="1">#REF!</definedName>
    <definedName name="XRefPaste4" localSheetId="26" hidden="1">#REF!</definedName>
    <definedName name="XRefPaste4" localSheetId="25" hidden="1">#REF!</definedName>
    <definedName name="XRefPaste4" localSheetId="35" hidden="1">#REF!</definedName>
    <definedName name="XRefPaste4" localSheetId="33" hidden="1">#REF!</definedName>
    <definedName name="XRefPaste4" localSheetId="36" hidden="1">#REF!</definedName>
    <definedName name="XRefPaste4" hidden="1">#REF!</definedName>
    <definedName name="XRefPaste45Row" localSheetId="26" hidden="1">#REF!</definedName>
    <definedName name="XRefPaste45Row" localSheetId="25" hidden="1">#REF!</definedName>
    <definedName name="XRefPaste45Row" localSheetId="35" hidden="1">#REF!</definedName>
    <definedName name="XRefPaste45Row" localSheetId="33" hidden="1">#REF!</definedName>
    <definedName name="XRefPaste45Row" localSheetId="36" hidden="1">#REF!</definedName>
    <definedName name="XRefPaste45Row" hidden="1">#REF!</definedName>
    <definedName name="XRefPaste51Row" localSheetId="26" hidden="1">#REF!</definedName>
    <definedName name="XRefPaste51Row" localSheetId="25" hidden="1">#REF!</definedName>
    <definedName name="XRefPaste51Row" localSheetId="35" hidden="1">#REF!</definedName>
    <definedName name="XRefPaste51Row" localSheetId="33" hidden="1">#REF!</definedName>
    <definedName name="XRefPaste51Row" localSheetId="36" hidden="1">#REF!</definedName>
    <definedName name="XRefPaste51Row" hidden="1">#REF!</definedName>
    <definedName name="XRefPaste56Row" localSheetId="26" hidden="1">#REF!</definedName>
    <definedName name="XRefPaste56Row" localSheetId="25" hidden="1">#REF!</definedName>
    <definedName name="XRefPaste56Row" localSheetId="35" hidden="1">#REF!</definedName>
    <definedName name="XRefPaste56Row" localSheetId="33" hidden="1">#REF!</definedName>
    <definedName name="XRefPaste56Row" localSheetId="36" hidden="1">#REF!</definedName>
    <definedName name="XRefPaste56Row" hidden="1">#REF!</definedName>
    <definedName name="XRefPaste57Row" localSheetId="26" hidden="1">#REF!</definedName>
    <definedName name="XRefPaste57Row" localSheetId="25" hidden="1">#REF!</definedName>
    <definedName name="XRefPaste57Row" localSheetId="35" hidden="1">#REF!</definedName>
    <definedName name="XRefPaste57Row" localSheetId="33" hidden="1">#REF!</definedName>
    <definedName name="XRefPaste57Row" localSheetId="36" hidden="1">#REF!</definedName>
    <definedName name="XRefPaste57Row" hidden="1">#REF!</definedName>
    <definedName name="XRefPaste5Row" localSheetId="26" hidden="1">#REF!</definedName>
    <definedName name="XRefPaste5Row" localSheetId="25" hidden="1">#REF!</definedName>
    <definedName name="XRefPaste5Row" localSheetId="35" hidden="1">#REF!</definedName>
    <definedName name="XRefPaste5Row" localSheetId="33" hidden="1">#REF!</definedName>
    <definedName name="XRefPaste5Row" localSheetId="36" hidden="1">#REF!</definedName>
    <definedName name="XRefPaste5Row" hidden="1">#REF!</definedName>
    <definedName name="XRefPaste6" localSheetId="26" hidden="1">#REF!</definedName>
    <definedName name="XRefPaste6" localSheetId="25" hidden="1">#REF!</definedName>
    <definedName name="XRefPaste6" localSheetId="35" hidden="1">#REF!</definedName>
    <definedName name="XRefPaste6" localSheetId="33" hidden="1">#REF!</definedName>
    <definedName name="XRefPaste6" localSheetId="36" hidden="1">#REF!</definedName>
    <definedName name="XRefPaste6" hidden="1">#REF!</definedName>
    <definedName name="XRefPaste61Row" localSheetId="26" hidden="1">#REF!</definedName>
    <definedName name="XRefPaste61Row" localSheetId="25" hidden="1">#REF!</definedName>
    <definedName name="XRefPaste61Row" localSheetId="35" hidden="1">#REF!</definedName>
    <definedName name="XRefPaste61Row" localSheetId="33" hidden="1">#REF!</definedName>
    <definedName name="XRefPaste61Row" localSheetId="36" hidden="1">#REF!</definedName>
    <definedName name="XRefPaste61Row" hidden="1">#REF!</definedName>
    <definedName name="XRefPaste63Row" localSheetId="26" hidden="1">#REF!</definedName>
    <definedName name="XRefPaste63Row" localSheetId="25" hidden="1">#REF!</definedName>
    <definedName name="XRefPaste63Row" localSheetId="35" hidden="1">#REF!</definedName>
    <definedName name="XRefPaste63Row" localSheetId="33" hidden="1">#REF!</definedName>
    <definedName name="XRefPaste63Row" localSheetId="36" hidden="1">#REF!</definedName>
    <definedName name="XRefPaste63Row" hidden="1">#REF!</definedName>
    <definedName name="XRefPaste64Row" localSheetId="26" hidden="1">#REF!</definedName>
    <definedName name="XRefPaste64Row" localSheetId="25" hidden="1">#REF!</definedName>
    <definedName name="XRefPaste64Row" localSheetId="35" hidden="1">#REF!</definedName>
    <definedName name="XRefPaste64Row" localSheetId="33" hidden="1">#REF!</definedName>
    <definedName name="XRefPaste64Row" localSheetId="36" hidden="1">#REF!</definedName>
    <definedName name="XRefPaste64Row" hidden="1">#REF!</definedName>
    <definedName name="XRefPaste67Row" localSheetId="26" hidden="1">#REF!</definedName>
    <definedName name="XRefPaste67Row" localSheetId="25" hidden="1">#REF!</definedName>
    <definedName name="XRefPaste67Row" localSheetId="35" hidden="1">#REF!</definedName>
    <definedName name="XRefPaste67Row" localSheetId="33" hidden="1">#REF!</definedName>
    <definedName name="XRefPaste67Row" localSheetId="36" hidden="1">#REF!</definedName>
    <definedName name="XRefPaste67Row" hidden="1">#REF!</definedName>
    <definedName name="XRefPaste68Row" localSheetId="26" hidden="1">#REF!</definedName>
    <definedName name="XRefPaste68Row" localSheetId="25" hidden="1">#REF!</definedName>
    <definedName name="XRefPaste68Row" localSheetId="35" hidden="1">#REF!</definedName>
    <definedName name="XRefPaste68Row" localSheetId="33" hidden="1">#REF!</definedName>
    <definedName name="XRefPaste68Row" localSheetId="36" hidden="1">#REF!</definedName>
    <definedName name="XRefPaste68Row" hidden="1">#REF!</definedName>
    <definedName name="XRefPaste69Row" localSheetId="26" hidden="1">#REF!</definedName>
    <definedName name="XRefPaste69Row" localSheetId="25" hidden="1">#REF!</definedName>
    <definedName name="XRefPaste69Row" localSheetId="35" hidden="1">#REF!</definedName>
    <definedName name="XRefPaste69Row" localSheetId="33" hidden="1">#REF!</definedName>
    <definedName name="XRefPaste69Row" localSheetId="36" hidden="1">#REF!</definedName>
    <definedName name="XRefPaste69Row" hidden="1">#REF!</definedName>
    <definedName name="XRefPaste6Row" localSheetId="26" hidden="1">#REF!</definedName>
    <definedName name="XRefPaste6Row" localSheetId="25" hidden="1">#REF!</definedName>
    <definedName name="XRefPaste6Row" localSheetId="35" hidden="1">#REF!</definedName>
    <definedName name="XRefPaste6Row" localSheetId="33" hidden="1">#REF!</definedName>
    <definedName name="XRefPaste6Row" localSheetId="36" hidden="1">#REF!</definedName>
    <definedName name="XRefPaste6Row" hidden="1">#REF!</definedName>
    <definedName name="XRefPaste7" localSheetId="26" hidden="1">#REF!</definedName>
    <definedName name="XRefPaste7" localSheetId="25" hidden="1">#REF!</definedName>
    <definedName name="XRefPaste7" localSheetId="35" hidden="1">#REF!</definedName>
    <definedName name="XRefPaste7" localSheetId="33" hidden="1">#REF!</definedName>
    <definedName name="XRefPaste7" localSheetId="36" hidden="1">#REF!</definedName>
    <definedName name="XRefPaste7" hidden="1">#REF!</definedName>
    <definedName name="XRefPaste71Row" localSheetId="26" hidden="1">#REF!</definedName>
    <definedName name="XRefPaste71Row" localSheetId="25" hidden="1">#REF!</definedName>
    <definedName name="XRefPaste71Row" localSheetId="35" hidden="1">#REF!</definedName>
    <definedName name="XRefPaste71Row" localSheetId="33" hidden="1">#REF!</definedName>
    <definedName name="XRefPaste71Row" localSheetId="36" hidden="1">#REF!</definedName>
    <definedName name="XRefPaste71Row" hidden="1">#REF!</definedName>
    <definedName name="XRefPaste72Row" localSheetId="26" hidden="1">#REF!</definedName>
    <definedName name="XRefPaste72Row" localSheetId="25" hidden="1">#REF!</definedName>
    <definedName name="XRefPaste72Row" localSheetId="35" hidden="1">#REF!</definedName>
    <definedName name="XRefPaste72Row" localSheetId="33" hidden="1">#REF!</definedName>
    <definedName name="XRefPaste72Row" localSheetId="36" hidden="1">#REF!</definedName>
    <definedName name="XRefPaste72Row" hidden="1">#REF!</definedName>
    <definedName name="XRefPaste73Row" localSheetId="26" hidden="1">#REF!</definedName>
    <definedName name="XRefPaste73Row" localSheetId="25" hidden="1">#REF!</definedName>
    <definedName name="XRefPaste73Row" localSheetId="35" hidden="1">#REF!</definedName>
    <definedName name="XRefPaste73Row" localSheetId="33" hidden="1">#REF!</definedName>
    <definedName name="XRefPaste73Row" localSheetId="36" hidden="1">#REF!</definedName>
    <definedName name="XRefPaste73Row" hidden="1">#REF!</definedName>
    <definedName name="XRefPaste74Row" localSheetId="26" hidden="1">#REF!</definedName>
    <definedName name="XRefPaste74Row" localSheetId="25" hidden="1">#REF!</definedName>
    <definedName name="XRefPaste74Row" localSheetId="35" hidden="1">#REF!</definedName>
    <definedName name="XRefPaste74Row" localSheetId="33" hidden="1">#REF!</definedName>
    <definedName name="XRefPaste74Row" localSheetId="36" hidden="1">#REF!</definedName>
    <definedName name="XRefPaste74Row" hidden="1">#REF!</definedName>
    <definedName name="XRefPaste75Row" localSheetId="26" hidden="1">#REF!</definedName>
    <definedName name="XRefPaste75Row" localSheetId="25" hidden="1">#REF!</definedName>
    <definedName name="XRefPaste75Row" localSheetId="35" hidden="1">#REF!</definedName>
    <definedName name="XRefPaste75Row" localSheetId="33" hidden="1">#REF!</definedName>
    <definedName name="XRefPaste75Row" localSheetId="36" hidden="1">#REF!</definedName>
    <definedName name="XRefPaste75Row" hidden="1">#REF!</definedName>
    <definedName name="XRefPaste76Row" localSheetId="26" hidden="1">#REF!</definedName>
    <definedName name="XRefPaste76Row" localSheetId="25" hidden="1">#REF!</definedName>
    <definedName name="XRefPaste76Row" localSheetId="35" hidden="1">#REF!</definedName>
    <definedName name="XRefPaste76Row" localSheetId="33" hidden="1">#REF!</definedName>
    <definedName name="XRefPaste76Row" localSheetId="36" hidden="1">#REF!</definedName>
    <definedName name="XRefPaste76Row" hidden="1">#REF!</definedName>
    <definedName name="XRefPaste77Row" localSheetId="26" hidden="1">#REF!</definedName>
    <definedName name="XRefPaste77Row" localSheetId="25" hidden="1">#REF!</definedName>
    <definedName name="XRefPaste77Row" localSheetId="35" hidden="1">#REF!</definedName>
    <definedName name="XRefPaste77Row" localSheetId="33" hidden="1">#REF!</definedName>
    <definedName name="XRefPaste77Row" localSheetId="36" hidden="1">#REF!</definedName>
    <definedName name="XRefPaste77Row" hidden="1">#REF!</definedName>
    <definedName name="XRefPaste78Row" localSheetId="26" hidden="1">#REF!</definedName>
    <definedName name="XRefPaste78Row" localSheetId="25" hidden="1">#REF!</definedName>
    <definedName name="XRefPaste78Row" localSheetId="35" hidden="1">#REF!</definedName>
    <definedName name="XRefPaste78Row" localSheetId="33" hidden="1">#REF!</definedName>
    <definedName name="XRefPaste78Row" localSheetId="36" hidden="1">#REF!</definedName>
    <definedName name="XRefPaste78Row" hidden="1">#REF!</definedName>
    <definedName name="XRefPaste79Row" localSheetId="26" hidden="1">#REF!</definedName>
    <definedName name="XRefPaste79Row" localSheetId="25" hidden="1">#REF!</definedName>
    <definedName name="XRefPaste79Row" localSheetId="35" hidden="1">#REF!</definedName>
    <definedName name="XRefPaste79Row" localSheetId="33" hidden="1">#REF!</definedName>
    <definedName name="XRefPaste79Row" localSheetId="36" hidden="1">#REF!</definedName>
    <definedName name="XRefPaste79Row" hidden="1">#REF!</definedName>
    <definedName name="XRefPaste7Row" localSheetId="26" hidden="1">#REF!</definedName>
    <definedName name="XRefPaste7Row" localSheetId="25" hidden="1">#REF!</definedName>
    <definedName name="XRefPaste7Row" localSheetId="35" hidden="1">#REF!</definedName>
    <definedName name="XRefPaste7Row" localSheetId="33" hidden="1">#REF!</definedName>
    <definedName name="XRefPaste7Row" localSheetId="36" hidden="1">#REF!</definedName>
    <definedName name="XRefPaste7Row" hidden="1">#REF!</definedName>
    <definedName name="XRefPaste8" localSheetId="26" hidden="1">#REF!</definedName>
    <definedName name="XRefPaste8" localSheetId="25" hidden="1">#REF!</definedName>
    <definedName name="XRefPaste8" localSheetId="35" hidden="1">#REF!</definedName>
    <definedName name="XRefPaste8" localSheetId="33" hidden="1">#REF!</definedName>
    <definedName name="XRefPaste8" localSheetId="36" hidden="1">#REF!</definedName>
    <definedName name="XRefPaste8" hidden="1">#REF!</definedName>
    <definedName name="XRefPaste80Row" localSheetId="26" hidden="1">#REF!</definedName>
    <definedName name="XRefPaste80Row" localSheetId="25" hidden="1">#REF!</definedName>
    <definedName name="XRefPaste80Row" localSheetId="35" hidden="1">#REF!</definedName>
    <definedName name="XRefPaste80Row" localSheetId="33" hidden="1">#REF!</definedName>
    <definedName name="XRefPaste80Row" localSheetId="36" hidden="1">#REF!</definedName>
    <definedName name="XRefPaste80Row" hidden="1">#REF!</definedName>
    <definedName name="XRefPaste82Row" localSheetId="26" hidden="1">#REF!</definedName>
    <definedName name="XRefPaste82Row" localSheetId="25" hidden="1">#REF!</definedName>
    <definedName name="XRefPaste82Row" localSheetId="35" hidden="1">#REF!</definedName>
    <definedName name="XRefPaste82Row" localSheetId="33" hidden="1">#REF!</definedName>
    <definedName name="XRefPaste82Row" localSheetId="36" hidden="1">#REF!</definedName>
    <definedName name="XRefPaste82Row" hidden="1">#REF!</definedName>
    <definedName name="XRefPaste83Row" localSheetId="26" hidden="1">#REF!</definedName>
    <definedName name="XRefPaste83Row" localSheetId="25" hidden="1">#REF!</definedName>
    <definedName name="XRefPaste83Row" localSheetId="35" hidden="1">#REF!</definedName>
    <definedName name="XRefPaste83Row" localSheetId="33" hidden="1">#REF!</definedName>
    <definedName name="XRefPaste83Row" localSheetId="36" hidden="1">#REF!</definedName>
    <definedName name="XRefPaste83Row" hidden="1">#REF!</definedName>
    <definedName name="XRefPaste84Row" localSheetId="26" hidden="1">#REF!</definedName>
    <definedName name="XRefPaste84Row" localSheetId="25" hidden="1">#REF!</definedName>
    <definedName name="XRefPaste84Row" localSheetId="35" hidden="1">#REF!</definedName>
    <definedName name="XRefPaste84Row" localSheetId="33" hidden="1">#REF!</definedName>
    <definedName name="XRefPaste84Row" localSheetId="36" hidden="1">#REF!</definedName>
    <definedName name="XRefPaste84Row" hidden="1">#REF!</definedName>
    <definedName name="XRefPaste86Row" localSheetId="26" hidden="1">#REF!</definedName>
    <definedName name="XRefPaste86Row" localSheetId="25" hidden="1">#REF!</definedName>
    <definedName name="XRefPaste86Row" localSheetId="35" hidden="1">#REF!</definedName>
    <definedName name="XRefPaste86Row" localSheetId="33" hidden="1">#REF!</definedName>
    <definedName name="XRefPaste86Row" localSheetId="36" hidden="1">#REF!</definedName>
    <definedName name="XRefPaste86Row" hidden="1">#REF!</definedName>
    <definedName name="XRefPaste87Row" localSheetId="26" hidden="1">#REF!</definedName>
    <definedName name="XRefPaste87Row" localSheetId="25" hidden="1">#REF!</definedName>
    <definedName name="XRefPaste87Row" localSheetId="35" hidden="1">#REF!</definedName>
    <definedName name="XRefPaste87Row" localSheetId="33" hidden="1">#REF!</definedName>
    <definedName name="XRefPaste87Row" localSheetId="36" hidden="1">#REF!</definedName>
    <definedName name="XRefPaste87Row" hidden="1">#REF!</definedName>
    <definedName name="XRefPaste88Row" localSheetId="26" hidden="1">#REF!</definedName>
    <definedName name="XRefPaste88Row" localSheetId="25" hidden="1">#REF!</definedName>
    <definedName name="XRefPaste88Row" localSheetId="35" hidden="1">#REF!</definedName>
    <definedName name="XRefPaste88Row" localSheetId="33" hidden="1">#REF!</definedName>
    <definedName name="XRefPaste88Row" localSheetId="36" hidden="1">#REF!</definedName>
    <definedName name="XRefPaste88Row" hidden="1">#REF!</definedName>
    <definedName name="XRefPaste89Row" localSheetId="26" hidden="1">#REF!</definedName>
    <definedName name="XRefPaste89Row" localSheetId="25" hidden="1">#REF!</definedName>
    <definedName name="XRefPaste89Row" localSheetId="35" hidden="1">#REF!</definedName>
    <definedName name="XRefPaste89Row" localSheetId="33" hidden="1">#REF!</definedName>
    <definedName name="XRefPaste89Row" localSheetId="36" hidden="1">#REF!</definedName>
    <definedName name="XRefPaste89Row" hidden="1">#REF!</definedName>
    <definedName name="XRefPaste8Row" localSheetId="26" hidden="1">#REF!</definedName>
    <definedName name="XRefPaste8Row" localSheetId="25" hidden="1">#REF!</definedName>
    <definedName name="XRefPaste8Row" localSheetId="35" hidden="1">#REF!</definedName>
    <definedName name="XRefPaste8Row" localSheetId="33" hidden="1">#REF!</definedName>
    <definedName name="XRefPaste8Row" localSheetId="36" hidden="1">#REF!</definedName>
    <definedName name="XRefPaste8Row" hidden="1">#REF!</definedName>
    <definedName name="XRefPaste9" localSheetId="26" hidden="1">#REF!</definedName>
    <definedName name="XRefPaste9" localSheetId="25" hidden="1">#REF!</definedName>
    <definedName name="XRefPaste9" localSheetId="35" hidden="1">#REF!</definedName>
    <definedName name="XRefPaste9" localSheetId="33" hidden="1">#REF!</definedName>
    <definedName name="XRefPaste9" localSheetId="36" hidden="1">#REF!</definedName>
    <definedName name="XRefPaste9" hidden="1">#REF!</definedName>
    <definedName name="XRefPaste90Row" localSheetId="26" hidden="1">#REF!</definedName>
    <definedName name="XRefPaste90Row" localSheetId="25" hidden="1">#REF!</definedName>
    <definedName name="XRefPaste90Row" localSheetId="35" hidden="1">#REF!</definedName>
    <definedName name="XRefPaste90Row" localSheetId="33" hidden="1">#REF!</definedName>
    <definedName name="XRefPaste90Row" localSheetId="36" hidden="1">#REF!</definedName>
    <definedName name="XRefPaste90Row" hidden="1">#REF!</definedName>
    <definedName name="XRefPaste91Row" localSheetId="26" hidden="1">#REF!</definedName>
    <definedName name="XRefPaste91Row" localSheetId="25" hidden="1">#REF!</definedName>
    <definedName name="XRefPaste91Row" localSheetId="35" hidden="1">#REF!</definedName>
    <definedName name="XRefPaste91Row" localSheetId="33" hidden="1">#REF!</definedName>
    <definedName name="XRefPaste91Row" localSheetId="36" hidden="1">#REF!</definedName>
    <definedName name="XRefPaste91Row" hidden="1">#REF!</definedName>
    <definedName name="XRefPaste93Row" localSheetId="26" hidden="1">#REF!</definedName>
    <definedName name="XRefPaste93Row" localSheetId="25" hidden="1">#REF!</definedName>
    <definedName name="XRefPaste93Row" localSheetId="35" hidden="1">#REF!</definedName>
    <definedName name="XRefPaste93Row" localSheetId="33" hidden="1">#REF!</definedName>
    <definedName name="XRefPaste93Row" localSheetId="36" hidden="1">#REF!</definedName>
    <definedName name="XRefPaste93Row" hidden="1">#REF!</definedName>
    <definedName name="XRefPaste94Row" localSheetId="26" hidden="1">#REF!</definedName>
    <definedName name="XRefPaste94Row" localSheetId="25" hidden="1">#REF!</definedName>
    <definedName name="XRefPaste94Row" localSheetId="35" hidden="1">#REF!</definedName>
    <definedName name="XRefPaste94Row" localSheetId="33" hidden="1">#REF!</definedName>
    <definedName name="XRefPaste94Row" localSheetId="36" hidden="1">#REF!</definedName>
    <definedName name="XRefPaste94Row" hidden="1">#REF!</definedName>
    <definedName name="XRefPaste95Row" localSheetId="26" hidden="1">#REF!</definedName>
    <definedName name="XRefPaste95Row" localSheetId="25" hidden="1">#REF!</definedName>
    <definedName name="XRefPaste95Row" localSheetId="35" hidden="1">#REF!</definedName>
    <definedName name="XRefPaste95Row" localSheetId="33" hidden="1">#REF!</definedName>
    <definedName name="XRefPaste95Row" localSheetId="36" hidden="1">#REF!</definedName>
    <definedName name="XRefPaste95Row" hidden="1">#REF!</definedName>
    <definedName name="XRefPaste96Row" localSheetId="26" hidden="1">#REF!</definedName>
    <definedName name="XRefPaste96Row" localSheetId="25" hidden="1">#REF!</definedName>
    <definedName name="XRefPaste96Row" localSheetId="35" hidden="1">#REF!</definedName>
    <definedName name="XRefPaste96Row" localSheetId="33" hidden="1">#REF!</definedName>
    <definedName name="XRefPaste96Row" localSheetId="36" hidden="1">#REF!</definedName>
    <definedName name="XRefPaste96Row" hidden="1">#REF!</definedName>
    <definedName name="XRefPaste97Row" localSheetId="26" hidden="1">#REF!</definedName>
    <definedName name="XRefPaste97Row" localSheetId="25" hidden="1">#REF!</definedName>
    <definedName name="XRefPaste97Row" localSheetId="35" hidden="1">#REF!</definedName>
    <definedName name="XRefPaste97Row" localSheetId="33" hidden="1">#REF!</definedName>
    <definedName name="XRefPaste97Row" localSheetId="36" hidden="1">#REF!</definedName>
    <definedName name="XRefPaste97Row" hidden="1">#REF!</definedName>
    <definedName name="XRefPaste99Row" localSheetId="26" hidden="1">#REF!</definedName>
    <definedName name="XRefPaste99Row" localSheetId="25" hidden="1">#REF!</definedName>
    <definedName name="XRefPaste99Row" localSheetId="35" hidden="1">#REF!</definedName>
    <definedName name="XRefPaste99Row" localSheetId="33" hidden="1">#REF!</definedName>
    <definedName name="XRefPaste99Row" localSheetId="36" hidden="1">#REF!</definedName>
    <definedName name="XRefPaste99Row" hidden="1">#REF!</definedName>
    <definedName name="XRefPasteRangeCount" hidden="1">15</definedName>
    <definedName name="xx" localSheetId="28" hidden="1">{"summary1",#N/A,FALSE,"Summary of Values";"summary2",#N/A,FALSE,"Summary of Values"}</definedName>
    <definedName name="xx" hidden="1">{"summary1",#N/A,FALSE,"Summary of Values";"summary2",#N/A,FALSE,"Summary of Values"}</definedName>
    <definedName name="xx_1" localSheetId="28" hidden="1">{"summary1",#N/A,FALSE,"Summary of Values";"summary2",#N/A,FALSE,"Summary of Values"}</definedName>
    <definedName name="xx_1" hidden="1">{"summary1",#N/A,FALSE,"Summary of Values";"summary2",#N/A,FALSE,"Summary of Values"}</definedName>
    <definedName name="xx_1_1" localSheetId="28" hidden="1">{"summary1",#N/A,FALSE,"Summary of Values";"summary2",#N/A,FALSE,"Summary of Values"}</definedName>
    <definedName name="xx_1_1" hidden="1">{"summary1",#N/A,FALSE,"Summary of Values";"summary2",#N/A,FALSE,"Summary of Values"}</definedName>
    <definedName name="xxm合同付款清单_0703_" localSheetId="26">#REF!</definedName>
    <definedName name="xxm合同付款清单_0703_" localSheetId="25">#REF!</definedName>
    <definedName name="xxm合同付款清单_0703_" localSheetId="35">#REF!</definedName>
    <definedName name="xxm合同付款清单_0703_" localSheetId="33">#REF!</definedName>
    <definedName name="xxm合同付款清单_0703_">#REF!</definedName>
    <definedName name="xxx" localSheetId="28" hidden="1">{"developed valuation",#N/A,FALSE,"Valuation Analysis";"developed income statement",#N/A,FALSE,"Abbreviated Income Statement";"inprocess valuation",#N/A,FALSE,"Valuation Analysis";"inprocess income statement",#N/A,FALSE,"Abbreviated Income Statement"}</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localSheetId="28"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localSheetId="28"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localSheetId="28" hidden="1">{"CSheet",#N/A,FALSE,"C";"SmCap",#N/A,FALSE,"VAL1";"GulfCoast",#N/A,FALSE,"VAL1";"nav",#N/A,FALSE,"NAV";"Summary",#N/A,FALSE,"NAV"}</definedName>
    <definedName name="xxxx" hidden="1">{"CSheet",#N/A,FALSE,"C";"SmCap",#N/A,FALSE,"VAL1";"GulfCoast",#N/A,FALSE,"VAL1";"nav",#N/A,FALSE,"NAV";"Summary",#N/A,FALSE,"NAV"}</definedName>
    <definedName name="xxxx_1" localSheetId="28" hidden="1">{"CSheet",#N/A,FALSE,"C";"SmCap",#N/A,FALSE,"VAL1";"GulfCoast",#N/A,FALSE,"VAL1";"nav",#N/A,FALSE,"NAV";"Summary",#N/A,FALSE,"NAV"}</definedName>
    <definedName name="xxxx_1" hidden="1">{"CSheet",#N/A,FALSE,"C";"SmCap",#N/A,FALSE,"VAL1";"GulfCoast",#N/A,FALSE,"VAL1";"nav",#N/A,FALSE,"NAV";"Summary",#N/A,FALSE,"NAV"}</definedName>
    <definedName name="xxxx_1_1" localSheetId="28" hidden="1">{"CSheet",#N/A,FALSE,"C";"SmCap",#N/A,FALSE,"VAL1";"GulfCoast",#N/A,FALSE,"VAL1";"nav",#N/A,FALSE,"NAV";"Summary",#N/A,FALSE,"NAV"}</definedName>
    <definedName name="xxxx_1_1" hidden="1">{"CSheet",#N/A,FALSE,"C";"SmCap",#N/A,FALSE,"VAL1";"GulfCoast",#N/A,FALSE,"VAL1";"nav",#N/A,FALSE,"NAV";"Summary",#N/A,FALSE,"NAV"}</definedName>
    <definedName name="xxxx1" localSheetId="28" hidden="1">{#N/A,#N/A,TRUE,"Funnel";#N/A,#N/A,TRUE,"FunnelMatrix"}</definedName>
    <definedName name="xxxx1" hidden="1">{#N/A,#N/A,TRUE,"Funnel";#N/A,#N/A,TRUE,"FunnelMatrix"}</definedName>
    <definedName name="xxxx2" localSheetId="28" hidden="1">{#N/A,#N/A,TRUE,"Funnel";#N/A,#N/A,TRUE,"FunnelMatrix"}</definedName>
    <definedName name="xxxx2" hidden="1">{#N/A,#N/A,TRUE,"Funnel";#N/A,#N/A,TRUE,"FunnelMatrix"}</definedName>
    <definedName name="xxxxx" localSheetId="28" hidden="1">{"Total",#N/A,FALSE,"Total Proved";"PDP",#N/A,FALSE,"Total Proved";"PNP",#N/A,FALSE,"Total Proved";"PUD",#N/A,FALSE,"Total Proved"}</definedName>
    <definedName name="xxxxx" hidden="1">{"Total",#N/A,FALSE,"Total Proved";"PDP",#N/A,FALSE,"Total Proved";"PNP",#N/A,FALSE,"Total Proved";"PUD",#N/A,FALSE,"Total Proved"}</definedName>
    <definedName name="xxxxx_1" localSheetId="28" hidden="1">{"Total",#N/A,FALSE,"Total Proved";"PDP",#N/A,FALSE,"Total Proved";"PNP",#N/A,FALSE,"Total Proved";"PUD",#N/A,FALSE,"Total Proved"}</definedName>
    <definedName name="xxxxx_1" hidden="1">{"Total",#N/A,FALSE,"Total Proved";"PDP",#N/A,FALSE,"Total Proved";"PNP",#N/A,FALSE,"Total Proved";"PUD",#N/A,FALSE,"Total Proved"}</definedName>
    <definedName name="xxxxx_1_1" localSheetId="28" hidden="1">{"Total",#N/A,FALSE,"Total Proved";"PDP",#N/A,FALSE,"Total Proved";"PNP",#N/A,FALSE,"Total Proved";"PUD",#N/A,FALSE,"Total Proved"}</definedName>
    <definedName name="xxxxx_1_1" hidden="1">{"Total",#N/A,FALSE,"Total Proved";"PDP",#N/A,FALSE,"Total Proved";"PNP",#N/A,FALSE,"Total Proved";"PUD",#N/A,FALSE,"Total Proved"}</definedName>
    <definedName name="xxxxxx" localSheetId="28" hidden="1">{"Total",#N/A,FALSE,"Total Proved + Probable";"PDP",#N/A,FALSE,"Total Proved + Probable";"PNP",#N/A,FALSE,"Total Proved + Probable";"PUD",#N/A,FALSE,"Total Proved + Probable";"Prob",#N/A,FALSE,"Total Proved + Probable"}</definedName>
    <definedName name="xxxxxx" hidden="1">{"Total",#N/A,FALSE,"Total Proved + Probable";"PDP",#N/A,FALSE,"Total Proved + Probable";"PNP",#N/A,FALSE,"Total Proved + Probable";"PUD",#N/A,FALSE,"Total Proved + Probable";"Prob",#N/A,FALSE,"Total Proved + Probable"}</definedName>
    <definedName name="xxxxxx_1" localSheetId="28"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localSheetId="28"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localSheetId="28" hidden="1">{"trademark1",#N/A,FALSE,"Trademark(s) and Trade Name(s)"}</definedName>
    <definedName name="xxxxxxx" hidden="1">{"trademark1",#N/A,FALSE,"Trademark(s) and Trade Name(s)"}</definedName>
    <definedName name="xxxxxxx_1" localSheetId="28" hidden="1">{"trademark1",#N/A,FALSE,"Trademark(s) and Trade Name(s)"}</definedName>
    <definedName name="xxxxxxx_1" hidden="1">{"trademark1",#N/A,FALSE,"Trademark(s) and Trade Name(s)"}</definedName>
    <definedName name="xxxxxxx_1_1" localSheetId="28" hidden="1">{"trademark1",#N/A,FALSE,"Trademark(s) and Trade Name(s)"}</definedName>
    <definedName name="xxxxxxx_1_1" hidden="1">{"trademark1",#N/A,FALSE,"Trademark(s) and Trade Name(s)"}</definedName>
    <definedName name="xxxxxxxx" localSheetId="28" hidden="1">{"histincome",#N/A,FALSE,"hyfins";"closing balance",#N/A,FALSE,"hyfins"}</definedName>
    <definedName name="xxxxxxxx" hidden="1">{"histincome",#N/A,FALSE,"hyfins";"closing balance",#N/A,FALSE,"hyfins"}</definedName>
    <definedName name="xxxxxxxx_1" localSheetId="28" hidden="1">{"histincome",#N/A,FALSE,"hyfins";"closing balance",#N/A,FALSE,"hyfins"}</definedName>
    <definedName name="xxxxxxxx_1" hidden="1">{"histincome",#N/A,FALSE,"hyfins";"closing balance",#N/A,FALSE,"hyfins"}</definedName>
    <definedName name="xxxxxxxx_1_1" localSheetId="28" hidden="1">{"histincome",#N/A,FALSE,"hyfins";"closing balance",#N/A,FALSE,"hyfins"}</definedName>
    <definedName name="xxxxxxxx_1_1" hidden="1">{"histincome",#N/A,FALSE,"hyfins";"closing balance",#N/A,FALSE,"hyfins"}</definedName>
    <definedName name="xyz" localSheetId="28" hidden="1">{"histincome",#N/A,FALSE,"hyfins";"closing balance",#N/A,FALSE,"hyfins"}</definedName>
    <definedName name="xyz" hidden="1">{"histincome",#N/A,FALSE,"hyfins";"closing balance",#N/A,FALSE,"hyfins"}</definedName>
    <definedName name="xyz_1" localSheetId="28" hidden="1">{"histincome",#N/A,FALSE,"hyfins";"closing balance",#N/A,FALSE,"hyfins"}</definedName>
    <definedName name="xyz_1" hidden="1">{"histincome",#N/A,FALSE,"hyfins";"closing balance",#N/A,FALSE,"hyfins"}</definedName>
    <definedName name="xyz_1_1" localSheetId="28" hidden="1">{"histincome",#N/A,FALSE,"hyfins";"closing balance",#N/A,FALSE,"hyfins"}</definedName>
    <definedName name="xyz_1_1" hidden="1">{"histincome",#N/A,FALSE,"hyfins";"closing balance",#N/A,FALSE,"hyfins"}</definedName>
    <definedName name="Y" localSheetId="26" hidden="1">#REF!</definedName>
    <definedName name="Y" localSheetId="25" hidden="1">#REF!</definedName>
    <definedName name="Y" localSheetId="35" hidden="1">#REF!</definedName>
    <definedName name="Y" localSheetId="33" hidden="1">#REF!</definedName>
    <definedName name="Y" localSheetId="36" hidden="1">#REF!</definedName>
    <definedName name="Y" hidden="1">#REF!</definedName>
    <definedName name="YB" localSheetId="26">#REF!</definedName>
    <definedName name="YB" localSheetId="25">#REF!</definedName>
    <definedName name="YB" localSheetId="35">#REF!</definedName>
    <definedName name="YB" localSheetId="33">#REF!</definedName>
    <definedName name="YB" localSheetId="36">#REF!</definedName>
    <definedName name="YB">#REF!</definedName>
    <definedName name="year" localSheetId="26">#REF!</definedName>
    <definedName name="year" localSheetId="25">#REF!</definedName>
    <definedName name="year" localSheetId="35">#REF!</definedName>
    <definedName name="year" localSheetId="33">#REF!</definedName>
    <definedName name="year">#REF!</definedName>
    <definedName name="Year_Of__Assessment_2003" localSheetId="28">year</definedName>
    <definedName name="Year_Of__Assessment_2003" localSheetId="26">'结果表（车位）'!year</definedName>
    <definedName name="Year_Of__Assessment_2003" localSheetId="25">'结果表（商业）'!year</definedName>
    <definedName name="Year_Of__Assessment_2003" localSheetId="35">'收益法（车位）'!year</definedName>
    <definedName name="Year_Of__Assessment_2003" localSheetId="33">'收益法（商业）'!year</definedName>
    <definedName name="Year_Of__Assessment_2003">year</definedName>
    <definedName name="Year1" localSheetId="26">#REF!</definedName>
    <definedName name="Year1" localSheetId="25">#REF!</definedName>
    <definedName name="Year1" localSheetId="35">#REF!</definedName>
    <definedName name="Year1" localSheetId="33">#REF!</definedName>
    <definedName name="Year1" localSheetId="36">#REF!</definedName>
    <definedName name="Year1">#REF!</definedName>
    <definedName name="Year2" localSheetId="26">#REF!</definedName>
    <definedName name="Year2" localSheetId="25">#REF!</definedName>
    <definedName name="Year2" localSheetId="35">#REF!</definedName>
    <definedName name="Year2" localSheetId="33">#REF!</definedName>
    <definedName name="Year2" localSheetId="36">#REF!</definedName>
    <definedName name="Year2">#REF!</definedName>
    <definedName name="Year3" localSheetId="26">#REF!</definedName>
    <definedName name="Year3" localSheetId="25">#REF!</definedName>
    <definedName name="Year3" localSheetId="35">#REF!</definedName>
    <definedName name="Year3" localSheetId="33">#REF!</definedName>
    <definedName name="Year3" localSheetId="36">#REF!</definedName>
    <definedName name="Year3">#REF!</definedName>
    <definedName name="YearRange" localSheetId="26">#REF!</definedName>
    <definedName name="YearRange" localSheetId="25">#REF!</definedName>
    <definedName name="YearRange" localSheetId="35">#REF!</definedName>
    <definedName name="YearRange" localSheetId="33">#REF!</definedName>
    <definedName name="YearRange" localSheetId="36">#REF!</definedName>
    <definedName name="YearRange">#REF!</definedName>
    <definedName name="yf" localSheetId="26">#REF!</definedName>
    <definedName name="yf" localSheetId="25">#REF!</definedName>
    <definedName name="yf" localSheetId="35">#REF!</definedName>
    <definedName name="yf" localSheetId="33">#REF!</definedName>
    <definedName name="yf" localSheetId="36">#REF!</definedName>
    <definedName name="yf">#REF!</definedName>
    <definedName name="yjyjytyjety" localSheetId="26" hidden="1">#REF!</definedName>
    <definedName name="yjyjytyjety" localSheetId="25" hidden="1">#REF!</definedName>
    <definedName name="yjyjytyjety" localSheetId="35" hidden="1">#REF!</definedName>
    <definedName name="yjyjytyjety" localSheetId="33" hidden="1">#REF!</definedName>
    <definedName name="yjyjytyjety" localSheetId="36" hidden="1">#REF!</definedName>
    <definedName name="yjyjytyjety" hidden="1">#REF!</definedName>
    <definedName name="yjyjyyyy" localSheetId="26" hidden="1">#REF!</definedName>
    <definedName name="yjyjyyyy" localSheetId="25" hidden="1">#REF!</definedName>
    <definedName name="yjyjyyyy" localSheetId="35" hidden="1">#REF!</definedName>
    <definedName name="yjyjyyyy" localSheetId="33" hidden="1">#REF!</definedName>
    <definedName name="yjyjyyyy" localSheetId="36" hidden="1">#REF!</definedName>
    <definedName name="yjyjyyyy" hidden="1">#REF!</definedName>
    <definedName name="youh" localSheetId="28" hidden="1">{#N/A,#N/A,FALSE,"AD_Purchase";#N/A,#N/A,FALSE,"Credit";#N/A,#N/A,FALSE,"PF Acquisition";#N/A,#N/A,FALSE,"PF Offering"}</definedName>
    <definedName name="youh" hidden="1">{#N/A,#N/A,FALSE,"AD_Purchase";#N/A,#N/A,FALSE,"Credit";#N/A,#N/A,FALSE,"PF Acquisition";#N/A,#N/A,FALSE,"PF Offering"}</definedName>
    <definedName name="youh_1" localSheetId="28" hidden="1">{#N/A,#N/A,FALSE,"AD_Purchase";#N/A,#N/A,FALSE,"Credit";#N/A,#N/A,FALSE,"PF Acquisition";#N/A,#N/A,FALSE,"PF Offering"}</definedName>
    <definedName name="youh_1" hidden="1">{#N/A,#N/A,FALSE,"AD_Purchase";#N/A,#N/A,FALSE,"Credit";#N/A,#N/A,FALSE,"PF Acquisition";#N/A,#N/A,FALSE,"PF Offering"}</definedName>
    <definedName name="youh_1_1" localSheetId="28" hidden="1">{#N/A,#N/A,FALSE,"AD_Purchase";#N/A,#N/A,FALSE,"Credit";#N/A,#N/A,FALSE,"PF Acquisition";#N/A,#N/A,FALSE,"PF Offering"}</definedName>
    <definedName name="youh_1_1" hidden="1">{#N/A,#N/A,FALSE,"AD_Purchase";#N/A,#N/A,FALSE,"Credit";#N/A,#N/A,FALSE,"PF Acquisition";#N/A,#N/A,FALSE,"PF Offering"}</definedName>
    <definedName name="yoyyiyyi" localSheetId="26" hidden="1">#REF!</definedName>
    <definedName name="yoyyiyyi" localSheetId="25" hidden="1">#REF!</definedName>
    <definedName name="yoyyiyyi" localSheetId="35" hidden="1">#REF!</definedName>
    <definedName name="yoyyiyyi" localSheetId="33" hidden="1">#REF!</definedName>
    <definedName name="yoyyiyyi" localSheetId="36" hidden="1">#REF!</definedName>
    <definedName name="yoyyiyyi" hidden="1">#REF!</definedName>
    <definedName name="YQ_HTBH" localSheetId="26">#REF!&amp;IF(AND(#REF!="",#REF!=""),"","-")&amp;IF(AND(#REF!&lt;&gt;"",#REF!&lt;&gt;""),#REF!&amp;"-"&amp;#REF!,IF(#REF!="",#REF!,#REF!))</definedName>
    <definedName name="YQ_HTBH" localSheetId="25">#REF!&amp;IF(AND(#REF!="",#REF!=""),"","-")&amp;IF(AND(#REF!&lt;&gt;"",#REF!&lt;&gt;""),#REF!&amp;"-"&amp;#REF!,IF(#REF!="",#REF!,#REF!))</definedName>
    <definedName name="YQ_HTBH" localSheetId="35">#REF!&amp;IF(AND(#REF!="",#REF!=""),"","-")&amp;IF(AND(#REF!&lt;&gt;"",#REF!&lt;&gt;""),#REF!&amp;"-"&amp;#REF!,IF(#REF!="",#REF!,#REF!))</definedName>
    <definedName name="YQ_HTBH" localSheetId="33">#REF!&amp;IF(AND(#REF!="",#REF!=""),"","-")&amp;IF(AND(#REF!&lt;&gt;"",#REF!&lt;&gt;""),#REF!&amp;"-"&amp;#REF!,IF(#REF!="",#REF!,#REF!))</definedName>
    <definedName name="YQ_HTBH">#REF!&amp;IF(AND(#REF!="",#REF!=""),"","-")&amp;IF(AND(#REF!&lt;&gt;"",#REF!&lt;&gt;""),#REF!&amp;"-"&amp;#REF!,IF(#REF!="",#REF!,#REF!))</definedName>
    <definedName name="YRH" localSheetId="26">#REF!</definedName>
    <definedName name="YRH" localSheetId="25">#REF!</definedName>
    <definedName name="YRH" localSheetId="35">#REF!</definedName>
    <definedName name="YRH" localSheetId="33">#REF!</definedName>
    <definedName name="YRH" localSheetId="36">#REF!</definedName>
    <definedName name="YRH">#REF!</definedName>
    <definedName name="ys" localSheetId="26">#REF!</definedName>
    <definedName name="ys" localSheetId="25">#REF!</definedName>
    <definedName name="ys" localSheetId="35">#REF!</definedName>
    <definedName name="ys" localSheetId="33">#REF!</definedName>
    <definedName name="ys" localSheetId="36">#REF!</definedName>
    <definedName name="ys">#REF!</definedName>
    <definedName name="yukfjfghkdhgjhdggdj" localSheetId="26" hidden="1">#REF!</definedName>
    <definedName name="yukfjfghkdhgjhdggdj" localSheetId="25" hidden="1">#REF!</definedName>
    <definedName name="yukfjfghkdhgjhdggdj" localSheetId="35" hidden="1">#REF!</definedName>
    <definedName name="yukfjfghkdhgjhdggdj" localSheetId="33" hidden="1">#REF!</definedName>
    <definedName name="yukfjfghkdhgjhdggdj" localSheetId="36" hidden="1">#REF!</definedName>
    <definedName name="yukfjfghkdhgjhdggdj" hidden="1">#REF!</definedName>
    <definedName name="yy" localSheetId="28" hidden="1">{#N/A,#N/A,TRUE,"Acquirer_Cases_Input";#N/A,#N/A,TRUE,"Acquirer_Input";#N/A,#N/A,TRUE,"Acquirer"}</definedName>
    <definedName name="yy" hidden="1">{#N/A,#N/A,TRUE,"Acquirer_Cases_Input";#N/A,#N/A,TRUE,"Acquirer_Input";#N/A,#N/A,TRUE,"Acquirer"}</definedName>
    <definedName name="yy_1" localSheetId="28" hidden="1">{#N/A,#N/A,TRUE,"Acquirer_Cases_Input";#N/A,#N/A,TRUE,"Acquirer_Input";#N/A,#N/A,TRUE,"Acquirer"}</definedName>
    <definedName name="yy_1" hidden="1">{#N/A,#N/A,TRUE,"Acquirer_Cases_Input";#N/A,#N/A,TRUE,"Acquirer_Input";#N/A,#N/A,TRUE,"Acquirer"}</definedName>
    <definedName name="yy_1_1" localSheetId="28" hidden="1">{#N/A,#N/A,TRUE,"Acquirer_Cases_Input";#N/A,#N/A,TRUE,"Acquirer_Input";#N/A,#N/A,TRUE,"Acquirer"}</definedName>
    <definedName name="yy_1_1" hidden="1">{#N/A,#N/A,TRUE,"Acquirer_Cases_Input";#N/A,#N/A,TRUE,"Acquirer_Input";#N/A,#N/A,TRUE,"Acquirer"}</definedName>
    <definedName name="yyy" localSheetId="28" hidden="1">{#N/A,#N/A,TRUE,"Fiber_Optic_Cable_Input ";#N/A,#N/A,TRUE,"Specialty_Fiber_Devices_Input";#N/A,#N/A,TRUE,"Optical_Fiber_Apparatus_Input"}</definedName>
    <definedName name="yyy" hidden="1">{#N/A,#N/A,TRUE,"Fiber_Optic_Cable_Input ";#N/A,#N/A,TRUE,"Specialty_Fiber_Devices_Input";#N/A,#N/A,TRUE,"Optical_Fiber_Apparatus_Input"}</definedName>
    <definedName name="yyy_1" localSheetId="28"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localSheetId="28"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localSheetId="2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6" hidden="1">#REF!</definedName>
    <definedName name="Z" localSheetId="25" hidden="1">#REF!</definedName>
    <definedName name="Z" localSheetId="35" hidden="1">#REF!</definedName>
    <definedName name="Z" localSheetId="33" hidden="1">#REF!</definedName>
    <definedName name="Z" localSheetId="36" hidden="1">#REF!</definedName>
    <definedName name="Z" hidden="1">#REF!</definedName>
    <definedName name="z_1" localSheetId="28" hidden="1">{"CSheet",#N/A,FALSE,"C";"SmCap",#N/A,FALSE,"VAL1";"GulfCoast",#N/A,FALSE,"VAL1";"nav",#N/A,FALSE,"NAV";"Summary",#N/A,FALSE,"NAV"}</definedName>
    <definedName name="z_1" hidden="1">{"CSheet",#N/A,FALSE,"C";"SmCap",#N/A,FALSE,"VAL1";"GulfCoast",#N/A,FALSE,"VAL1";"nav",#N/A,FALSE,"NAV";"Summary",#N/A,FALSE,"NAV"}</definedName>
    <definedName name="z_1_1" localSheetId="28"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6" hidden="1">#REF!</definedName>
    <definedName name="Z_47D4C474_81EA_4562_A03B_66488F80C527_.wvu.FilterData" localSheetId="25" hidden="1">#REF!</definedName>
    <definedName name="Z_47D4C474_81EA_4562_A03B_66488F80C527_.wvu.FilterData" localSheetId="35" hidden="1">#REF!</definedName>
    <definedName name="Z_47D4C474_81EA_4562_A03B_66488F80C527_.wvu.FilterData" localSheetId="33" hidden="1">#REF!</definedName>
    <definedName name="Z_47D4C474_81EA_4562_A03B_66488F80C527_.wvu.FilterData" localSheetId="36" hidden="1">#REF!</definedName>
    <definedName name="Z_47D4C474_81EA_4562_A03B_66488F80C527_.wvu.FilterData" hidden="1">#REF!</definedName>
    <definedName name="Z_69236D49_722D_40B7_A111_ABD2A8204911_.wvu.PrintTitles" localSheetId="26" hidden="1">#REF!</definedName>
    <definedName name="Z_69236D49_722D_40B7_A111_ABD2A8204911_.wvu.PrintTitles" localSheetId="25" hidden="1">#REF!</definedName>
    <definedName name="Z_69236D49_722D_40B7_A111_ABD2A8204911_.wvu.PrintTitles" localSheetId="35" hidden="1">#REF!</definedName>
    <definedName name="Z_69236D49_722D_40B7_A111_ABD2A8204911_.wvu.PrintTitles" localSheetId="33" hidden="1">#REF!</definedName>
    <definedName name="Z_69236D49_722D_40B7_A111_ABD2A8204911_.wvu.PrintTitles" localSheetId="36" hidden="1">#REF!</definedName>
    <definedName name="Z_69236D49_722D_40B7_A111_ABD2A8204911_.wvu.PrintTitles" hidden="1">#REF!</definedName>
    <definedName name="Z_69236D49_722D_40B7_A111_ABD2A8204911_.wvu.Rows" localSheetId="26" hidden="1">#REF!,#REF!</definedName>
    <definedName name="Z_69236D49_722D_40B7_A111_ABD2A8204911_.wvu.Rows" localSheetId="25" hidden="1">#REF!,#REF!</definedName>
    <definedName name="Z_69236D49_722D_40B7_A111_ABD2A8204911_.wvu.Rows" localSheetId="35" hidden="1">#REF!,#REF!</definedName>
    <definedName name="Z_69236D49_722D_40B7_A111_ABD2A8204911_.wvu.Rows" localSheetId="33" hidden="1">#REF!,#REF!</definedName>
    <definedName name="Z_69236D49_722D_40B7_A111_ABD2A8204911_.wvu.Rows" localSheetId="36" hidden="1">#REF!,#REF!</definedName>
    <definedName name="Z_69236D49_722D_40B7_A111_ABD2A8204911_.wvu.Rows" hidden="1">#REF!,#REF!</definedName>
    <definedName name="Z_85E7D15F_9559_4B54_A2EE_DCCECE011EC4_.wvu.Cols" localSheetId="26" hidden="1">#REF!</definedName>
    <definedName name="Z_85E7D15F_9559_4B54_A2EE_DCCECE011EC4_.wvu.Cols" localSheetId="25" hidden="1">#REF!</definedName>
    <definedName name="Z_85E7D15F_9559_4B54_A2EE_DCCECE011EC4_.wvu.Cols" localSheetId="35" hidden="1">#REF!</definedName>
    <definedName name="Z_85E7D15F_9559_4B54_A2EE_DCCECE011EC4_.wvu.Cols" localSheetId="33" hidden="1">#REF!</definedName>
    <definedName name="Z_85E7D15F_9559_4B54_A2EE_DCCECE011EC4_.wvu.Cols" localSheetId="36" hidden="1">#REF!</definedName>
    <definedName name="Z_85E7D15F_9559_4B54_A2EE_DCCECE011EC4_.wvu.Cols" hidden="1">#REF!</definedName>
    <definedName name="Z_8DFF34A6_717E_47BE_B868_D1681DBE72CD_.wvu.Cols" localSheetId="26" hidden="1">#REF!</definedName>
    <definedName name="Z_8DFF34A6_717E_47BE_B868_D1681DBE72CD_.wvu.Cols" localSheetId="25" hidden="1">#REF!</definedName>
    <definedName name="Z_8DFF34A6_717E_47BE_B868_D1681DBE72CD_.wvu.Cols" localSheetId="35" hidden="1">#REF!</definedName>
    <definedName name="Z_8DFF34A6_717E_47BE_B868_D1681DBE72CD_.wvu.Cols" localSheetId="33" hidden="1">#REF!</definedName>
    <definedName name="Z_8DFF34A6_717E_47BE_B868_D1681DBE72CD_.wvu.Cols" localSheetId="36" hidden="1">#REF!</definedName>
    <definedName name="Z_8DFF34A6_717E_47BE_B868_D1681DBE72CD_.wvu.Cols" hidden="1">#REF!</definedName>
    <definedName name="Z_B8A42129_8AFC_4C88_A4BF_631F42E72A3A_.wvu.Cols" localSheetId="26" hidden="1">#REF!,#REF!,#REF!,#REF!,#REF!</definedName>
    <definedName name="Z_B8A42129_8AFC_4C88_A4BF_631F42E72A3A_.wvu.Cols" localSheetId="25" hidden="1">#REF!,#REF!,#REF!,#REF!,#REF!</definedName>
    <definedName name="Z_B8A42129_8AFC_4C88_A4BF_631F42E72A3A_.wvu.Cols" localSheetId="35" hidden="1">#REF!,#REF!,#REF!,#REF!,#REF!</definedName>
    <definedName name="Z_B8A42129_8AFC_4C88_A4BF_631F42E72A3A_.wvu.Cols" localSheetId="33" hidden="1">#REF!,#REF!,#REF!,#REF!,#REF!</definedName>
    <definedName name="Z_B8A42129_8AFC_4C88_A4BF_631F42E72A3A_.wvu.Cols" localSheetId="36" hidden="1">#REF!,#REF!,#REF!,#REF!,#REF!</definedName>
    <definedName name="Z_B8A42129_8AFC_4C88_A4BF_631F42E72A3A_.wvu.Cols" hidden="1">#REF!,#REF!,#REF!,#REF!,#REF!</definedName>
    <definedName name="Z_E738B51C_56AE_4F9F_8D8A_36AD6137B90D_.wvu.Cols" localSheetId="26" hidden="1">#REF!</definedName>
    <definedName name="Z_E738B51C_56AE_4F9F_8D8A_36AD6137B90D_.wvu.Cols" localSheetId="25" hidden="1">#REF!</definedName>
    <definedName name="Z_E738B51C_56AE_4F9F_8D8A_36AD6137B90D_.wvu.Cols" localSheetId="35" hidden="1">#REF!</definedName>
    <definedName name="Z_E738B51C_56AE_4F9F_8D8A_36AD6137B90D_.wvu.Cols" localSheetId="33" hidden="1">#REF!</definedName>
    <definedName name="Z_E738B51C_56AE_4F9F_8D8A_36AD6137B90D_.wvu.Cols" localSheetId="36" hidden="1">#REF!</definedName>
    <definedName name="Z_E738B51C_56AE_4F9F_8D8A_36AD6137B90D_.wvu.Cols" hidden="1">#REF!</definedName>
    <definedName name="Z_E738B51C_56AE_4F9F_8D8A_36AD6137B90D_.wvu.PrintArea" localSheetId="26" hidden="1">#REF!</definedName>
    <definedName name="Z_E738B51C_56AE_4F9F_8D8A_36AD6137B90D_.wvu.PrintArea" localSheetId="25" hidden="1">#REF!</definedName>
    <definedName name="Z_E738B51C_56AE_4F9F_8D8A_36AD6137B90D_.wvu.PrintArea" localSheetId="35" hidden="1">#REF!</definedName>
    <definedName name="Z_E738B51C_56AE_4F9F_8D8A_36AD6137B90D_.wvu.PrintArea" localSheetId="33" hidden="1">#REF!</definedName>
    <definedName name="Z_E738B51C_56AE_4F9F_8D8A_36AD6137B90D_.wvu.PrintArea" localSheetId="36" hidden="1">#REF!</definedName>
    <definedName name="Z_E738B51C_56AE_4F9F_8D8A_36AD6137B90D_.wvu.PrintArea" hidden="1">#REF!</definedName>
    <definedName name="Z_E738B51C_56AE_4F9F_8D8A_36AD6137B90D_.wvu.PrintTitles" localSheetId="26" hidden="1">#REF!,#REF!</definedName>
    <definedName name="Z_E738B51C_56AE_4F9F_8D8A_36AD6137B90D_.wvu.PrintTitles" localSheetId="25" hidden="1">#REF!,#REF!</definedName>
    <definedName name="Z_E738B51C_56AE_4F9F_8D8A_36AD6137B90D_.wvu.PrintTitles" localSheetId="35" hidden="1">#REF!,#REF!</definedName>
    <definedName name="Z_E738B51C_56AE_4F9F_8D8A_36AD6137B90D_.wvu.PrintTitles" localSheetId="33" hidden="1">#REF!,#REF!</definedName>
    <definedName name="Z_E738B51C_56AE_4F9F_8D8A_36AD6137B90D_.wvu.PrintTitles" localSheetId="36" hidden="1">#REF!,#REF!</definedName>
    <definedName name="Z_E738B51C_56AE_4F9F_8D8A_36AD6137B90D_.wvu.PrintTitles" hidden="1">#REF!,#REF!</definedName>
    <definedName name="Z_E738B51C_56AE_4F9F_8D8A_36AD6137B90D_.wvu.Rows" localSheetId="26" hidden="1">#REF!</definedName>
    <definedName name="Z_E738B51C_56AE_4F9F_8D8A_36AD6137B90D_.wvu.Rows" localSheetId="25" hidden="1">#REF!</definedName>
    <definedName name="Z_E738B51C_56AE_4F9F_8D8A_36AD6137B90D_.wvu.Rows" localSheetId="35" hidden="1">#REF!</definedName>
    <definedName name="Z_E738B51C_56AE_4F9F_8D8A_36AD6137B90D_.wvu.Rows" localSheetId="33" hidden="1">#REF!</definedName>
    <definedName name="Z_E738B51C_56AE_4F9F_8D8A_36AD6137B90D_.wvu.Rows" localSheetId="36" hidden="1">#REF!</definedName>
    <definedName name="Z_E738B51C_56AE_4F9F_8D8A_36AD6137B90D_.wvu.Rows" hidden="1">#REF!</definedName>
    <definedName name="zczczz" localSheetId="26" hidden="1">#REF!</definedName>
    <definedName name="zczczz" localSheetId="25" hidden="1">#REF!</definedName>
    <definedName name="zczczz" localSheetId="35" hidden="1">#REF!</definedName>
    <definedName name="zczczz" localSheetId="33" hidden="1">#REF!</definedName>
    <definedName name="zczczz" localSheetId="36" hidden="1">#REF!</definedName>
    <definedName name="zczczz" hidden="1">#REF!</definedName>
    <definedName name="zdf" localSheetId="28" hidden="1">{#N/A,#N/A,TRUE,"Falcons_Standalone";#N/A,#N/A,TRUE,"Target_Input";#N/A,#N/A,TRUE,"Target_Calendarized"}</definedName>
    <definedName name="zdf" hidden="1">{#N/A,#N/A,TRUE,"Falcons_Standalone";#N/A,#N/A,TRUE,"Target_Input";#N/A,#N/A,TRUE,"Target_Calendarized"}</definedName>
    <definedName name="zdf_1" localSheetId="28" hidden="1">{#N/A,#N/A,TRUE,"Falcons_Standalone";#N/A,#N/A,TRUE,"Target_Input";#N/A,#N/A,TRUE,"Target_Calendarized"}</definedName>
    <definedName name="zdf_1" hidden="1">{#N/A,#N/A,TRUE,"Falcons_Standalone";#N/A,#N/A,TRUE,"Target_Input";#N/A,#N/A,TRUE,"Target_Calendarized"}</definedName>
    <definedName name="zdf_1_1" localSheetId="28" hidden="1">{#N/A,#N/A,TRUE,"Falcons_Standalone";#N/A,#N/A,TRUE,"Target_Input";#N/A,#N/A,TRUE,"Target_Calendarized"}</definedName>
    <definedName name="zdf_1_1" hidden="1">{#N/A,#N/A,TRUE,"Falcons_Standalone";#N/A,#N/A,TRUE,"Target_Input";#N/A,#N/A,TRUE,"Target_Calendarized"}</definedName>
    <definedName name="zz" localSheetId="28" hidden="1">{"summary1",#N/A,FALSE,"Summary of Values";"summary2",#N/A,FALSE,"Summary of Values";"weighted average returns",#N/A,FALSE,"WACC and WARA";"fixed asset detail",#N/A,FALSE,"Fixed Asset Detail"}</definedName>
    <definedName name="zz" hidden="1">{"summary1",#N/A,FALSE,"Summary of Values";"summary2",#N/A,FALSE,"Summary of Values";"weighted average returns",#N/A,FALSE,"WACC and WARA";"fixed asset detail",#N/A,FALSE,"Fixed Asset Detail"}</definedName>
    <definedName name="zz_1" localSheetId="28"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localSheetId="28"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localSheetId="28" hidden="1">{#N/A,#N/A,TRUE,"GEM Total";#N/A,#N/A,TRUE,"Final Assembly";#N/A,#N/A,TRUE,"Cleaning";#N/A,#N/A,TRUE,"Schooping,Clearing";#N/A,#N/A,TRUE,"Winding"}</definedName>
    <definedName name="zzz" hidden="1">{#N/A,#N/A,TRUE,"GEM Total";#N/A,#N/A,TRUE,"Final Assembly";#N/A,#N/A,TRUE,"Cleaning";#N/A,#N/A,TRUE,"Schooping,Clearing";#N/A,#N/A,TRUE,"Winding"}</definedName>
    <definedName name="zzz.." localSheetId="28" hidden="1">{#N/A,#N/A,TRUE,"GEM Total";#N/A,#N/A,TRUE,"Final Assembly";#N/A,#N/A,TRUE,"Cleaning";#N/A,#N/A,TRUE,"Schooping,Clearing";#N/A,#N/A,TRUE,"Winding"}</definedName>
    <definedName name="zzz.." hidden="1">{#N/A,#N/A,TRUE,"GEM Total";#N/A,#N/A,TRUE,"Final Assembly";#N/A,#N/A,TRUE,"Cleaning";#N/A,#N/A,TRUE,"Schooping,Clearing";#N/A,#N/A,TRUE,"Winding"}</definedName>
    <definedName name="zzz.._1" localSheetId="28" hidden="1">{#N/A,#N/A,TRUE,"GEM Total";#N/A,#N/A,TRUE,"Final Assembly";#N/A,#N/A,TRUE,"Cleaning";#N/A,#N/A,TRUE,"Schooping,Clearing";#N/A,#N/A,TRUE,"Winding"}</definedName>
    <definedName name="zzz.._1" hidden="1">{#N/A,#N/A,TRUE,"GEM Total";#N/A,#N/A,TRUE,"Final Assembly";#N/A,#N/A,TRUE,"Cleaning";#N/A,#N/A,TRUE,"Schooping,Clearing";#N/A,#N/A,TRUE,"Winding"}</definedName>
    <definedName name="zzz.._1_1" localSheetId="28" hidden="1">{#N/A,#N/A,TRUE,"GEM Total";#N/A,#N/A,TRUE,"Final Assembly";#N/A,#N/A,TRUE,"Cleaning";#N/A,#N/A,TRUE,"Schooping,Clearing";#N/A,#N/A,TRUE,"Winding"}</definedName>
    <definedName name="zzz.._1_1" hidden="1">{#N/A,#N/A,TRUE,"GEM Total";#N/A,#N/A,TRUE,"Final Assembly";#N/A,#N/A,TRUE,"Cleaning";#N/A,#N/A,TRUE,"Schooping,Clearing";#N/A,#N/A,TRUE,"Winding"}</definedName>
    <definedName name="zzz_1" localSheetId="28" hidden="1">{#N/A,#N/A,TRUE,"GEM Total";#N/A,#N/A,TRUE,"Final Assembly";#N/A,#N/A,TRUE,"Cleaning";#N/A,#N/A,TRUE,"Schooping,Clearing";#N/A,#N/A,TRUE,"Winding"}</definedName>
    <definedName name="zzz_1" hidden="1">{#N/A,#N/A,TRUE,"GEM Total";#N/A,#N/A,TRUE,"Final Assembly";#N/A,#N/A,TRUE,"Cleaning";#N/A,#N/A,TRUE,"Schooping,Clearing";#N/A,#N/A,TRUE,"Winding"}</definedName>
    <definedName name="zzz_1_1" localSheetId="28" hidden="1">{#N/A,#N/A,TRUE,"GEM Total";#N/A,#N/A,TRUE,"Final Assembly";#N/A,#N/A,TRUE,"Cleaning";#N/A,#N/A,TRUE,"Schooping,Clearing";#N/A,#N/A,TRUE,"Winding"}</definedName>
    <definedName name="zzz_1_1" hidden="1">{#N/A,#N/A,TRUE,"GEM Total";#N/A,#N/A,TRUE,"Final Assembly";#N/A,#N/A,TRUE,"Cleaning";#N/A,#N/A,TRUE,"Schooping,Clearing";#N/A,#N/A,TRUE,"Winding"}</definedName>
    <definedName name="zzzz" localSheetId="28" hidden="1">{#N/A,#N/A,FALSE,"431"}</definedName>
    <definedName name="zzzz" hidden="1">{#N/A,#N/A,FALSE,"431"}</definedName>
    <definedName name="zzzzzzzz" localSheetId="26" hidden="1">#REF!</definedName>
    <definedName name="zzzzzzzz" localSheetId="25" hidden="1">#REF!</definedName>
    <definedName name="zzzzzzzz" localSheetId="35" hidden="1">#REF!</definedName>
    <definedName name="zzzzzzzz" localSheetId="33" hidden="1">#REF!</definedName>
    <definedName name="zzzzzzzz" localSheetId="36" hidden="1">#REF!</definedName>
    <definedName name="zzzzzzzz" hidden="1">#REF!</definedName>
    <definedName name="㌦ﾚｰﾄ" localSheetId="26">#REF!</definedName>
    <definedName name="㌦ﾚｰﾄ" localSheetId="25">#REF!</definedName>
    <definedName name="㌦ﾚｰﾄ" localSheetId="35">#REF!</definedName>
    <definedName name="㌦ﾚｰﾄ" localSheetId="33">#REF!</definedName>
    <definedName name="㌦ﾚｰﾄ">#REF!</definedName>
    <definedName name="가나" localSheetId="28">[0]!JEPUMS*!H14:XEY1048565</definedName>
    <definedName name="가나" localSheetId="26">[0]!JEPUMS*!H14:XEY1048565</definedName>
    <definedName name="가나" localSheetId="25">[0]!JEPUMS*!H14:XEY1048565</definedName>
    <definedName name="가나" localSheetId="35">[0]!JEPUMS*!H14:XEY1048565</definedName>
    <definedName name="가나" localSheetId="33">[0]!JEPUMS*!H14:XEY1048565</definedName>
    <definedName name="가나">[0]!JEPUMS*!H14:XEY1048565</definedName>
    <definedName name="啊" localSheetId="26">#REF!</definedName>
    <definedName name="啊" localSheetId="25">#REF!</definedName>
    <definedName name="啊" localSheetId="35">#REF!</definedName>
    <definedName name="啊" localSheetId="33">#REF!</definedName>
    <definedName name="啊" localSheetId="36">#REF!</definedName>
    <definedName name="啊">#REF!</definedName>
    <definedName name="啊啊" localSheetId="26" hidden="1">#REF!</definedName>
    <definedName name="啊啊" localSheetId="25" hidden="1">#REF!</definedName>
    <definedName name="啊啊" localSheetId="35" hidden="1">#REF!</definedName>
    <definedName name="啊啊" localSheetId="33" hidden="1">#REF!</definedName>
    <definedName name="啊啊" hidden="1">#REF!</definedName>
    <definedName name="八级">区片价!$O$1:$O$40</definedName>
    <definedName name="把" localSheetId="28" hidden="1">{#N/A,#N/A,FALSE,"Virgin Flightdeck"}</definedName>
    <definedName name="把" hidden="1">{#N/A,#N/A,FALSE,"Virgin Flightdeck"}</definedName>
    <definedName name="把_1" localSheetId="28" hidden="1">{#N/A,#N/A,FALSE,"Virgin Flightdeck"}</definedName>
    <definedName name="把_1" hidden="1">{#N/A,#N/A,FALSE,"Virgin Flightdeck"}</definedName>
    <definedName name="把_1_1" localSheetId="28" hidden="1">{#N/A,#N/A,FALSE,"Virgin Flightdeck"}</definedName>
    <definedName name="把_1_1" hidden="1">{#N/A,#N/A,FALSE,"Virgin Flightdeck"}</definedName>
    <definedName name="공간" hidden="1">5</definedName>
    <definedName name="공기구" localSheetId="28">[0]!JEPUMS*!H14:XEY1048565</definedName>
    <definedName name="공기구" localSheetId="26">[0]!JEPUMS*!H14:XEY1048565</definedName>
    <definedName name="공기구" localSheetId="25">[0]!JEPUMS*!H14:XEY1048565</definedName>
    <definedName name="공기구" localSheetId="35">[0]!JEPUMS*!H14:XEY1048565</definedName>
    <definedName name="공기구" localSheetId="33">[0]!JEPUMS*!H14:XEY1048565</definedName>
    <definedName name="공기구">[0]!JEPUMS*!H14:XEY1048565</definedName>
    <definedName name="办公层高" localSheetId="28">'[1]比较法-办公'!$B$119:$M$119</definedName>
    <definedName name="办公层高" localSheetId="13">'[1]比较法-办公'!$B$119:$M$119</definedName>
    <definedName name="办公层高">'比较法-办公'!$B$119:$M$119</definedName>
    <definedName name="办公朝向" localSheetId="28">'[1]比较法-办公'!$B$91:$M$91</definedName>
    <definedName name="办公朝向" localSheetId="13">'[1]比较法-办公'!$B$91:$M$91</definedName>
    <definedName name="办公朝向">'比较法-办公'!$B$91:$M$91</definedName>
    <definedName name="办公道路级别" localSheetId="28">'[1]比较法-办公'!$B$87:$M$87</definedName>
    <definedName name="办公道路级别" localSheetId="13">'[1]比较法-办公'!$B$87:$M$87</definedName>
    <definedName name="办公道路级别">'比较法-办公'!$B$87:$M$87</definedName>
    <definedName name="办公公共部分装修" localSheetId="28">'[1]比较法-办公'!$B$108:$M$108</definedName>
    <definedName name="办公公共部分装修" localSheetId="13">'[1]比较法-办公'!$B$108:$M$108</definedName>
    <definedName name="办公公共部分装修">'比较法-办公'!$B$108:$M$108</definedName>
    <definedName name="办公基础设施水平" localSheetId="28">'[1]比较法-办公'!$B$117:$M$117</definedName>
    <definedName name="办公基础设施水平" localSheetId="13">'[1]比较法-办公'!$B$117:$M$117</definedName>
    <definedName name="办公基础设施水平">'比较法-办公'!$B$117:$M$117</definedName>
    <definedName name="办公集聚程度" localSheetId="28">[1]定义!$M$1:$M$6</definedName>
    <definedName name="办公集聚程度" localSheetId="13">[1]定义!$M$1:$M$6</definedName>
    <definedName name="办公集聚程度">定义!$M$1:$M$6</definedName>
    <definedName name="办公建筑结构" localSheetId="28">'[1]比较法-办公'!$B$106:$M$106</definedName>
    <definedName name="办公建筑结构" localSheetId="13">'[1]比较法-办公'!$B$106:$M$106</definedName>
    <definedName name="办公建筑结构">'比较法-办公'!$B$106:$M$106</definedName>
    <definedName name="办公建筑类型" localSheetId="28">'[1]比较法-办公'!$B$101:$M$101</definedName>
    <definedName name="办公建筑类型" localSheetId="13">'[1]比较法-办公'!$B$101:$M$101</definedName>
    <definedName name="办公建筑类型">'比较法-办公'!$B$101:$M$101</definedName>
    <definedName name="办公交易情况" localSheetId="28">'[1]比较法-办公'!$A$62:$M$62</definedName>
    <definedName name="办公交易情况" localSheetId="13">'[1]比较法-办公'!$A$62:$M$62</definedName>
    <definedName name="办公交易情况">'比较法-办公'!$A$62:$M$62</definedName>
    <definedName name="办公楼层" localSheetId="28">'[1]比较法-办公'!$B$89:$M$89</definedName>
    <definedName name="办公楼层" localSheetId="13">'[1]比较法-办公'!$B$89:$M$89</definedName>
    <definedName name="办公楼层">'比较法-办公'!$B$89:$M$89</definedName>
    <definedName name="办公内部装修" localSheetId="28">'[1]比较法-办公'!$B$123:$M$123</definedName>
    <definedName name="办公内部装修" localSheetId="13">'[1]比较法-办公'!$B$123:$M$123</definedName>
    <definedName name="办公内部装修">'比较法-办公'!$B$123:$M$123</definedName>
    <definedName name="办公物业管理" localSheetId="28">'[1]比较法-办公'!$B$115:$M$115</definedName>
    <definedName name="办公物业管理" localSheetId="13">'[1]比较法-办公'!$B$115:$M$115</definedName>
    <definedName name="办公物业管理">'比较法-办公'!$B$115:$M$115</definedName>
    <definedName name="办公用途" localSheetId="28">'[1]比较法-办公'!$B$64:$M$64</definedName>
    <definedName name="办公用途" localSheetId="13">'[1]比较法-办公'!$B$64:$M$64</definedName>
    <definedName name="办公用途">'比较法-办公'!$B$64:$M$64</definedName>
    <definedName name="办增1" localSheetId="26">#REF!</definedName>
    <definedName name="办增1" localSheetId="25">#REF!</definedName>
    <definedName name="办增1" localSheetId="35">#REF!</definedName>
    <definedName name="办增1" localSheetId="33">#REF!</definedName>
    <definedName name="办增1">#REF!</definedName>
    <definedName name="办增10" localSheetId="26">#REF!</definedName>
    <definedName name="办增10" localSheetId="25">#REF!</definedName>
    <definedName name="办增10" localSheetId="35">#REF!</definedName>
    <definedName name="办增10" localSheetId="33">#REF!</definedName>
    <definedName name="办增10">#REF!</definedName>
    <definedName name="办增2" localSheetId="26">#REF!</definedName>
    <definedName name="办增2" localSheetId="25">#REF!</definedName>
    <definedName name="办增2" localSheetId="35">#REF!</definedName>
    <definedName name="办增2" localSheetId="33">#REF!</definedName>
    <definedName name="办增2">#REF!</definedName>
    <definedName name="办增3" localSheetId="26">#REF!</definedName>
    <definedName name="办增3" localSheetId="25">#REF!</definedName>
    <definedName name="办增3" localSheetId="35">#REF!</definedName>
    <definedName name="办增3" localSheetId="33">#REF!</definedName>
    <definedName name="办增3">#REF!</definedName>
    <definedName name="办增4" localSheetId="26">#REF!</definedName>
    <definedName name="办增4" localSheetId="25">#REF!</definedName>
    <definedName name="办增4" localSheetId="35">#REF!</definedName>
    <definedName name="办增4" localSheetId="33">#REF!</definedName>
    <definedName name="办增4">#REF!</definedName>
    <definedName name="办增5" localSheetId="26">#REF!</definedName>
    <definedName name="办增5" localSheetId="25">#REF!</definedName>
    <definedName name="办增5" localSheetId="35">#REF!</definedName>
    <definedName name="办增5" localSheetId="33">#REF!</definedName>
    <definedName name="办增5">#REF!</definedName>
    <definedName name="办增6" localSheetId="26">#REF!</definedName>
    <definedName name="办增6" localSheetId="25">#REF!</definedName>
    <definedName name="办增6" localSheetId="35">#REF!</definedName>
    <definedName name="办增6" localSheetId="33">#REF!</definedName>
    <definedName name="办增6">#REF!</definedName>
    <definedName name="办增7" localSheetId="26">#REF!</definedName>
    <definedName name="办增7" localSheetId="25">#REF!</definedName>
    <definedName name="办增7" localSheetId="35">#REF!</definedName>
    <definedName name="办增7" localSheetId="33">#REF!</definedName>
    <definedName name="办增7">#REF!</definedName>
    <definedName name="办增8" localSheetId="26">#REF!</definedName>
    <definedName name="办增8" localSheetId="25">#REF!</definedName>
    <definedName name="办增8" localSheetId="35">#REF!</definedName>
    <definedName name="办增8" localSheetId="33">#REF!</definedName>
    <definedName name="办增8">#REF!</definedName>
    <definedName name="办增9" localSheetId="26">#REF!</definedName>
    <definedName name="办增9" localSheetId="25">#REF!</definedName>
    <definedName name="办增9" localSheetId="35">#REF!</definedName>
    <definedName name="办增9" localSheetId="33">#REF!</definedName>
    <definedName name="办增9">#REF!</definedName>
    <definedName name="구조지수" localSheetId="26">#REF!</definedName>
    <definedName name="구조지수" localSheetId="25">#REF!</definedName>
    <definedName name="구조지수" localSheetId="35">#REF!</definedName>
    <definedName name="구조지수" localSheetId="33">#REF!</definedName>
    <definedName name="구조지수">#REF!</definedName>
    <definedName name="报表" localSheetId="26">#REF!</definedName>
    <definedName name="报表" localSheetId="25">#REF!</definedName>
    <definedName name="报表" localSheetId="35">#REF!</definedName>
    <definedName name="报表" localSheetId="33">#REF!</definedName>
    <definedName name="报表" localSheetId="36">#REF!</definedName>
    <definedName name="报表">#REF!</definedName>
    <definedName name="本年利润" localSheetId="26">#REF!</definedName>
    <definedName name="本年利润" localSheetId="25">#REF!</definedName>
    <definedName name="本年利润" localSheetId="35">#REF!</definedName>
    <definedName name="本年利润" localSheetId="33">#REF!</definedName>
    <definedName name="本年利润" localSheetId="36">#REF!</definedName>
    <definedName name="本年利润">#REF!</definedName>
    <definedName name="금융상거래출자비율" localSheetId="26">#REF!</definedName>
    <definedName name="금융상거래출자비율" localSheetId="25">#REF!</definedName>
    <definedName name="금융상거래출자비율" localSheetId="35">#REF!</definedName>
    <definedName name="금융상거래출자비율" localSheetId="33">#REF!</definedName>
    <definedName name="금융상거래출자비율">#REF!</definedName>
    <definedName name="금호채권" localSheetId="26">#REF!</definedName>
    <definedName name="금호채권" localSheetId="25">#REF!</definedName>
    <definedName name="금호채권" localSheetId="35">#REF!</definedName>
    <definedName name="금호채권" localSheetId="33">#REF!</definedName>
    <definedName name="금호채권">#REF!</definedName>
    <definedName name="比例" localSheetId="26">#REF!</definedName>
    <definedName name="比例" localSheetId="25">#REF!</definedName>
    <definedName name="比例" localSheetId="35">#REF!</definedName>
    <definedName name="比例" localSheetId="33">#REF!</definedName>
    <definedName name="比例">#REF!</definedName>
    <definedName name="编号" localSheetId="26">#REF!</definedName>
    <definedName name="编号" localSheetId="25">#REF!</definedName>
    <definedName name="编号" localSheetId="35">#REF!</definedName>
    <definedName name="编号" localSheetId="33">#REF!</definedName>
    <definedName name="编号">#REF!</definedName>
    <definedName name="编号2" localSheetId="26">#REF!</definedName>
    <definedName name="编号2" localSheetId="25">#REF!</definedName>
    <definedName name="编号2" localSheetId="35">#REF!</definedName>
    <definedName name="编号2" localSheetId="33">#REF!</definedName>
    <definedName name="编号2">#REF!</definedName>
    <definedName name="变动率" localSheetId="26">#REF!</definedName>
    <definedName name="变动率" localSheetId="25">#REF!</definedName>
    <definedName name="变动率" localSheetId="35">#REF!</definedName>
    <definedName name="变动率" localSheetId="33">#REF!</definedName>
    <definedName name="变动率">#REF!</definedName>
    <definedName name="标杆" localSheetId="26">#REF!</definedName>
    <definedName name="标杆" localSheetId="25">#REF!</definedName>
    <definedName name="标杆" localSheetId="35">#REF!</definedName>
    <definedName name="标杆" localSheetId="33">#REF!</definedName>
    <definedName name="标杆">#REF!</definedName>
    <definedName name="表p" localSheetId="26">#REF!</definedName>
    <definedName name="表p" localSheetId="25">#REF!</definedName>
    <definedName name="表p" localSheetId="35">#REF!</definedName>
    <definedName name="表p" localSheetId="33">#REF!</definedName>
    <definedName name="表p">#REF!</definedName>
    <definedName name="表头" localSheetId="26">#REF!,#REF!,#REF!,#REF!</definedName>
    <definedName name="表头" localSheetId="25">#REF!,#REF!,#REF!,#REF!</definedName>
    <definedName name="表头" localSheetId="35">#REF!,#REF!,#REF!,#REF!</definedName>
    <definedName name="表头" localSheetId="33">#REF!,#REF!,#REF!,#REF!</definedName>
    <definedName name="表头">#REF!,#REF!,#REF!,#REF!</definedName>
    <definedName name="别增1" localSheetId="26">#REF!</definedName>
    <definedName name="别增1" localSheetId="25">#REF!</definedName>
    <definedName name="别增1" localSheetId="35">#REF!</definedName>
    <definedName name="别增1" localSheetId="33">#REF!</definedName>
    <definedName name="别增1">#REF!</definedName>
    <definedName name="别增10" localSheetId="26">#REF!</definedName>
    <definedName name="别增10" localSheetId="25">#REF!</definedName>
    <definedName name="别增10" localSheetId="35">#REF!</definedName>
    <definedName name="别增10" localSheetId="33">#REF!</definedName>
    <definedName name="别增10">#REF!</definedName>
    <definedName name="别增2" localSheetId="26">#REF!</definedName>
    <definedName name="别增2" localSheetId="25">#REF!</definedName>
    <definedName name="别增2" localSheetId="35">#REF!</definedName>
    <definedName name="别增2" localSheetId="33">#REF!</definedName>
    <definedName name="别增2">#REF!</definedName>
    <definedName name="别增3" localSheetId="26">#REF!</definedName>
    <definedName name="别增3" localSheetId="25">#REF!</definedName>
    <definedName name="别增3" localSheetId="35">#REF!</definedName>
    <definedName name="别增3" localSheetId="33">#REF!</definedName>
    <definedName name="别增3">#REF!</definedName>
    <definedName name="别增4" localSheetId="26">#REF!</definedName>
    <definedName name="别增4" localSheetId="25">#REF!</definedName>
    <definedName name="别增4" localSheetId="35">#REF!</definedName>
    <definedName name="别增4" localSheetId="33">#REF!</definedName>
    <definedName name="别增4">#REF!</definedName>
    <definedName name="别增5" localSheetId="26">#REF!</definedName>
    <definedName name="别增5" localSheetId="25">#REF!</definedName>
    <definedName name="别增5" localSheetId="35">#REF!</definedName>
    <definedName name="别增5" localSheetId="33">#REF!</definedName>
    <definedName name="别增5">#REF!</definedName>
    <definedName name="别增6" localSheetId="26">#REF!</definedName>
    <definedName name="别增6" localSheetId="25">#REF!</definedName>
    <definedName name="别增6" localSheetId="35">#REF!</definedName>
    <definedName name="别增6" localSheetId="33">#REF!</definedName>
    <definedName name="别增6">#REF!</definedName>
    <definedName name="别增7" localSheetId="26">#REF!</definedName>
    <definedName name="别增7" localSheetId="25">#REF!</definedName>
    <definedName name="别增7" localSheetId="35">#REF!</definedName>
    <definedName name="别增7" localSheetId="33">#REF!</definedName>
    <definedName name="别增7">#REF!</definedName>
    <definedName name="别增8" localSheetId="26">#REF!</definedName>
    <definedName name="别增8" localSheetId="25">#REF!</definedName>
    <definedName name="别增8" localSheetId="35">#REF!</definedName>
    <definedName name="别增8" localSheetId="33">#REF!</definedName>
    <definedName name="别增8">#REF!</definedName>
    <definedName name="别增9" localSheetId="26">#REF!</definedName>
    <definedName name="别增9" localSheetId="25">#REF!</definedName>
    <definedName name="别增9" localSheetId="35">#REF!</definedName>
    <definedName name="别增9" localSheetId="33">#REF!</definedName>
    <definedName name="别增9">#REF!</definedName>
    <definedName name="部门" localSheetId="26">#REF!</definedName>
    <definedName name="部门" localSheetId="25">#REF!</definedName>
    <definedName name="部门" localSheetId="35">#REF!</definedName>
    <definedName name="部门" localSheetId="33">#REF!</definedName>
    <definedName name="部门">#REF!</definedName>
    <definedName name="财务费用" localSheetId="26">#REF!</definedName>
    <definedName name="财务费用" localSheetId="25">#REF!</definedName>
    <definedName name="财务费用" localSheetId="35">#REF!</definedName>
    <definedName name="财务费用" localSheetId="33">#REF!</definedName>
    <definedName name="财务费用" localSheetId="36">#REF!</definedName>
    <definedName name="财务费用">#REF!</definedName>
    <definedName name="财务费用费率" localSheetId="26">#REF!</definedName>
    <definedName name="财务费用费率" localSheetId="25">#REF!</definedName>
    <definedName name="财务费用费率" localSheetId="35">#REF!</definedName>
    <definedName name="财务费用费率" localSheetId="33">#REF!</definedName>
    <definedName name="财务费用费率">#REF!</definedName>
    <definedName name="仓储公共部分装修" localSheetId="28">'[1]比较法-仓储'!$B$77:$M$77</definedName>
    <definedName name="仓储公共部分装修" localSheetId="13">'[1]比较法-仓储'!$B$77:$M$77</definedName>
    <definedName name="仓储公共部分装修">'比较法-仓储'!$B$77:$M$77</definedName>
    <definedName name="仓储交易情况" localSheetId="28">'[1]比较法-仓储'!$A$49:$M$49</definedName>
    <definedName name="仓储交易情况" localSheetId="13">'[1]比较法-仓储'!$A$49:$M$49</definedName>
    <definedName name="仓储交易情况">'比较法-仓储'!$A$49:$M$49</definedName>
    <definedName name="仓储楼层" localSheetId="28">'[1]比较法-仓储'!$B$69:$M$69</definedName>
    <definedName name="仓储楼层" localSheetId="13">'[1]比较法-仓储'!$B$69:$M$69</definedName>
    <definedName name="仓储楼层">'比较法-仓储'!$B$69:$M$69</definedName>
    <definedName name="仓储物业等级" localSheetId="28">'[1]比较法-仓储'!$B$82:$M$82</definedName>
    <definedName name="仓储物业等级" localSheetId="13">'[1]比较法-仓储'!$B$82:$M$82</definedName>
    <definedName name="仓储物业等级">'比较法-仓储'!$B$82:$M$82</definedName>
    <definedName name="仓储用途" localSheetId="28">'[1]比较法-仓储'!$B$51:$M$51</definedName>
    <definedName name="仓储用途" localSheetId="13">'[1]比较法-仓储'!$B$51:$M$51</definedName>
    <definedName name="仓储用途">'比较法-仓储'!$B$51:$M$51</definedName>
    <definedName name="ㄴㄹㅇㄹㅇㄴ" localSheetId="28" hidden="1">{#N/A,#N/A,FALSE,"Aging Summary";#N/A,#N/A,FALSE,"Ratio Analysis";#N/A,#N/A,FALSE,"Test 120 Day Accts";#N/A,#N/A,FALSE,"Tickmarks"}</definedName>
    <definedName name="ㄴㄹㅇㄹㅇㄴ" hidden="1">{#N/A,#N/A,FALSE,"Aging Summary";#N/A,#N/A,FALSE,"Ratio Analysis";#N/A,#N/A,FALSE,"Test 120 Day Accts";#N/A,#N/A,FALSE,"Tickmarks"}</definedName>
    <definedName name="나도몰라" localSheetId="26">#REF!</definedName>
    <definedName name="나도몰라" localSheetId="25">#REF!</definedName>
    <definedName name="나도몰라" localSheetId="35">#REF!</definedName>
    <definedName name="나도몰라" localSheetId="33">#REF!</definedName>
    <definedName name="나도몰라">#REF!</definedName>
    <definedName name="拆迁费用" localSheetId="26">#REF!</definedName>
    <definedName name="拆迁费用" localSheetId="25">#REF!</definedName>
    <definedName name="拆迁费用" localSheetId="35">#REF!</definedName>
    <definedName name="拆迁费用" localSheetId="33">#REF!</definedName>
    <definedName name="拆迁费用">#REF!</definedName>
    <definedName name="产业集聚程度" localSheetId="28">[1]定义!$N$1:$N$6</definedName>
    <definedName name="产业集聚程度" localSheetId="13">[1]定义!$N$1:$N$6</definedName>
    <definedName name="产业集聚程度">定义!$N$1:$N$6</definedName>
    <definedName name="长期借款" localSheetId="26">#REF!</definedName>
    <definedName name="长期借款" localSheetId="25">#REF!</definedName>
    <definedName name="长期借款" localSheetId="35">#REF!</definedName>
    <definedName name="长期借款" localSheetId="33">#REF!</definedName>
    <definedName name="长期借款" localSheetId="36">#REF!</definedName>
    <definedName name="长期借款">#REF!</definedName>
    <definedName name="长期投资" localSheetId="26">#REF!</definedName>
    <definedName name="长期投资" localSheetId="25">#REF!</definedName>
    <definedName name="长期投资" localSheetId="35">#REF!</definedName>
    <definedName name="长期投资" localSheetId="33">#REF!</definedName>
    <definedName name="长期投资" localSheetId="36">#REF!</definedName>
    <definedName name="长期投资">#REF!</definedName>
    <definedName name="长期应付款" localSheetId="26">#REF!</definedName>
    <definedName name="长期应付款" localSheetId="25">#REF!</definedName>
    <definedName name="长期应付款" localSheetId="35">#REF!</definedName>
    <definedName name="长期应付款" localSheetId="33">#REF!</definedName>
    <definedName name="长期应付款" localSheetId="36">#REF!</definedName>
    <definedName name="长期应付款">#REF!</definedName>
    <definedName name="償却単価" localSheetId="26">#REF!</definedName>
    <definedName name="償却単価" localSheetId="25">#REF!</definedName>
    <definedName name="償却単価" localSheetId="35">#REF!</definedName>
    <definedName name="償却単価" localSheetId="33">#REF!</definedName>
    <definedName name="償却単価">#REF!</definedName>
    <definedName name="车位公共部分装修" localSheetId="28">'[1]比较法-车位'!$B$83:$M$83</definedName>
    <definedName name="车位公共部分装修" localSheetId="13">'[1]比较法-车位'!$B$83:$M$83</definedName>
    <definedName name="车位公共部分装修">'比较法-车位'!$B$83:$M$83</definedName>
    <definedName name="车位交易情况" localSheetId="28">'[1]比较法-车位'!$A$51:$M$51</definedName>
    <definedName name="车位交易情况" localSheetId="13">'[1]比较法-车位'!$A$51:$M$51</definedName>
    <definedName name="车位交易情况">'比较法-车位'!$A$51:$M$51</definedName>
    <definedName name="车位类型" localSheetId="28">'[1]比较法-车位'!$B$93:$M$93</definedName>
    <definedName name="车位类型" localSheetId="13">'[1]比较法-车位'!$B$93:$M$93</definedName>
    <definedName name="车位类型">'比较法-车位'!$B$93:$M$93</definedName>
    <definedName name="车位楼层" localSheetId="28">'[1]比较法-车位'!$B$71:$M$71</definedName>
    <definedName name="车位楼层" localSheetId="13">'[1]比较法-车位'!$B$71:$M$71</definedName>
    <definedName name="车位楼层">'比较法-车位'!$B$71:$M$71</definedName>
    <definedName name="车位配套类型" localSheetId="28">'[1]比较法-车位'!$B$79:$M$79</definedName>
    <definedName name="车位配套类型" localSheetId="13">'[1]比较法-车位'!$B$79:$M$79</definedName>
    <definedName name="车位配套类型">'比较法-车位'!$B$79:$M$79</definedName>
    <definedName name="车位物业等级" localSheetId="28">'[1]比较法-车位'!$B$88:$M$88</definedName>
    <definedName name="车位物业等级" localSheetId="13">'[1]比较法-车位'!$B$88:$M$88</definedName>
    <definedName name="车位物业等级">'比较法-车位'!$B$88:$M$88</definedName>
    <definedName name="车位用途" localSheetId="28">'[1]比较法-车位'!$B$53:$M$53</definedName>
    <definedName name="车位用途" localSheetId="13">'[1]比较法-车位'!$B$53:$M$53</definedName>
    <definedName name="车位用途">'比较法-车位'!$B$53:$M$53</definedName>
    <definedName name="成本变动率" localSheetId="26">#REF!</definedName>
    <definedName name="成本变动率" localSheetId="25">#REF!</definedName>
    <definedName name="成本变动率" localSheetId="35">#REF!</definedName>
    <definedName name="成本变动率" localSheetId="33">#REF!</definedName>
    <definedName name="成本变动率">#REF!</definedName>
    <definedName name="成本差" localSheetId="26" hidden="1">#REF!</definedName>
    <definedName name="成本差" localSheetId="25" hidden="1">#REF!</definedName>
    <definedName name="成本差" localSheetId="35" hidden="1">#REF!</definedName>
    <definedName name="成本差" localSheetId="33" hidden="1">#REF!</definedName>
    <definedName name="成本差" localSheetId="36" hidden="1">#REF!</definedName>
    <definedName name="成本差" hidden="1">#REF!</definedName>
    <definedName name="成本科目" localSheetId="26">#REF!</definedName>
    <definedName name="成本科目" localSheetId="25">#REF!</definedName>
    <definedName name="成本科目" localSheetId="35">#REF!</definedName>
    <definedName name="成本科目" localSheetId="33">#REF!</definedName>
    <definedName name="成本科目">#REF!</definedName>
    <definedName name="城建税" localSheetId="26">#REF!</definedName>
    <definedName name="城建税" localSheetId="25">#REF!</definedName>
    <definedName name="城建税" localSheetId="35">#REF!</definedName>
    <definedName name="城建税" localSheetId="33">#REF!</definedName>
    <definedName name="城建税">#REF!</definedName>
    <definedName name="城镇土地纳税等级分级范围" localSheetId="28">'[1]数据-取费表'!$A$53:$A$63</definedName>
    <definedName name="城镇土地纳税等级分级范围" localSheetId="13">'[1]数据-取费表'!$A$53:$A$63</definedName>
    <definedName name="城镇土地纳税等级分级范围">'数据-取费表'!$A$53:$A$63</definedName>
    <definedName name="ㄷㄷ" localSheetId="2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26">#REF!</definedName>
    <definedName name="筹建期间汇兑收益" localSheetId="25">#REF!</definedName>
    <definedName name="筹建期间汇兑收益" localSheetId="35">#REF!</definedName>
    <definedName name="筹建期间汇兑收益" localSheetId="33">#REF!</definedName>
    <definedName name="筹建期间汇兑收益" localSheetId="36">#REF!</definedName>
    <definedName name="筹建期间汇兑收益">#REF!</definedName>
    <definedName name="筹建期间汇兑损失" localSheetId="26">#REF!</definedName>
    <definedName name="筹建期间汇兑损失" localSheetId="25">#REF!</definedName>
    <definedName name="筹建期间汇兑损失" localSheetId="35">#REF!</definedName>
    <definedName name="筹建期间汇兑损失" localSheetId="33">#REF!</definedName>
    <definedName name="筹建期间汇兑损失" localSheetId="36">#REF!</definedName>
    <definedName name="筹建期间汇兑损失">#REF!</definedName>
    <definedName name="出口成本" localSheetId="26">#REF!</definedName>
    <definedName name="出口成本" localSheetId="25">#REF!</definedName>
    <definedName name="出口成本" localSheetId="35">#REF!</definedName>
    <definedName name="出口成本" localSheetId="33">#REF!</definedName>
    <definedName name="出口成本" localSheetId="36">#REF!</definedName>
    <definedName name="出口成本">#REF!</definedName>
    <definedName name="出口收入" localSheetId="26">#REF!</definedName>
    <definedName name="出口收入" localSheetId="25">#REF!</definedName>
    <definedName name="出口收入" localSheetId="35">#REF!</definedName>
    <definedName name="出口收入" localSheetId="33">#REF!</definedName>
    <definedName name="出口收入" localSheetId="36">#REF!</definedName>
    <definedName name="出口收入">#REF!</definedName>
    <definedName name="初期１" localSheetId="26">#REF!</definedName>
    <definedName name="初期１" localSheetId="25">#REF!</definedName>
    <definedName name="初期１" localSheetId="35">#REF!</definedName>
    <definedName name="初期１" localSheetId="33">#REF!</definedName>
    <definedName name="初期１">#REF!</definedName>
    <definedName name="初期２" localSheetId="26">#REF!</definedName>
    <definedName name="初期２" localSheetId="25">#REF!</definedName>
    <definedName name="初期２" localSheetId="35">#REF!</definedName>
    <definedName name="初期２" localSheetId="33">#REF!</definedName>
    <definedName name="初期２">#REF!</definedName>
    <definedName name="初期３" localSheetId="26">#REF!</definedName>
    <definedName name="初期３" localSheetId="25">#REF!</definedName>
    <definedName name="初期３" localSheetId="35">#REF!</definedName>
    <definedName name="初期３" localSheetId="33">#REF!</definedName>
    <definedName name="初期３">#REF!</definedName>
    <definedName name="初期４" localSheetId="26">#REF!</definedName>
    <definedName name="初期４" localSheetId="25">#REF!</definedName>
    <definedName name="初期４" localSheetId="35">#REF!</definedName>
    <definedName name="初期４" localSheetId="33">#REF!</definedName>
    <definedName name="初期４">#REF!</definedName>
    <definedName name="도서" localSheetId="26">#REF!</definedName>
    <definedName name="도서" localSheetId="25">#REF!</definedName>
    <definedName name="도서" localSheetId="35">#REF!</definedName>
    <definedName name="도서" localSheetId="33">#REF!</definedName>
    <definedName name="도서">#REF!</definedName>
    <definedName name="存货" localSheetId="26">#REF!</definedName>
    <definedName name="存货" localSheetId="25">#REF!</definedName>
    <definedName name="存货" localSheetId="35">#REF!</definedName>
    <definedName name="存货" localSheetId="33">#REF!</definedName>
    <definedName name="存货" localSheetId="36">#REF!</definedName>
    <definedName name="存货">#REF!</definedName>
    <definedName name="存货变现损失准备" localSheetId="26">#REF!</definedName>
    <definedName name="存货变现损失准备" localSheetId="25">#REF!</definedName>
    <definedName name="存货变现损失准备" localSheetId="35">#REF!</definedName>
    <definedName name="存货变现损失准备" localSheetId="33">#REF!</definedName>
    <definedName name="存货变现损失准备" localSheetId="36">#REF!</definedName>
    <definedName name="存货变现损失准备">#REF!</definedName>
    <definedName name="大配套费" localSheetId="26">#REF!</definedName>
    <definedName name="大配套费" localSheetId="25">#REF!</definedName>
    <definedName name="大配套费" localSheetId="35">#REF!</definedName>
    <definedName name="大配套费" localSheetId="33">#REF!</definedName>
    <definedName name="大配套费">#REF!</definedName>
    <definedName name="待处理固定资产净损失" localSheetId="26">#REF!</definedName>
    <definedName name="待处理固定资产净损失" localSheetId="25">#REF!</definedName>
    <definedName name="待处理固定资产净损失" localSheetId="35">#REF!</definedName>
    <definedName name="待处理固定资产净损失" localSheetId="33">#REF!</definedName>
    <definedName name="待处理固定资产净损失" localSheetId="36">#REF!</definedName>
    <definedName name="待处理固定资产净损失">#REF!</definedName>
    <definedName name="待处理流动资产净损失" localSheetId="26">#REF!</definedName>
    <definedName name="待处理流动资产净损失" localSheetId="25">#REF!</definedName>
    <definedName name="待处理流动资产净损失" localSheetId="35">#REF!</definedName>
    <definedName name="待处理流动资产净损失" localSheetId="33">#REF!</definedName>
    <definedName name="待处理流动资产净损失" localSheetId="36">#REF!</definedName>
    <definedName name="待处理流动资产净损失">#REF!</definedName>
    <definedName name="待摊费用" localSheetId="26">#REF!</definedName>
    <definedName name="待摊费用" localSheetId="25">#REF!</definedName>
    <definedName name="待摊费用" localSheetId="35">#REF!</definedName>
    <definedName name="待摊费用" localSheetId="33">#REF!</definedName>
    <definedName name="待摊费用" localSheetId="36">#REF!</definedName>
    <definedName name="待摊费用">#REF!</definedName>
    <definedName name="待转销汇兑收益" localSheetId="26">#REF!</definedName>
    <definedName name="待转销汇兑收益" localSheetId="25">#REF!</definedName>
    <definedName name="待转销汇兑收益" localSheetId="35">#REF!</definedName>
    <definedName name="待转销汇兑收益" localSheetId="33">#REF!</definedName>
    <definedName name="待转销汇兑收益" localSheetId="36">#REF!</definedName>
    <definedName name="待转销汇兑收益">#REF!</definedName>
    <definedName name="贷款印花税" localSheetId="26">#REF!</definedName>
    <definedName name="贷款印花税" localSheetId="25">#REF!</definedName>
    <definedName name="贷款印花税" localSheetId="35">#REF!</definedName>
    <definedName name="贷款印花税" localSheetId="33">#REF!</definedName>
    <definedName name="贷款印花税">#REF!</definedName>
    <definedName name="贷款营业税" localSheetId="26">#REF!</definedName>
    <definedName name="贷款营业税" localSheetId="25">#REF!</definedName>
    <definedName name="贷款营业税" localSheetId="35">#REF!</definedName>
    <definedName name="贷款营业税" localSheetId="33">#REF!</definedName>
    <definedName name="贷款营业税">#REF!</definedName>
    <definedName name="单价内涵" localSheetId="28">[1]定义!$V$1:$V$3</definedName>
    <definedName name="单价内涵" localSheetId="13">[1]定义!$V$1:$V$3</definedName>
    <definedName name="单价内涵">定义!$V$1:$V$3</definedName>
    <definedName name="当前明细帐" localSheetId="26">#REF!</definedName>
    <definedName name="当前明细帐" localSheetId="25">#REF!</definedName>
    <definedName name="当前明细帐" localSheetId="35">#REF!</definedName>
    <definedName name="当前明细帐" localSheetId="33">#REF!</definedName>
    <definedName name="当前明细帐">#REF!</definedName>
    <definedName name="堤围费" localSheetId="26">#REF!</definedName>
    <definedName name="堤围费" localSheetId="25">#REF!</definedName>
    <definedName name="堤围费" localSheetId="35">#REF!</definedName>
    <definedName name="堤围费" localSheetId="33">#REF!</definedName>
    <definedName name="堤围费">#REF!</definedName>
    <definedName name="地对地导弹" localSheetId="26">#REF!</definedName>
    <definedName name="地对地导弹" localSheetId="25">#REF!</definedName>
    <definedName name="地对地导弹" localSheetId="35">#REF!</definedName>
    <definedName name="地对地导弹" localSheetId="33">#REF!</definedName>
    <definedName name="地对地导弹">#REF!</definedName>
    <definedName name="地类判定" localSheetId="28">[1]定义!$H$1:$H$9</definedName>
    <definedName name="地类判定" localSheetId="13">[1]定义!$H$1:$H$9</definedName>
    <definedName name="地类判定">定义!$H$1:$H$9</definedName>
    <definedName name="地下室总建面" localSheetId="26">#REF!</definedName>
    <definedName name="地下室总建面" localSheetId="25">#REF!</definedName>
    <definedName name="地下室总建面" localSheetId="35">#REF!</definedName>
    <definedName name="地下室总建面" localSheetId="33">#REF!</definedName>
    <definedName name="地下室总建面">#REF!</definedName>
    <definedName name="递延税款贷项" localSheetId="26">#REF!</definedName>
    <definedName name="递延税款贷项" localSheetId="25">#REF!</definedName>
    <definedName name="递延税款贷项" localSheetId="35">#REF!</definedName>
    <definedName name="递延税款贷项" localSheetId="33">#REF!</definedName>
    <definedName name="递延税款贷项" localSheetId="36">#REF!</definedName>
    <definedName name="递延税款贷项">#REF!</definedName>
    <definedName name="递延税款借项" localSheetId="26">#REF!</definedName>
    <definedName name="递延税款借项" localSheetId="25">#REF!</definedName>
    <definedName name="递延税款借项" localSheetId="35">#REF!</definedName>
    <definedName name="递延税款借项" localSheetId="33">#REF!</definedName>
    <definedName name="递延税款借项" localSheetId="36">#REF!</definedName>
    <definedName name="递延税款借项">#REF!</definedName>
    <definedName name="递延投资收益" localSheetId="26">#REF!</definedName>
    <definedName name="递延投资收益" localSheetId="25">#REF!</definedName>
    <definedName name="递延投资收益" localSheetId="35">#REF!</definedName>
    <definedName name="递延投资收益" localSheetId="33">#REF!</definedName>
    <definedName name="递延投资收益" localSheetId="36">#REF!</definedName>
    <definedName name="递延投资收益">#REF!</definedName>
    <definedName name="递延投资损失" localSheetId="26">#REF!</definedName>
    <definedName name="递延投资损失" localSheetId="25">#REF!</definedName>
    <definedName name="递延投资损失" localSheetId="35">#REF!</definedName>
    <definedName name="递延投资损失" localSheetId="33">#REF!</definedName>
    <definedName name="递延投资损失" localSheetId="36">#REF!</definedName>
    <definedName name="递延投资损失">#REF!</definedName>
    <definedName name="递延资产" localSheetId="26">#REF!</definedName>
    <definedName name="递延资产" localSheetId="25">#REF!</definedName>
    <definedName name="递延资产" localSheetId="35">#REF!</definedName>
    <definedName name="递延资产" localSheetId="33">#REF!</definedName>
    <definedName name="递延资产" localSheetId="36">#REF!</definedName>
    <definedName name="递延资产">#REF!</definedName>
    <definedName name="店舗" localSheetId="26">#REF!</definedName>
    <definedName name="店舗" localSheetId="25">#REF!</definedName>
    <definedName name="店舗" localSheetId="35">#REF!</definedName>
    <definedName name="店舗" localSheetId="33">#REF!</definedName>
    <definedName name="店舗">#REF!</definedName>
    <definedName name="ㄹㄴㅇㄹ"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6">#REF!</definedName>
    <definedName name="라" localSheetId="25">#REF!</definedName>
    <definedName name="라" localSheetId="35">#REF!</definedName>
    <definedName name="라" localSheetId="33">#REF!</definedName>
    <definedName name="라">#REF!</definedName>
    <definedName name="러ㅏㅇ" localSheetId="2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26">#REF!</definedName>
    <definedName name="短期借款" localSheetId="25">#REF!</definedName>
    <definedName name="短期借款" localSheetId="35">#REF!</definedName>
    <definedName name="短期借款" localSheetId="33">#REF!</definedName>
    <definedName name="短期借款" localSheetId="36">#REF!</definedName>
    <definedName name="短期借款">#REF!</definedName>
    <definedName name="短期投资" localSheetId="26">#REF!</definedName>
    <definedName name="短期投资" localSheetId="25">#REF!</definedName>
    <definedName name="短期投资" localSheetId="35">#REF!</definedName>
    <definedName name="短期投资" localSheetId="33">#REF!</definedName>
    <definedName name="短期投资" localSheetId="36">#REF!</definedName>
    <definedName name="短期投资">#REF!</definedName>
    <definedName name="对方单位" localSheetId="26">#REF!</definedName>
    <definedName name="对方单位" localSheetId="25">#REF!</definedName>
    <definedName name="对方单位" localSheetId="35">#REF!</definedName>
    <definedName name="对方单位" localSheetId="33">#REF!</definedName>
    <definedName name="对方单位">#REF!</definedName>
    <definedName name="ㄺ" localSheetId="28" hidden="1">{#N/A,#N/A,FALSE,"Aging Summary";#N/A,#N/A,FALSE,"Ratio Analysis";#N/A,#N/A,FALSE,"Test 120 Day Accts";#N/A,#N/A,FALSE,"Tickmarks"}</definedName>
    <definedName name="ㄺ" hidden="1">{#N/A,#N/A,FALSE,"Aging Summary";#N/A,#N/A,FALSE,"Ratio Analysis";#N/A,#N/A,FALSE,"Test 120 Day Accts";#N/A,#N/A,FALSE,"Tickmarks"}</definedName>
    <definedName name="尔" localSheetId="28" hidden="1">{"'Z3-1'!$B$9:$I$29"}</definedName>
    <definedName name="尔" hidden="1">{"'Z3-1'!$B$9:$I$29"}</definedName>
    <definedName name="ㅁ1" localSheetId="26">#REF!</definedName>
    <definedName name="ㅁ1" localSheetId="25">#REF!</definedName>
    <definedName name="ㅁ1" localSheetId="35">#REF!</definedName>
    <definedName name="ㅁ1" localSheetId="33">#REF!</definedName>
    <definedName name="ㅁ1">#REF!</definedName>
    <definedName name="ㅁㅁㅁ"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 localSheetId="28">[1]修正!$C$17:$C$39</definedName>
    <definedName name="二级分类" localSheetId="13">[1]修正!$C$17:$C$39</definedName>
    <definedName name="二级分类">修正!$C$17:$C$39</definedName>
    <definedName name="二期" localSheetId="26">#REF!</definedName>
    <definedName name="二期" localSheetId="25">#REF!</definedName>
    <definedName name="二期" localSheetId="35">#REF!</definedName>
    <definedName name="二期" localSheetId="33">#REF!</definedName>
    <definedName name="二期">#REF!</definedName>
    <definedName name="二期装修" localSheetId="26">#REF!</definedName>
    <definedName name="二期装修" localSheetId="25">#REF!</definedName>
    <definedName name="二期装修" localSheetId="35">#REF!</definedName>
    <definedName name="二期装修" localSheetId="33">#REF!</definedName>
    <definedName name="二期装修">#REF!</definedName>
    <definedName name="法定最高年限" localSheetId="28">[1]定义!$G$1:$G$4</definedName>
    <definedName name="法定最高年限" localSheetId="13">[1]定义!$G$1:$G$4</definedName>
    <definedName name="法定最高年限">定义!$G$1:$G$4</definedName>
    <definedName name="法人税" localSheetId="26">#REF!</definedName>
    <definedName name="法人税" localSheetId="25">#REF!</definedName>
    <definedName name="法人税" localSheetId="35">#REF!</definedName>
    <definedName name="法人税" localSheetId="33">#REF!</definedName>
    <definedName name="法人税">#REF!</definedName>
    <definedName name="泛华余额05" localSheetId="26">#REF!</definedName>
    <definedName name="泛华余额05" localSheetId="25">#REF!</definedName>
    <definedName name="泛华余额05" localSheetId="35">#REF!</definedName>
    <definedName name="泛华余额05" localSheetId="33">#REF!</definedName>
    <definedName name="泛华余额05" localSheetId="36">#REF!</definedName>
    <definedName name="泛华余额05">#REF!</definedName>
    <definedName name="모르" localSheetId="26">#REF!</definedName>
    <definedName name="모르" localSheetId="25">#REF!</definedName>
    <definedName name="모르" localSheetId="35">#REF!</definedName>
    <definedName name="모르" localSheetId="33">#REF!</definedName>
    <definedName name="모르">#REF!</definedName>
    <definedName name="费用" localSheetId="26" hidden="1">#REF!</definedName>
    <definedName name="费用" localSheetId="25" hidden="1">#REF!</definedName>
    <definedName name="费用" localSheetId="35" hidden="1">#REF!</definedName>
    <definedName name="费用" localSheetId="33" hidden="1">#REF!</definedName>
    <definedName name="费用" localSheetId="36" hidden="1">#REF!</definedName>
    <definedName name="费用" hidden="1">#REF!</definedName>
    <definedName name="分１" localSheetId="26">#REF!</definedName>
    <definedName name="分１" localSheetId="25">#REF!</definedName>
    <definedName name="分１" localSheetId="35">#REF!</definedName>
    <definedName name="分１" localSheetId="33">#REF!</definedName>
    <definedName name="分１">#REF!</definedName>
    <definedName name="分２" localSheetId="26">#REF!</definedName>
    <definedName name="分２" localSheetId="25">#REF!</definedName>
    <definedName name="分２" localSheetId="35">#REF!</definedName>
    <definedName name="分２" localSheetId="33">#REF!</definedName>
    <definedName name="分２">#REF!</definedName>
    <definedName name="分考課" localSheetId="26">#REF!</definedName>
    <definedName name="分考課" localSheetId="25">#REF!</definedName>
    <definedName name="分考課" localSheetId="35">#REF!</definedName>
    <definedName name="分考課" localSheetId="33">#REF!</definedName>
    <definedName name="分考課">#REF!</definedName>
    <definedName name="分仲介" localSheetId="26">#REF!</definedName>
    <definedName name="分仲介" localSheetId="25">#REF!</definedName>
    <definedName name="分仲介" localSheetId="35">#REF!</definedName>
    <definedName name="分仲介" localSheetId="33">#REF!</definedName>
    <definedName name="分仲介">#REF!</definedName>
    <definedName name="무형자산" localSheetId="26">#REF!</definedName>
    <definedName name="무형자산" localSheetId="25">#REF!</definedName>
    <definedName name="무형자산" localSheetId="35">#REF!</definedName>
    <definedName name="무형자산" localSheetId="33">#REF!</definedName>
    <definedName name="무형자산">#REF!</definedName>
    <definedName name="미수이자1" localSheetId="26" hidden="1">#REF!</definedName>
    <definedName name="미수이자1" localSheetId="25" hidden="1">#REF!</definedName>
    <definedName name="미수이자1" localSheetId="35" hidden="1">#REF!</definedName>
    <definedName name="미수이자1" localSheetId="33" hidden="1">#REF!</definedName>
    <definedName name="미수이자1" hidden="1">#REF!</definedName>
    <definedName name="ㅂㅁ" localSheetId="26">#REF!</definedName>
    <definedName name="ㅂㅁ" localSheetId="25">#REF!</definedName>
    <definedName name="ㅂㅁ" localSheetId="35">#REF!</definedName>
    <definedName name="ㅂㅁ" localSheetId="33">#REF!</definedName>
    <definedName name="ㅂㅁ">#REF!</definedName>
    <definedName name="ㅂㅂㅂ"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8">[0]!JEPUMS*!H14:XEY1048565</definedName>
    <definedName name="ㅂㅂㅂㅂ" localSheetId="26">[0]!JEPUMS*!H14:XEY1048565</definedName>
    <definedName name="ㅂㅂㅂㅂ" localSheetId="25">[0]!JEPUMS*!H14:XEY1048565</definedName>
    <definedName name="ㅂㅂㅂㅂ" localSheetId="35">[0]!JEPUMS*!H14:XEY1048565</definedName>
    <definedName name="ㅂㅂㅂㅂ" localSheetId="33">[0]!JEPUMS*!H14:XEY1048565</definedName>
    <definedName name="ㅂㅂㅂㅂ">[0]!JEPUMS*!H14:XEY1048565</definedName>
    <definedName name="ㅂㅈㄷ" hidden="1">"C0168M47EQ82J0CS1RJ7NZD0U"</definedName>
    <definedName name="富民余额" localSheetId="26">#REF!</definedName>
    <definedName name="富民余额" localSheetId="25">#REF!</definedName>
    <definedName name="富民余额" localSheetId="35">#REF!</definedName>
    <definedName name="富民余额" localSheetId="33">#REF!</definedName>
    <definedName name="富民余额" localSheetId="36">#REF!</definedName>
    <definedName name="富民余额">#REF!</definedName>
    <definedName name="배분1차다" localSheetId="26">#REF!</definedName>
    <definedName name="배분1차다" localSheetId="25">#REF!</definedName>
    <definedName name="배분1차다" localSheetId="35">#REF!</definedName>
    <definedName name="배분1차다" localSheetId="33">#REF!</definedName>
    <definedName name="배분1차다">#REF!</definedName>
    <definedName name="改良投资" localSheetId="26">#REF!</definedName>
    <definedName name="改良投资" localSheetId="25">#REF!</definedName>
    <definedName name="改良投资" localSheetId="35">#REF!</definedName>
    <definedName name="改良投资" localSheetId="33">#REF!</definedName>
    <definedName name="改良投资">#REF!</definedName>
    <definedName name="별도합산" localSheetId="26">#REF!</definedName>
    <definedName name="별도합산" localSheetId="25">#REF!</definedName>
    <definedName name="별도합산" localSheetId="35">#REF!</definedName>
    <definedName name="별도합산" localSheetId="33">#REF!</definedName>
    <definedName name="별도합산">#REF!</definedName>
    <definedName name="별도합산세" localSheetId="26">#REF!</definedName>
    <definedName name="별도합산세" localSheetId="25">#REF!</definedName>
    <definedName name="별도합산세" localSheetId="35">#REF!</definedName>
    <definedName name="별도합산세" localSheetId="33">#REF!</definedName>
    <definedName name="별도합산세">#REF!</definedName>
    <definedName name="보증담보개시전이자" localSheetId="26">#REF!</definedName>
    <definedName name="보증담보개시전이자" localSheetId="25">#REF!</definedName>
    <definedName name="보증담보개시전이자" localSheetId="35">#REF!</definedName>
    <definedName name="보증담보개시전이자" localSheetId="33">#REF!</definedName>
    <definedName name="보증담보개시전이자">#REF!</definedName>
    <definedName name="복리" localSheetId="26">#REF!</definedName>
    <definedName name="복리" localSheetId="25">#REF!</definedName>
    <definedName name="복리" localSheetId="35">#REF!</definedName>
    <definedName name="복리" localSheetId="33">#REF!</definedName>
    <definedName name="복리">#REF!</definedName>
    <definedName name="个" localSheetId="26">#REF!</definedName>
    <definedName name="个" localSheetId="25">#REF!</definedName>
    <definedName name="个" localSheetId="35">#REF!</definedName>
    <definedName name="个" localSheetId="33">#REF!</definedName>
    <definedName name="个">#REF!</definedName>
    <definedName name="부외부채" localSheetId="26">#REF!</definedName>
    <definedName name="부외부채" localSheetId="25">#REF!</definedName>
    <definedName name="부외부채" localSheetId="35">#REF!</definedName>
    <definedName name="부외부채" localSheetId="33">#REF!</definedName>
    <definedName name="부외부채">#REF!</definedName>
    <definedName name="분리과세액" localSheetId="26">#REF!</definedName>
    <definedName name="분리과세액" localSheetId="25">#REF!</definedName>
    <definedName name="분리과세액" localSheetId="35">#REF!</definedName>
    <definedName name="분리과세액" localSheetId="33">#REF!</definedName>
    <definedName name="분리과세액">#REF!</definedName>
    <definedName name="工程" localSheetId="26">#REF!</definedName>
    <definedName name="工程" localSheetId="25">#REF!</definedName>
    <definedName name="工程" localSheetId="35">#REF!</definedName>
    <definedName name="工程" localSheetId="33">#REF!</definedName>
    <definedName name="工程">#REF!</definedName>
    <definedName name="工会经费Book" localSheetId="26">#REF!</definedName>
    <definedName name="工会经费Book" localSheetId="25">#REF!</definedName>
    <definedName name="工会经费Book" localSheetId="35">#REF!</definedName>
    <definedName name="工会经费Book" localSheetId="33">#REF!</definedName>
    <definedName name="工会经费Book" localSheetId="36">#REF!</definedName>
    <definedName name="工会经费Book">#REF!</definedName>
    <definedName name="工业公共部分装修" localSheetId="28">'[1]比较法-工业'!$B$95:$M$95</definedName>
    <definedName name="工业公共部分装修" localSheetId="13">'[1]比较法-工业'!$B$95:$M$95</definedName>
    <definedName name="工业公共部分装修">'比较法-工业'!$B$95:$M$95</definedName>
    <definedName name="工业基础设施水平" localSheetId="28">'[1]比较法-工业'!$B$102:$M$102</definedName>
    <definedName name="工业基础设施水平" localSheetId="13">'[1]比较法-工业'!$B$102:$M$102</definedName>
    <definedName name="工业基础设施水平">'比较法-工业'!$B$102:$M$102</definedName>
    <definedName name="工业建筑结构" localSheetId="28">'[1]比较法-工业'!$B$93:$M$93</definedName>
    <definedName name="工业建筑结构" localSheetId="13">'[1]比较法-工业'!$B$93:$M$93</definedName>
    <definedName name="工业建筑结构">'比较法-工业'!$B$93:$M$93</definedName>
    <definedName name="工业建筑类型" localSheetId="28">'[1]比较法-工业'!$B$88:$M$88</definedName>
    <definedName name="工业建筑类型" localSheetId="13">'[1]比较法-工业'!$B$88:$M$88</definedName>
    <definedName name="工业建筑类型">'比较法-工业'!$B$88:$M$88</definedName>
    <definedName name="工业交易情况" localSheetId="28">'[1]比较法-工业'!$A$55:$M$55</definedName>
    <definedName name="工业交易情况" localSheetId="13">'[1]比较法-工业'!$A$55:$M$55</definedName>
    <definedName name="工业交易情况">'比较法-工业'!$A$55:$M$55</definedName>
    <definedName name="工业内部装修" localSheetId="28">'[1]比较法-工业'!$B$104:$M$104</definedName>
    <definedName name="工业内部装修" localSheetId="13">'[1]比较法-工业'!$B$104:$M$104</definedName>
    <definedName name="工业内部装修">'比较法-工业'!$B$104:$M$104</definedName>
    <definedName name="工业物业管理" localSheetId="28">'[1]比较法-工业'!$B$100:$M$100</definedName>
    <definedName name="工业物业管理" localSheetId="13">'[1]比较法-工业'!$B$100:$M$100</definedName>
    <definedName name="工业物业管理">'比较法-工业'!$B$100:$M$100</definedName>
    <definedName name="工业用途" localSheetId="28">'[1]比较法-工业'!$B$57:$M$57</definedName>
    <definedName name="工业用途" localSheetId="13">'[1]比较法-工业'!$B$57:$M$57</definedName>
    <definedName name="工业用途">'比较法-工业'!$B$57:$M$57</definedName>
    <definedName name="公共配套设施" localSheetId="28">[1]定义!$Q$1:$Q$6</definedName>
    <definedName name="公共配套设施" localSheetId="13">[1]定义!$Q$1:$Q$6</definedName>
    <definedName name="公共配套设施">定义!$Q$1:$Q$6</definedName>
    <definedName name="公益金" localSheetId="26">#REF!</definedName>
    <definedName name="公益金" localSheetId="25">#REF!</definedName>
    <definedName name="公益金" localSheetId="35">#REF!</definedName>
    <definedName name="公益金" localSheetId="33">#REF!</definedName>
    <definedName name="公益金" localSheetId="36">#REF!</definedName>
    <definedName name="公益金">#REF!</definedName>
    <definedName name="公寓成本分摊" localSheetId="28" hidden="1">{"已付情况表",#N/A,FALSE,"成本测算 (3)";"折算各货币成本",#N/A,FALSE,"成本测算 (3)"}</definedName>
    <definedName name="公寓成本分摊" hidden="1">{"已付情况表",#N/A,FALSE,"成本测算 (3)";"折算各货币成本",#N/A,FALSE,"成本测算 (3)"}</definedName>
    <definedName name="公寓出租" localSheetId="26">#REF!</definedName>
    <definedName name="公寓出租" localSheetId="25">#REF!</definedName>
    <definedName name="公寓出租" localSheetId="35">#REF!</definedName>
    <definedName name="公寓出租" localSheetId="33">#REF!</definedName>
    <definedName name="公寓出租">#REF!</definedName>
    <definedName name="购入价" localSheetId="26">#REF!</definedName>
    <definedName name="购入价" localSheetId="25">#REF!</definedName>
    <definedName name="购入价" localSheetId="35">#REF!</definedName>
    <definedName name="购入价" localSheetId="33">#REF!</definedName>
    <definedName name="购入价">#REF!</definedName>
    <definedName name="估价方法" localSheetId="28">[1]定义!$B$1:$B$50</definedName>
    <definedName name="估价方法" localSheetId="13">[1]定义!$B$1:$B$50</definedName>
    <definedName name="估价方法">定义!$B$1:$B$50</definedName>
    <definedName name="股本" localSheetId="26">#REF!</definedName>
    <definedName name="股本" localSheetId="25">#REF!</definedName>
    <definedName name="股本" localSheetId="35">#REF!</definedName>
    <definedName name="股本" localSheetId="33">#REF!</definedName>
    <definedName name="股本" localSheetId="36">#REF!</definedName>
    <definedName name="股本">#REF!</definedName>
    <definedName name="股权交易印花税" localSheetId="26">#REF!</definedName>
    <definedName name="股权交易印花税" localSheetId="25">#REF!</definedName>
    <definedName name="股权交易印花税" localSheetId="35">#REF!</definedName>
    <definedName name="股权交易印花税" localSheetId="33">#REF!</definedName>
    <definedName name="股权交易印花税">#REF!</definedName>
    <definedName name="固定资产清单" localSheetId="26">#REF!</definedName>
    <definedName name="固定资产清单" localSheetId="25">#REF!</definedName>
    <definedName name="固定资产清单" localSheetId="35">#REF!</definedName>
    <definedName name="固定资产清单" localSheetId="33">#REF!</definedName>
    <definedName name="固定资产清单" localSheetId="36">#REF!</definedName>
    <definedName name="固定资产清单">#REF!</definedName>
    <definedName name="固定资产清理" localSheetId="26">#REF!</definedName>
    <definedName name="固定资产清理" localSheetId="25">#REF!</definedName>
    <definedName name="固定资产清理" localSheetId="35">#REF!</definedName>
    <definedName name="固定资产清理" localSheetId="33">#REF!</definedName>
    <definedName name="固定资产清理" localSheetId="36">#REF!</definedName>
    <definedName name="固定资产清理">#REF!</definedName>
    <definedName name="固定资产原值" localSheetId="26">#REF!</definedName>
    <definedName name="固定资产原值" localSheetId="25">#REF!</definedName>
    <definedName name="固定资产原值" localSheetId="35">#REF!</definedName>
    <definedName name="固定资产原值" localSheetId="33">#REF!</definedName>
    <definedName name="固定资产原值" localSheetId="36">#REF!</definedName>
    <definedName name="固定资产原值">#REF!</definedName>
    <definedName name="管理" localSheetId="26">#REF!</definedName>
    <definedName name="管理" localSheetId="25">#REF!</definedName>
    <definedName name="管理" localSheetId="35">#REF!</definedName>
    <definedName name="管理" localSheetId="33">#REF!</definedName>
    <definedName name="管理">#REF!</definedName>
    <definedName name="管理费用" localSheetId="26">#REF!</definedName>
    <definedName name="管理费用" localSheetId="25">#REF!</definedName>
    <definedName name="管理费用" localSheetId="35">#REF!</definedName>
    <definedName name="管理费用" localSheetId="33">#REF!</definedName>
    <definedName name="管理费用" localSheetId="36">#REF!</definedName>
    <definedName name="管理费用">#REF!</definedName>
    <definedName name="管理费用费率" localSheetId="26">#REF!</definedName>
    <definedName name="管理费用费率" localSheetId="25">#REF!</definedName>
    <definedName name="管理费用费率" localSheetId="35">#REF!</definedName>
    <definedName name="管理费用费率" localSheetId="33">#REF!</definedName>
    <definedName name="管理费用费率">#REF!</definedName>
    <definedName name="管理费用年末" localSheetId="26">#REF!</definedName>
    <definedName name="管理费用年末" localSheetId="25">#REF!</definedName>
    <definedName name="管理费用年末" localSheetId="35">#REF!</definedName>
    <definedName name="管理费用年末" localSheetId="33">#REF!</definedName>
    <definedName name="管理费用年末" localSheetId="36">#REF!</definedName>
    <definedName name="管理费用年末">#REF!</definedName>
    <definedName name="光熱" localSheetId="26">#REF!</definedName>
    <definedName name="光熱" localSheetId="25">#REF!</definedName>
    <definedName name="光熱" localSheetId="35">#REF!</definedName>
    <definedName name="光熱" localSheetId="33">#REF!</definedName>
    <definedName name="光熱">#REF!</definedName>
    <definedName name="広告" localSheetId="26">#REF!</definedName>
    <definedName name="広告" localSheetId="25">#REF!</definedName>
    <definedName name="広告" localSheetId="35">#REF!</definedName>
    <definedName name="広告" localSheetId="33">#REF!</definedName>
    <definedName name="広告">#REF!</definedName>
    <definedName name="毫毫毫" localSheetId="28" hidden="1">{"'毛利比较'!$A$4:$P$26"}</definedName>
    <definedName name="毫毫毫" hidden="1">{"'毛利比较'!$A$4:$P$26"}</definedName>
    <definedName name="合同编号" localSheetId="26">#REF!</definedName>
    <definedName name="合同编号" localSheetId="25">#REF!</definedName>
    <definedName name="合同编号" localSheetId="35">#REF!</definedName>
    <definedName name="合同编号" localSheetId="33">#REF!</definedName>
    <definedName name="合同编号">#REF!</definedName>
    <definedName name="合同付款情况清单" localSheetId="26">#REF!</definedName>
    <definedName name="合同付款情况清单" localSheetId="25">#REF!</definedName>
    <definedName name="合同付款情况清单" localSheetId="35">#REF!</definedName>
    <definedName name="合同付款情况清单" localSheetId="33">#REF!</definedName>
    <definedName name="合同付款情况清单">#REF!</definedName>
    <definedName name="合同累计付款金额" localSheetId="26">#REF!</definedName>
    <definedName name="合同累计付款金额" localSheetId="25">#REF!</definedName>
    <definedName name="合同累计付款金额" localSheetId="35">#REF!</definedName>
    <definedName name="合同累计付款金额" localSheetId="33">#REF!</definedName>
    <definedName name="合同累计付款金额">#REF!</definedName>
    <definedName name="合同名称_2">#N/A</definedName>
    <definedName name="合同名称_3">#N/A</definedName>
    <definedName name="合同名称_5">#N/A</definedName>
    <definedName name="合同未付款金额" localSheetId="26">#REF!</definedName>
    <definedName name="合同未付款金额" localSheetId="25">#REF!</definedName>
    <definedName name="合同未付款金额" localSheetId="35">#REF!</definedName>
    <definedName name="合同未付款金额" localSheetId="33">#REF!</definedName>
    <definedName name="合同未付款金额">#REF!</definedName>
    <definedName name="상1" localSheetId="26">#REF!</definedName>
    <definedName name="상1" localSheetId="25">#REF!</definedName>
    <definedName name="상1" localSheetId="35">#REF!</definedName>
    <definedName name="상1" localSheetId="33">#REF!</definedName>
    <definedName name="상1">#REF!</definedName>
    <definedName name="상2" localSheetId="26">#REF!</definedName>
    <definedName name="상2" localSheetId="25">#REF!</definedName>
    <definedName name="상2" localSheetId="35">#REF!</definedName>
    <definedName name="상2" localSheetId="33">#REF!</definedName>
    <definedName name="상2">#REF!</definedName>
    <definedName name="상4" localSheetId="26">#REF!</definedName>
    <definedName name="상4" localSheetId="25">#REF!</definedName>
    <definedName name="상4" localSheetId="35">#REF!</definedName>
    <definedName name="상4" localSheetId="33">#REF!</definedName>
    <definedName name="상4">#REF!</definedName>
    <definedName name="상5" localSheetId="26">#REF!</definedName>
    <definedName name="상5" localSheetId="25">#REF!</definedName>
    <definedName name="상5" localSheetId="35">#REF!</definedName>
    <definedName name="상5" localSheetId="33">#REF!</definedName>
    <definedName name="상5">#REF!</definedName>
    <definedName name="상거래2차변제" localSheetId="26">#REF!</definedName>
    <definedName name="상거래2차변제" localSheetId="25">#REF!</definedName>
    <definedName name="상거래2차변제" localSheetId="35">#REF!</definedName>
    <definedName name="상거래2차변제" localSheetId="33">#REF!</definedName>
    <definedName name="상거래2차변제">#REF!</definedName>
    <definedName name="상거래출자비율" localSheetId="26">#REF!</definedName>
    <definedName name="상거래출자비율" localSheetId="25">#REF!</definedName>
    <definedName name="상거래출자비율" localSheetId="35">#REF!</definedName>
    <definedName name="상거래출자비율" localSheetId="33">#REF!</definedName>
    <definedName name="상거래출자비율">#REF!</definedName>
    <definedName name="새한채권" localSheetId="26">#REF!</definedName>
    <definedName name="새한채권" localSheetId="25">#REF!</definedName>
    <definedName name="새한채권" localSheetId="35">#REF!</definedName>
    <definedName name="새한채권" localSheetId="33">#REF!</definedName>
    <definedName name="새한채권">#REF!</definedName>
    <definedName name="宏">"CommandButton1"</definedName>
    <definedName name="생활관" localSheetId="26">#REF!</definedName>
    <definedName name="생활관" localSheetId="25">#REF!</definedName>
    <definedName name="생활관" localSheetId="35">#REF!</definedName>
    <definedName name="생활관" localSheetId="33">#REF!</definedName>
    <definedName name="생활관">#REF!</definedName>
    <definedName name="서울보증채권" localSheetId="26">#REF!</definedName>
    <definedName name="서울보증채권" localSheetId="25">#REF!</definedName>
    <definedName name="서울보증채권" localSheetId="35">#REF!</definedName>
    <definedName name="서울보증채권" localSheetId="33">#REF!</definedName>
    <definedName name="서울보증채권">#REF!</definedName>
    <definedName name="서현점" localSheetId="26">#REF!</definedName>
    <definedName name="서현점" localSheetId="25">#REF!</definedName>
    <definedName name="서현점" localSheetId="35">#REF!</definedName>
    <definedName name="서현점" localSheetId="33">#REF!</definedName>
    <definedName name="서현점">#REF!</definedName>
    <definedName name="선급비용" localSheetId="26">#REF!</definedName>
    <definedName name="선급비용" localSheetId="25">#REF!</definedName>
    <definedName name="선급비용" localSheetId="35">#REF!</definedName>
    <definedName name="선급비용" localSheetId="33">#REF!</definedName>
    <definedName name="선급비용">#REF!</definedName>
    <definedName name="선수금2" localSheetId="26">#REF!</definedName>
    <definedName name="선수금2" localSheetId="25">#REF!</definedName>
    <definedName name="선수금2" localSheetId="35">#REF!</definedName>
    <definedName name="선수금2" localSheetId="33">#REF!</definedName>
    <definedName name="선수금2">#REF!</definedName>
    <definedName name="세금유형" localSheetId="26">#REF!</definedName>
    <definedName name="세금유형" localSheetId="25">#REF!</definedName>
    <definedName name="세금유형" localSheetId="35">#REF!</definedName>
    <definedName name="세금유형" localSheetId="33">#REF!</definedName>
    <definedName name="세금유형">#REF!</definedName>
    <definedName name="세금종류" localSheetId="26">#REF!</definedName>
    <definedName name="세금종류" localSheetId="25">#REF!</definedName>
    <definedName name="세금종류" localSheetId="35">#REF!</definedName>
    <definedName name="세금종류" localSheetId="33">#REF!</definedName>
    <definedName name="세금종류">#REF!</definedName>
    <definedName name="세율" localSheetId="26">#REF!</definedName>
    <definedName name="세율" localSheetId="25">#REF!</definedName>
    <definedName name="세율" localSheetId="35">#REF!</definedName>
    <definedName name="세율" localSheetId="33">#REF!</definedName>
    <definedName name="세율">#REF!</definedName>
    <definedName name="戸平均" localSheetId="26">#REF!</definedName>
    <definedName name="戸平均" localSheetId="25">#REF!</definedName>
    <definedName name="戸平均" localSheetId="35">#REF!</definedName>
    <definedName name="戸平均" localSheetId="33">#REF!</definedName>
    <definedName name="戸平均">#REF!</definedName>
    <definedName name="손익" localSheetId="26">#REF!</definedName>
    <definedName name="손익" localSheetId="25">#REF!</definedName>
    <definedName name="손익" localSheetId="35">#REF!</definedName>
    <definedName name="손익" localSheetId="33">#REF!</definedName>
    <definedName name="손익">#REF!</definedName>
    <definedName name="손익계산서200312" localSheetId="26">#REF!</definedName>
    <definedName name="손익계산서200312" localSheetId="25">#REF!</definedName>
    <definedName name="손익계산서200312" localSheetId="35">#REF!</definedName>
    <definedName name="손익계산서200312" localSheetId="33">#REF!</definedName>
    <definedName name="손익계산서200312">#REF!</definedName>
    <definedName name="坏帐准备" localSheetId="26">#REF!</definedName>
    <definedName name="坏帐准备" localSheetId="25">#REF!</definedName>
    <definedName name="坏帐准备" localSheetId="35">#REF!</definedName>
    <definedName name="坏帐准备" localSheetId="33">#REF!</definedName>
    <definedName name="坏帐准备" localSheetId="36">#REF!</definedName>
    <definedName name="坏帐准备">#REF!</definedName>
    <definedName name="环境" localSheetId="28">[1]定义!$S$1:$S$6</definedName>
    <definedName name="环境" localSheetId="13">[1]定义!$S$1:$S$6</definedName>
    <definedName name="环境">定义!$S$1:$S$6</definedName>
    <definedName name="수산업채권" localSheetId="26">#REF!</definedName>
    <definedName name="수산업채권" localSheetId="25">#REF!</definedName>
    <definedName name="수산업채권" localSheetId="35">#REF!</definedName>
    <definedName name="수산업채권" localSheetId="33">#REF!</definedName>
    <definedName name="수산업채권">#REF!</definedName>
    <definedName name="수질" localSheetId="26">#REF!</definedName>
    <definedName name="수질" localSheetId="25">#REF!</definedName>
    <definedName name="수질" localSheetId="35">#REF!</definedName>
    <definedName name="수질" localSheetId="33">#REF!</definedName>
    <definedName name="수질">#REF!</definedName>
    <definedName name="순천킴스" localSheetId="26">#REF!</definedName>
    <definedName name="순천킴스" localSheetId="25">#REF!</definedName>
    <definedName name="순천킴스" localSheetId="35">#REF!</definedName>
    <definedName name="순천킴스" localSheetId="33">#REF!</definedName>
    <definedName name="순천킴스">#REF!</definedName>
    <definedName name="숫자" localSheetId="28">[0]!JEPUMS*!H14:XEY1048565</definedName>
    <definedName name="숫자" localSheetId="26">[0]!JEPUMS*!H14:XEY1048565</definedName>
    <definedName name="숫자" localSheetId="25">[0]!JEPUMS*!H14:XEY1048565</definedName>
    <definedName name="숫자" localSheetId="35">[0]!JEPUMS*!H14:XEY1048565</definedName>
    <definedName name="숫자" localSheetId="33">[0]!JEPUMS*!H14:XEY1048565</definedName>
    <definedName name="숫자">[0]!JEPUMS*!H14:XEY1048565</definedName>
    <definedName name="汇兑损失" localSheetId="26">#REF!</definedName>
    <definedName name="汇兑损失" localSheetId="25">#REF!</definedName>
    <definedName name="汇兑损失" localSheetId="35">#REF!</definedName>
    <definedName name="汇兑损失" localSheetId="33">#REF!</definedName>
    <definedName name="汇兑损失" localSheetId="36">#REF!</definedName>
    <definedName name="汇兑损失">#REF!</definedName>
    <definedName name="活动总结" localSheetId="26" hidden="1">#REF!</definedName>
    <definedName name="活动总结" localSheetId="25" hidden="1">#REF!</definedName>
    <definedName name="活动总结" localSheetId="35" hidden="1">#REF!</definedName>
    <definedName name="活动总结" localSheetId="33" hidden="1">#REF!</definedName>
    <definedName name="活动总结" localSheetId="36" hidden="1">#REF!</definedName>
    <definedName name="活动总结" hidden="1">#REF!</definedName>
    <definedName name="货币资金" localSheetId="26">#REF!</definedName>
    <definedName name="货币资金" localSheetId="25">#REF!</definedName>
    <definedName name="货币资金" localSheetId="35">#REF!</definedName>
    <definedName name="货币资金" localSheetId="33">#REF!</definedName>
    <definedName name="货币资金" localSheetId="36">#REF!</definedName>
    <definedName name="货币资金">#REF!</definedName>
    <definedName name="基础设施水平" localSheetId="28">[1]定义!$R$1:$R$6</definedName>
    <definedName name="基础设施水平" localSheetId="13">[1]定义!$R$1:$R$6</definedName>
    <definedName name="基础设施水平">定义!$R$1:$R$6</definedName>
    <definedName name="基数" localSheetId="26">#REF!</definedName>
    <definedName name="基数" localSheetId="25">#REF!</definedName>
    <definedName name="基数" localSheetId="35">#REF!</definedName>
    <definedName name="基数" localSheetId="33">#REF!</definedName>
    <definedName name="基数">#REF!</definedName>
    <definedName name="基准收益" localSheetId="26">#REF!</definedName>
    <definedName name="基准收益" localSheetId="25">#REF!</definedName>
    <definedName name="基准收益" localSheetId="35">#REF!</definedName>
    <definedName name="基准收益" localSheetId="33">#REF!</definedName>
    <definedName name="基准收益">#REF!</definedName>
    <definedName name="集团往来余额表" localSheetId="26">#REF!</definedName>
    <definedName name="集团往来余额表" localSheetId="25">#REF!</definedName>
    <definedName name="集团往来余额表" localSheetId="35">#REF!</definedName>
    <definedName name="集团往来余额表" localSheetId="33">#REF!</definedName>
    <definedName name="集团往来余额表" localSheetId="36">#REF!</definedName>
    <definedName name="集团往来余额表">#REF!</definedName>
    <definedName name="计容面积" localSheetId="26">#REF!</definedName>
    <definedName name="计容面积" localSheetId="25">#REF!</definedName>
    <definedName name="计容面积" localSheetId="35">#REF!</definedName>
    <definedName name="计容面积" localSheetId="33">#REF!</definedName>
    <definedName name="计容面积">#REF!</definedName>
    <definedName name="计提坏帐准备" localSheetId="26">#REF!</definedName>
    <definedName name="计提坏帐准备" localSheetId="25">#REF!</definedName>
    <definedName name="计提坏帐准备" localSheetId="35">#REF!</definedName>
    <definedName name="计提坏帐准备" localSheetId="33">#REF!</definedName>
    <definedName name="计提坏帐准备" localSheetId="36">#REF!</definedName>
    <definedName name="计提坏帐准备">#REF!</definedName>
    <definedName name="季度">基准地价修正!$Q$19:$AD$19</definedName>
    <definedName name="家具" localSheetId="26">#REF!</definedName>
    <definedName name="家具" localSheetId="25">#REF!</definedName>
    <definedName name="家具" localSheetId="35">#REF!</definedName>
    <definedName name="家具" localSheetId="33">#REF!</definedName>
    <definedName name="家具">#REF!</definedName>
    <definedName name="价格变动率" localSheetId="26">#REF!</definedName>
    <definedName name="价格变动率" localSheetId="25">#REF!</definedName>
    <definedName name="价格变动率" localSheetId="35">#REF!</definedName>
    <definedName name="价格变动率" localSheetId="33">#REF!</definedName>
    <definedName name="价格变动率">#REF!</definedName>
    <definedName name="价值类型2" localSheetId="28">[1]定义!$B$54:$B$56</definedName>
    <definedName name="价值类型2" localSheetId="13">[1]定义!$B$54:$B$56</definedName>
    <definedName name="价值类型2">定义!$B$54:$B$56</definedName>
    <definedName name="ㅇㅇㄴ" localSheetId="28">BlankMacro1</definedName>
    <definedName name="ㅇㅇㄴ" localSheetId="26">BlankMacro1</definedName>
    <definedName name="ㅇㅇㄴ" localSheetId="25">BlankMacro1</definedName>
    <definedName name="ㅇㅇㄴ" localSheetId="35">BlankMacro1</definedName>
    <definedName name="ㅇㅇㄴ" localSheetId="33">BlankMacro1</definedName>
    <definedName name="ㅇㅇㄴ">BlankMacro1</definedName>
    <definedName name="ㅏㅓㅓ" localSheetId="26">#REF!</definedName>
    <definedName name="ㅏㅓㅓ" localSheetId="25">#REF!</definedName>
    <definedName name="ㅏㅓㅓ" localSheetId="35">#REF!</definedName>
    <definedName name="ㅏㅓㅓ" localSheetId="33">#REF!</definedName>
    <definedName name="ㅏㅓㅓ">#REF!</definedName>
    <definedName name="ㅓ" localSheetId="26">#REF!</definedName>
    <definedName name="ㅓ" localSheetId="25">#REF!</definedName>
    <definedName name="ㅓ" localSheetId="35">#REF!</definedName>
    <definedName name="ㅓ" localSheetId="33">#REF!</definedName>
    <definedName name="ㅓ">#REF!</definedName>
    <definedName name="ㅓㅓㅓ" localSheetId="26">#REF!</definedName>
    <definedName name="ㅓㅓㅓ" localSheetId="25">#REF!</definedName>
    <definedName name="ㅓㅓㅓ" localSheetId="35">#REF!</definedName>
    <definedName name="ㅓㅓㅓ" localSheetId="33">#REF!</definedName>
    <definedName name="ㅓㅓㅓ">#REF!</definedName>
    <definedName name="ㅗㄹ호" localSheetId="2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6">#REF!</definedName>
    <definedName name="ㅣㅣ" localSheetId="25">#REF!</definedName>
    <definedName name="ㅣㅣ" localSheetId="35">#REF!</definedName>
    <definedName name="ㅣㅣ" localSheetId="33">#REF!</definedName>
    <definedName name="ㅣㅣ">#REF!</definedName>
    <definedName name="ㅣㅣㅣ" hidden="1">25</definedName>
    <definedName name="아세아채권" localSheetId="26">#REF!</definedName>
    <definedName name="아세아채권" localSheetId="25">#REF!</definedName>
    <definedName name="아세아채권" localSheetId="35">#REF!</definedName>
    <definedName name="아세아채권" localSheetId="33">#REF!</definedName>
    <definedName name="아세아채권">#REF!</definedName>
    <definedName name="안전본봉" localSheetId="26">#REF!</definedName>
    <definedName name="안전본봉" localSheetId="25">#REF!</definedName>
    <definedName name="안전본봉" localSheetId="35">#REF!</definedName>
    <definedName name="안전본봉" localSheetId="33">#REF!</definedName>
    <definedName name="안전본봉">#REF!</definedName>
    <definedName name="建面原価" localSheetId="26">#REF!</definedName>
    <definedName name="建面原価" localSheetId="25">#REF!</definedName>
    <definedName name="建面原価" localSheetId="35">#REF!</definedName>
    <definedName name="建面原価" localSheetId="33">#REF!</definedName>
    <definedName name="建面原価">#REF!</definedName>
    <definedName name="建築面積" localSheetId="26">#REF!</definedName>
    <definedName name="建築面積" localSheetId="25">#REF!</definedName>
    <definedName name="建築面積" localSheetId="35">#REF!</definedName>
    <definedName name="建築面積" localSheetId="33">#REF!</definedName>
    <definedName name="建築面積">#REF!</definedName>
    <definedName name="에너지비용산출근거" localSheetId="28">BlankMacro1</definedName>
    <definedName name="에너지비용산출근거" localSheetId="26">BlankMacro1</definedName>
    <definedName name="에너지비용산출근거" localSheetId="25">BlankMacro1</definedName>
    <definedName name="에너지비용산출근거" localSheetId="35">BlankMacro1</definedName>
    <definedName name="에너지비용산출근거" localSheetId="33">BlankMacro1</definedName>
    <definedName name="에너지비용산출근거">BlankMacro1</definedName>
    <definedName name="交际应酬费" localSheetId="26">#REF!</definedName>
    <definedName name="交际应酬费" localSheetId="25">#REF!</definedName>
    <definedName name="交际应酬费" localSheetId="35">#REF!</definedName>
    <definedName name="交际应酬费" localSheetId="33">#REF!</definedName>
    <definedName name="交际应酬费" localSheetId="36">#REF!</definedName>
    <definedName name="交际应酬费">#REF!</definedName>
    <definedName name="交际应酬费计税调整数" localSheetId="26">#REF!</definedName>
    <definedName name="交际应酬费计税调整数" localSheetId="25">#REF!</definedName>
    <definedName name="交际应酬费计税调整数" localSheetId="35">#REF!</definedName>
    <definedName name="交际应酬费计税调整数" localSheetId="33">#REF!</definedName>
    <definedName name="交际应酬费计税调整数" localSheetId="36">#REF!</definedName>
    <definedName name="交际应酬费计税调整数">#REF!</definedName>
    <definedName name="交际应酬费实际发生额" localSheetId="26">#REF!</definedName>
    <definedName name="交际应酬费实际发生额" localSheetId="25">#REF!</definedName>
    <definedName name="交际应酬费实际发生额" localSheetId="35">#REF!</definedName>
    <definedName name="交际应酬费实际发生额" localSheetId="33">#REF!</definedName>
    <definedName name="交际应酬费实际发生额" localSheetId="36">#REF!</definedName>
    <definedName name="交际应酬费实际发生额">#REF!</definedName>
    <definedName name="交通便捷度" localSheetId="28">[1]定义!$O$1:$O$6</definedName>
    <definedName name="交通便捷度" localSheetId="13">[1]定义!$O$1:$O$6</definedName>
    <definedName name="交通便捷度">定义!$O$1:$O$6</definedName>
    <definedName name="예" localSheetId="26">#REF!</definedName>
    <definedName name="예" localSheetId="25">#REF!</definedName>
    <definedName name="예" localSheetId="35">#REF!</definedName>
    <definedName name="예" localSheetId="33">#REF!</definedName>
    <definedName name="예">#REF!</definedName>
    <definedName name="예수보증금내꺼" localSheetId="26">#REF!</definedName>
    <definedName name="예수보증금내꺼" localSheetId="25">#REF!</definedName>
    <definedName name="예수보증금내꺼" localSheetId="35">#REF!</definedName>
    <definedName name="예수보증금내꺼" localSheetId="33">#REF!</definedName>
    <definedName name="예수보증금내꺼">#REF!</definedName>
    <definedName name="오알" localSheetId="26">#REF!</definedName>
    <definedName name="오알" localSheetId="25">#REF!</definedName>
    <definedName name="오알" localSheetId="35">#REF!</definedName>
    <definedName name="오알" localSheetId="33">#REF!</definedName>
    <definedName name="오알">#REF!</definedName>
    <definedName name="완성주태" localSheetId="26">#REF!</definedName>
    <definedName name="완성주태" localSheetId="25">#REF!</definedName>
    <definedName name="완성주태" localSheetId="35">#REF!</definedName>
    <definedName name="완성주태" localSheetId="33">#REF!</definedName>
    <definedName name="완성주태">#REF!</definedName>
    <definedName name="완성주택" localSheetId="26">#REF!</definedName>
    <definedName name="완성주택" localSheetId="25">#REF!</definedName>
    <definedName name="완성주택" localSheetId="35">#REF!</definedName>
    <definedName name="완성주택" localSheetId="33">#REF!</definedName>
    <definedName name="완성주택">#REF!</definedName>
    <definedName name="외환채권" localSheetId="26">#REF!</definedName>
    <definedName name="외환채권" localSheetId="25">#REF!</definedName>
    <definedName name="외환채권" localSheetId="35">#REF!</definedName>
    <definedName name="외환채권" localSheetId="33">#REF!</definedName>
    <definedName name="외환채권">#REF!</definedName>
    <definedName name="节点计划" localSheetId="26">#REF!</definedName>
    <definedName name="节点计划" localSheetId="25">#REF!</definedName>
    <definedName name="节点计划" localSheetId="35">#REF!</definedName>
    <definedName name="节点计划" localSheetId="33">#REF!</definedName>
    <definedName name="节点计划">#REF!</definedName>
    <definedName name="용" localSheetId="26">#REF!</definedName>
    <definedName name="용" localSheetId="25">#REF!</definedName>
    <definedName name="용" localSheetId="35">#REF!</definedName>
    <definedName name="용" localSheetId="33">#REF!</definedName>
    <definedName name="용">#REF!</definedName>
    <definedName name="용도지수" localSheetId="26">#REF!</definedName>
    <definedName name="용도지수" localSheetId="25">#REF!</definedName>
    <definedName name="용도지수" localSheetId="35">#REF!</definedName>
    <definedName name="용도지수" localSheetId="33">#REF!</definedName>
    <definedName name="용도지수">#REF!</definedName>
    <definedName name="원가">#N/A</definedName>
    <definedName name="원본2" localSheetId="26" hidden="1">#REF!</definedName>
    <definedName name="원본2" localSheetId="25" hidden="1">#REF!</definedName>
    <definedName name="원본2" localSheetId="35" hidden="1">#REF!</definedName>
    <definedName name="원본2" localSheetId="33" hidden="1">#REF!</definedName>
    <definedName name="원본2" hidden="1">#REF!</definedName>
    <definedName name="金利１" localSheetId="26">#REF!</definedName>
    <definedName name="金利１" localSheetId="25">#REF!</definedName>
    <definedName name="金利１" localSheetId="35">#REF!</definedName>
    <definedName name="金利１" localSheetId="33">#REF!</definedName>
    <definedName name="金利１">#REF!</definedName>
    <definedName name="金利２" localSheetId="26">#REF!</definedName>
    <definedName name="金利２" localSheetId="25">#REF!</definedName>
    <definedName name="金利２" localSheetId="35">#REF!</definedName>
    <definedName name="金利２" localSheetId="33">#REF!</definedName>
    <definedName name="金利２">#REF!</definedName>
    <definedName name="金利３" localSheetId="26">#REF!</definedName>
    <definedName name="金利３" localSheetId="25">#REF!</definedName>
    <definedName name="金利３" localSheetId="35">#REF!</definedName>
    <definedName name="金利３" localSheetId="33">#REF!</definedName>
    <definedName name="金利３">#REF!</definedName>
    <definedName name="金利４" localSheetId="26">#REF!</definedName>
    <definedName name="金利４" localSheetId="25">#REF!</definedName>
    <definedName name="金利４" localSheetId="35">#REF!</definedName>
    <definedName name="金利４" localSheetId="33">#REF!</definedName>
    <definedName name="金利４">#REF!</definedName>
    <definedName name="위치지수" localSheetId="26">#REF!</definedName>
    <definedName name="위치지수" localSheetId="25">#REF!</definedName>
    <definedName name="위치지수" localSheetId="35">#REF!</definedName>
    <definedName name="위치지수" localSheetId="33">#REF!</definedName>
    <definedName name="위치지수">#REF!</definedName>
    <definedName name="유가" localSheetId="26">#REF!</definedName>
    <definedName name="유가" localSheetId="25">#REF!</definedName>
    <definedName name="유가" localSheetId="35">#REF!</definedName>
    <definedName name="유가" localSheetId="33">#REF!</definedName>
    <definedName name="유가">#REF!</definedName>
    <definedName name="유가증권" localSheetId="28" hidden="1">{#N/A,#N/A,FALSE,"Aging Summary";#N/A,#N/A,FALSE,"Ratio Analysis";#N/A,#N/A,FALSE,"Test 120 Day Accts";#N/A,#N/A,FALSE,"Tickmarks"}</definedName>
    <definedName name="유가증권" hidden="1">{#N/A,#N/A,FALSE,"Aging Summary";#N/A,#N/A,FALSE,"Ratio Analysis";#N/A,#N/A,FALSE,"Test 120 Day Accts";#N/A,#N/A,FALSE,"Tickmarks"}</definedName>
    <definedName name="经济" localSheetId="26">#REF!</definedName>
    <definedName name="经济" localSheetId="25">#REF!</definedName>
    <definedName name="经济" localSheetId="35">#REF!</definedName>
    <definedName name="经济" localSheetId="33">#REF!</definedName>
    <definedName name="经济">#REF!</definedName>
    <definedName name="이공구가설비" localSheetId="26">#REF!</definedName>
    <definedName name="이공구가설비" localSheetId="25">#REF!</definedName>
    <definedName name="이공구가설비" localSheetId="35">#REF!</definedName>
    <definedName name="이공구가설비" localSheetId="33">#REF!</definedName>
    <definedName name="이공구가설비">#REF!</definedName>
    <definedName name="이공구공사원가" localSheetId="26">#REF!</definedName>
    <definedName name="이공구공사원가" localSheetId="25">#REF!</definedName>
    <definedName name="이공구공사원가" localSheetId="35">#REF!</definedName>
    <definedName name="이공구공사원가" localSheetId="33">#REF!</definedName>
    <definedName name="이공구공사원가">#REF!</definedName>
    <definedName name="이공구안전관리비" localSheetId="26">#REF!</definedName>
    <definedName name="이공구안전관리비" localSheetId="25">#REF!</definedName>
    <definedName name="이공구안전관리비" localSheetId="35">#REF!</definedName>
    <definedName name="이공구안전관리비" localSheetId="33">#REF!</definedName>
    <definedName name="이공구안전관리비">#REF!</definedName>
    <definedName name="이공구일반관리비" localSheetId="26">#REF!</definedName>
    <definedName name="이공구일반관리비" localSheetId="25">#REF!</definedName>
    <definedName name="이공구일반관리비" localSheetId="35">#REF!</definedName>
    <definedName name="이공구일반관리비" localSheetId="33">#REF!</definedName>
    <definedName name="이공구일반관리비">#REF!</definedName>
    <definedName name="이읏ㄷ" localSheetId="28" hidden="1">{#N/A,#N/A,FALSE,"손익표지";#N/A,#N/A,FALSE,"손익계산";#N/A,#N/A,FALSE,"일반관리비";#N/A,#N/A,FALSE,"영업외수익";#N/A,#N/A,FALSE,"영업외비용";#N/A,#N/A,FALSE,"매출액";#N/A,#N/A,FALSE,"요약손익";#N/A,#N/A,FALSE,"요약대차";#N/A,#N/A,FALSE,"매출채권현황";#N/A,#N/A,FALSE,"매출채권명세"}</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6">#REF!</definedName>
    <definedName name="이의석" localSheetId="25">#REF!</definedName>
    <definedName name="이의석" localSheetId="35">#REF!</definedName>
    <definedName name="이의석" localSheetId="33">#REF!</definedName>
    <definedName name="이의석">#REF!</definedName>
    <definedName name="이자율" localSheetId="26">#REF!</definedName>
    <definedName name="이자율" localSheetId="25">#REF!</definedName>
    <definedName name="이자율" localSheetId="35">#REF!</definedName>
    <definedName name="이자율" localSheetId="33">#REF!</definedName>
    <definedName name="이자율">#REF!</definedName>
    <definedName name="인수자안" localSheetId="26">#REF!</definedName>
    <definedName name="인수자안" localSheetId="25">#REF!</definedName>
    <definedName name="인수자안" localSheetId="35">#REF!</definedName>
    <definedName name="인수자안" localSheetId="33">#REF!</definedName>
    <definedName name="인수자안">#REF!</definedName>
    <definedName name="인천킴스" localSheetId="26">#REF!</definedName>
    <definedName name="인천킴스" localSheetId="25">#REF!</definedName>
    <definedName name="인천킴스" localSheetId="35">#REF!</definedName>
    <definedName name="인천킴스" localSheetId="33">#REF!</definedName>
    <definedName name="인천킴스">#REF!</definedName>
    <definedName name="일산푸드몰" localSheetId="26">#REF!</definedName>
    <definedName name="일산푸드몰" localSheetId="25">#REF!</definedName>
    <definedName name="일산푸드몰" localSheetId="35">#REF!</definedName>
    <definedName name="일산푸드몰" localSheetId="33">#REF!</definedName>
    <definedName name="일산푸드몰">#REF!</definedName>
    <definedName name="임대" localSheetId="26">#REF!</definedName>
    <definedName name="임대" localSheetId="25">#REF!</definedName>
    <definedName name="임대" localSheetId="35">#REF!</definedName>
    <definedName name="임대" localSheetId="33">#REF!</definedName>
    <definedName name="임대">#REF!</definedName>
    <definedName name="ㅈㄳㄹ"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localSheetId="28" hidden="1">{#N/A,#N/A,FALSE,"Aging Summary";#N/A,#N/A,FALSE,"Ratio Analysis";#N/A,#N/A,FALSE,"Test 120 Day Accts";#N/A,#N/A,FALSE,"Tickmarks"}</definedName>
    <definedName name="자본금" hidden="1">{#N/A,#N/A,FALSE,"Aging Summary";#N/A,#N/A,FALSE,"Ratio Analysis";#N/A,#N/A,FALSE,"Test 120 Day Accts";#N/A,#N/A,FALSE,"Tickmarks"}</definedName>
    <definedName name="자산" localSheetId="26">#REF!</definedName>
    <definedName name="자산" localSheetId="25">#REF!</definedName>
    <definedName name="자산" localSheetId="35">#REF!</definedName>
    <definedName name="자산" localSheetId="33">#REF!</definedName>
    <definedName name="자산">#REF!</definedName>
    <definedName name="잔여배분4" localSheetId="26">#REF!</definedName>
    <definedName name="잔여배분4" localSheetId="25">#REF!</definedName>
    <definedName name="잔여배분4" localSheetId="35">#REF!</definedName>
    <definedName name="잔여배분4" localSheetId="33">#REF!</definedName>
    <definedName name="잔여배분4">#REF!</definedName>
    <definedName name="淨額差" localSheetId="26" hidden="1">#REF!</definedName>
    <definedName name="淨額差" localSheetId="25" hidden="1">#REF!</definedName>
    <definedName name="淨額差" localSheetId="35" hidden="1">#REF!</definedName>
    <definedName name="淨額差" localSheetId="33" hidden="1">#REF!</definedName>
    <definedName name="淨額差" localSheetId="36" hidden="1">#REF!</definedName>
    <definedName name="淨額差" hidden="1">#REF!</definedName>
    <definedName name="竟品" localSheetId="26" hidden="1">#REF!</definedName>
    <definedName name="竟品" localSheetId="25" hidden="1">#REF!</definedName>
    <definedName name="竟品" localSheetId="35" hidden="1">#REF!</definedName>
    <definedName name="竟品" localSheetId="33" hidden="1">#REF!</definedName>
    <definedName name="竟品" localSheetId="36" hidden="1">#REF!</definedName>
    <definedName name="竟品" hidden="1">#REF!</definedName>
    <definedName name="재" localSheetId="26">#REF!</definedName>
    <definedName name="재" localSheetId="25">#REF!</definedName>
    <definedName name="재" localSheetId="35">#REF!</definedName>
    <definedName name="재" localSheetId="33">#REF!</definedName>
    <definedName name="재">#REF!</definedName>
    <definedName name="九级">区片价!$P$1:$P$46</definedName>
    <definedName name="적용1" localSheetId="26">#REF!</definedName>
    <definedName name="적용1" localSheetId="25">#REF!</definedName>
    <definedName name="적용1" localSheetId="35">#REF!</definedName>
    <definedName name="적용1" localSheetId="33">#REF!</definedName>
    <definedName name="적용1">#REF!</definedName>
    <definedName name="전" localSheetId="26">#REF!</definedName>
    <definedName name="전" localSheetId="25">#REF!</definedName>
    <definedName name="전" localSheetId="35">#REF!</definedName>
    <definedName name="전" localSheetId="33">#REF!</definedName>
    <definedName name="전">#REF!</definedName>
    <definedName name="전입액" localSheetId="26">#REF!</definedName>
    <definedName name="전입액" localSheetId="25">#REF!</definedName>
    <definedName name="전입액" localSheetId="35">#REF!</definedName>
    <definedName name="전입액" localSheetId="33">#REF!</definedName>
    <definedName name="전입액">#REF!</definedName>
    <definedName name="정리채권미지급금" localSheetId="26">#REF!</definedName>
    <definedName name="정리채권미지급금" localSheetId="25">#REF!</definedName>
    <definedName name="정리채권미지급금" localSheetId="35">#REF!</definedName>
    <definedName name="정리채권미지급금" localSheetId="33">#REF!</definedName>
    <definedName name="정리채권미지급금">#REF!</definedName>
    <definedName name="제1금융개시전이자" localSheetId="26">#REF!</definedName>
    <definedName name="제1금융개시전이자" localSheetId="25">#REF!</definedName>
    <definedName name="제1금융개시전이자" localSheetId="35">#REF!</definedName>
    <definedName name="제1금융개시전이자" localSheetId="33">#REF!</definedName>
    <definedName name="제1금융개시전이자">#REF!</definedName>
    <definedName name="제1금융채권개시전이자" localSheetId="26">#REF!</definedName>
    <definedName name="제1금융채권개시전이자" localSheetId="25">#REF!</definedName>
    <definedName name="제1금융채권개시전이자" localSheetId="35">#REF!</definedName>
    <definedName name="제1금융채권개시전이자" localSheetId="33">#REF!</definedName>
    <definedName name="제1금융채권개시전이자">#REF!</definedName>
    <definedName name="제1금융채권출자비율" localSheetId="26">#REF!</definedName>
    <definedName name="제1금융채권출자비율" localSheetId="25">#REF!</definedName>
    <definedName name="제1금융채권출자비율" localSheetId="35">#REF!</definedName>
    <definedName name="제1금융채권출자비율" localSheetId="33">#REF!</definedName>
    <definedName name="제1금융채권출자비율">#REF!</definedName>
    <definedName name="제1금융출자비율" localSheetId="26">#REF!</definedName>
    <definedName name="제1금융출자비율" localSheetId="25">#REF!</definedName>
    <definedName name="제1금융출자비율" localSheetId="35">#REF!</definedName>
    <definedName name="제1금융출자비율" localSheetId="33">#REF!</definedName>
    <definedName name="제1금융출자비율">#REF!</definedName>
    <definedName name="제2금융개시전이자" localSheetId="26">#REF!</definedName>
    <definedName name="제2금융개시전이자" localSheetId="25">#REF!</definedName>
    <definedName name="제2금융개시전이자" localSheetId="35">#REF!</definedName>
    <definedName name="제2금융개시전이자" localSheetId="33">#REF!</definedName>
    <definedName name="제2금융개시전이자">#REF!</definedName>
    <definedName name="제2금융채권산입이자" localSheetId="26">#REF!</definedName>
    <definedName name="제2금융채권산입이자" localSheetId="25">#REF!</definedName>
    <definedName name="제2금융채권산입이자" localSheetId="35">#REF!</definedName>
    <definedName name="제2금융채권산입이자" localSheetId="33">#REF!</definedName>
    <definedName name="제2금융채권산입이자">#REF!</definedName>
    <definedName name="제목" localSheetId="26">#REF!</definedName>
    <definedName name="제목" localSheetId="25">#REF!</definedName>
    <definedName name="제목" localSheetId="35">#REF!</definedName>
    <definedName name="제목" localSheetId="33">#REF!</definedName>
    <definedName name="제목">#REF!</definedName>
    <definedName name="제일담보" localSheetId="26">#REF!</definedName>
    <definedName name="제일담보" localSheetId="25">#REF!</definedName>
    <definedName name="제일담보" localSheetId="35">#REF!</definedName>
    <definedName name="제일담보" localSheetId="33">#REF!</definedName>
    <definedName name="제일담보">#REF!</definedName>
    <definedName name="居住社区成熟度" localSheetId="28">[1]定义!$K$1:$K$6</definedName>
    <definedName name="居住社区成熟度" localSheetId="13">[1]定义!$K$1:$K$6</definedName>
    <definedName name="居住社区成熟度">定义!$K$1:$K$6</definedName>
    <definedName name="종합합산" localSheetId="26">#REF!</definedName>
    <definedName name="종합합산" localSheetId="25">#REF!</definedName>
    <definedName name="종합합산" localSheetId="35">#REF!</definedName>
    <definedName name="종합합산" localSheetId="33">#REF!</definedName>
    <definedName name="종합합산">#REF!</definedName>
    <definedName name="주택사업본부" localSheetId="26">#REF!</definedName>
    <definedName name="주택사업본부" localSheetId="25">#REF!</definedName>
    <definedName name="주택사업본부" localSheetId="35">#REF!</definedName>
    <definedName name="주택사업본부" localSheetId="33">#REF!</definedName>
    <definedName name="주택사업본부">#REF!</definedName>
    <definedName name="开办费" localSheetId="26">#REF!</definedName>
    <definedName name="开办费" localSheetId="25">#REF!</definedName>
    <definedName name="开办费" localSheetId="35">#REF!</definedName>
    <definedName name="开办费" localSheetId="33">#REF!</definedName>
    <definedName name="开办费" localSheetId="36">#REF!</definedName>
    <definedName name="开办费">#REF!</definedName>
    <definedName name="开发" localSheetId="26">#REF!</definedName>
    <definedName name="开发" localSheetId="25">#REF!</definedName>
    <definedName name="开发" localSheetId="35">#REF!</definedName>
    <definedName name="开发" localSheetId="33">#REF!</definedName>
    <definedName name="开发">#REF!</definedName>
    <definedName name="开发开发" localSheetId="26">#REF!</definedName>
    <definedName name="开发开发" localSheetId="25">#REF!</definedName>
    <definedName name="开发开发" localSheetId="35">#REF!</definedName>
    <definedName name="开发开发" localSheetId="33">#REF!</definedName>
    <definedName name="开发开发">#REF!</definedName>
    <definedName name="开间费" localSheetId="26">#REF!</definedName>
    <definedName name="开间费" localSheetId="25">#REF!</definedName>
    <definedName name="开间费" localSheetId="35">#REF!</definedName>
    <definedName name="开间费" localSheetId="33">#REF!</definedName>
    <definedName name="开间费">#REF!</definedName>
    <definedName name="科" localSheetId="26">#REF!</definedName>
    <definedName name="科" localSheetId="25">#REF!</definedName>
    <definedName name="科" localSheetId="35">#REF!</definedName>
    <definedName name="科" localSheetId="33">#REF!</definedName>
    <definedName name="科" localSheetId="36">#REF!</definedName>
    <definedName name="科">#REF!</definedName>
    <definedName name="科技楼总建面" localSheetId="26">#REF!</definedName>
    <definedName name="科技楼总建面" localSheetId="25">#REF!</definedName>
    <definedName name="科技楼总建面" localSheetId="35">#REF!</definedName>
    <definedName name="科技楼总建面" localSheetId="33">#REF!</definedName>
    <definedName name="科技楼总建面">#REF!</definedName>
    <definedName name="科目编码" localSheetId="26">#REF!</definedName>
    <definedName name="科目编码" localSheetId="25">#REF!</definedName>
    <definedName name="科目编码" localSheetId="35">#REF!</definedName>
    <definedName name="科目编码" localSheetId="33">#REF!</definedName>
    <definedName name="科目编码">#REF!</definedName>
    <definedName name="科目余额表" localSheetId="26">#REF!</definedName>
    <definedName name="科目余额表" localSheetId="25">#REF!</definedName>
    <definedName name="科目余额表" localSheetId="35">#REF!</definedName>
    <definedName name="科目余额表" localSheetId="33">#REF!</definedName>
    <definedName name="科目余额表" localSheetId="36">#REF!</definedName>
    <definedName name="科目余额表">#REF!</definedName>
    <definedName name="可销售面积" localSheetId="26">#REF!</definedName>
    <definedName name="可销售面积" localSheetId="25">#REF!</definedName>
    <definedName name="可销售面积" localSheetId="35">#REF!</definedName>
    <definedName name="可销售面积" localSheetId="33">#REF!</definedName>
    <definedName name="可销售面积">#REF!</definedName>
    <definedName name="枯" localSheetId="26" hidden="1">#REF!</definedName>
    <definedName name="枯" localSheetId="25" hidden="1">#REF!</definedName>
    <definedName name="枯" localSheetId="35" hidden="1">#REF!</definedName>
    <definedName name="枯" localSheetId="33" hidden="1">#REF!</definedName>
    <definedName name="枯" localSheetId="36" hidden="1">#REF!</definedName>
    <definedName name="枯" hidden="1">#REF!</definedName>
    <definedName name="庫存成" localSheetId="26" hidden="1">#REF!</definedName>
    <definedName name="庫存成" localSheetId="25" hidden="1">#REF!</definedName>
    <definedName name="庫存成" localSheetId="35" hidden="1">#REF!</definedName>
    <definedName name="庫存成" localSheetId="33" hidden="1">#REF!</definedName>
    <definedName name="庫存成" localSheetId="36" hidden="1">#REF!</definedName>
    <definedName name="庫存成" hidden="1">#REF!</definedName>
    <definedName name="철구사업본부" localSheetId="26">#REF!</definedName>
    <definedName name="철구사업본부" localSheetId="25">#REF!</definedName>
    <definedName name="철구사업본부" localSheetId="35">#REF!</definedName>
    <definedName name="철구사업본부" localSheetId="33">#REF!</definedName>
    <definedName name="철구사업본부">#REF!</definedName>
    <definedName name="类别" localSheetId="28">[1]定义!$J$1:$J$3</definedName>
    <definedName name="类别" localSheetId="13">[1]定义!$J$1:$J$3</definedName>
    <definedName name="类别">定义!$J$1:$J$3</definedName>
    <definedName name="累计折旧" localSheetId="26">#REF!</definedName>
    <definedName name="累计折旧" localSheetId="25">#REF!</definedName>
    <definedName name="累计折旧" localSheetId="35">#REF!</definedName>
    <definedName name="累计折旧" localSheetId="33">#REF!</definedName>
    <definedName name="累计折旧" localSheetId="36">#REF!</definedName>
    <definedName name="累计折旧">#REF!</definedName>
    <definedName name="추계합계" localSheetId="26">#REF!</definedName>
    <definedName name="추계합계" localSheetId="25">#REF!</definedName>
    <definedName name="추계합계" localSheetId="35">#REF!</definedName>
    <definedName name="추계합계" localSheetId="33">#REF!</definedName>
    <definedName name="추계합계">#REF!</definedName>
    <definedName name="历史" localSheetId="26">#REF!</definedName>
    <definedName name="历史" localSheetId="25">#REF!</definedName>
    <definedName name="历史" localSheetId="35">#REF!</definedName>
    <definedName name="历史" localSheetId="33">#REF!</definedName>
    <definedName name="历史">#REF!</definedName>
    <definedName name="利润表" localSheetId="28" hidden="1">{#N/A,#N/A,FALSE,"成本表[一期计算1] (2)"}</definedName>
    <definedName name="利润表" hidden="1">{#N/A,#N/A,FALSE,"成本表[一期计算1] (2)"}</definedName>
    <definedName name="利润归还投资" localSheetId="26">#REF!</definedName>
    <definedName name="利润归还投资" localSheetId="25">#REF!</definedName>
    <definedName name="利润归还投资" localSheetId="35">#REF!</definedName>
    <definedName name="利润归还投资" localSheetId="33">#REF!</definedName>
    <definedName name="利润归还投资" localSheetId="36">#REF!</definedName>
    <definedName name="利润归还投资">#REF!</definedName>
    <definedName name="利息支出" localSheetId="26">#REF!</definedName>
    <definedName name="利息支出" localSheetId="25">#REF!</definedName>
    <definedName name="利息支出" localSheetId="35">#REF!</definedName>
    <definedName name="利息支出" localSheetId="33">#REF!</definedName>
    <definedName name="利息支出" localSheetId="36">#REF!</definedName>
    <definedName name="利息支出">#REF!</definedName>
    <definedName name="利息总额" localSheetId="26">#REF!</definedName>
    <definedName name="利息总额" localSheetId="25">#REF!</definedName>
    <definedName name="利息总额" localSheetId="35">#REF!</definedName>
    <definedName name="利息总额" localSheetId="33">#REF!</definedName>
    <definedName name="利息总额">#REF!</definedName>
    <definedName name="ㅋㅋㅋ" localSheetId="28" hidden="1">{#N/A,#N/A,FALSE,"손익표지";#N/A,#N/A,FALSE,"손익계산";#N/A,#N/A,FALSE,"일반관리비";#N/A,#N/A,FALSE,"영업외수익";#N/A,#N/A,FALSE,"영업외비용";#N/A,#N/A,FALSE,"매출액";#N/A,#N/A,FALSE,"요약손익";#N/A,#N/A,FALSE,"요약대차";#N/A,#N/A,FALSE,"매출채권현황";#N/A,#N/A,FALSE,"매출채권명세"}</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localSheetId="28" hidden="1">{#N/A,#N/A,FALSE,"Aging Summary";#N/A,#N/A,FALSE,"Ratio Analysis";#N/A,#N/A,FALSE,"Test 120 Day Accts";#N/A,#N/A,FALSE,"Tickmarks"}</definedName>
    <definedName name="ㅋㅋㅋㅋ" hidden="1">{#N/A,#N/A,FALSE,"Aging Summary";#N/A,#N/A,FALSE,"Ratio Analysis";#N/A,#N/A,FALSE,"Test 120 Day Accts";#N/A,#N/A,FALSE,"Tickmarks"}</definedName>
    <definedName name="料工费分配表" localSheetId="26" hidden="1">#REF!</definedName>
    <definedName name="料工费分配表" localSheetId="25" hidden="1">#REF!</definedName>
    <definedName name="料工费分配表" localSheetId="35" hidden="1">#REF!</definedName>
    <definedName name="料工费分配表" localSheetId="33" hidden="1">#REF!</definedName>
    <definedName name="料工费分配表" localSheetId="36" hidden="1">#REF!</definedName>
    <definedName name="料工费分配表" hidden="1">#REF!</definedName>
    <definedName name="临街状况" localSheetId="28">[1]定义!$T$1:$T$5</definedName>
    <definedName name="临街状况" localSheetId="13">[1]定义!$T$1:$T$5</definedName>
    <definedName name="临街状况">定义!$T$1:$T$5</definedName>
    <definedName name="賃１" localSheetId="26">#REF!</definedName>
    <definedName name="賃１" localSheetId="25">#REF!</definedName>
    <definedName name="賃１" localSheetId="35">#REF!</definedName>
    <definedName name="賃１" localSheetId="33">#REF!</definedName>
    <definedName name="賃１">#REF!</definedName>
    <definedName name="賃２" localSheetId="26">#REF!</definedName>
    <definedName name="賃２" localSheetId="25">#REF!</definedName>
    <definedName name="賃２" localSheetId="35">#REF!</definedName>
    <definedName name="賃２" localSheetId="33">#REF!</definedName>
    <definedName name="賃２">#REF!</definedName>
    <definedName name="賃３" localSheetId="26">#REF!</definedName>
    <definedName name="賃３" localSheetId="25">#REF!</definedName>
    <definedName name="賃３" localSheetId="35">#REF!</definedName>
    <definedName name="賃３" localSheetId="33">#REF!</definedName>
    <definedName name="賃３">#REF!</definedName>
    <definedName name="賃４" localSheetId="26">#REF!</definedName>
    <definedName name="賃４" localSheetId="25">#REF!</definedName>
    <definedName name="賃４" localSheetId="35">#REF!</definedName>
    <definedName name="賃４" localSheetId="33">#REF!</definedName>
    <definedName name="賃４">#REF!</definedName>
    <definedName name="賃貸考課" localSheetId="26">#REF!</definedName>
    <definedName name="賃貸考課" localSheetId="25">#REF!</definedName>
    <definedName name="賃貸考課" localSheetId="35">#REF!</definedName>
    <definedName name="賃貸考課" localSheetId="33">#REF!</definedName>
    <definedName name="賃貸考課">#REF!</definedName>
    <definedName name="賃貸仲介" localSheetId="26">#REF!</definedName>
    <definedName name="賃貸仲介" localSheetId="25">#REF!</definedName>
    <definedName name="賃貸仲介" localSheetId="35">#REF!</definedName>
    <definedName name="賃貸仲介" localSheetId="33">#REF!</definedName>
    <definedName name="賃貸仲介">#REF!</definedName>
    <definedName name="六级">区片价!$M$1:$M$49</definedName>
    <definedName name="六期" localSheetId="26">#REF!</definedName>
    <definedName name="六期" localSheetId="25">#REF!</definedName>
    <definedName name="六期" localSheetId="35">#REF!</definedName>
    <definedName name="六期" localSheetId="33">#REF!</definedName>
    <definedName name="六期">#REF!</definedName>
    <definedName name="六期装修" localSheetId="26">#REF!</definedName>
    <definedName name="六期装修" localSheetId="25">#REF!</definedName>
    <definedName name="六期装修" localSheetId="35">#REF!</definedName>
    <definedName name="六期装修" localSheetId="33">#REF!</definedName>
    <definedName name="六期装修">#REF!</definedName>
    <definedName name="六期总建面" localSheetId="26">#REF!</definedName>
    <definedName name="六期总建面" localSheetId="25">#REF!</definedName>
    <definedName name="六期总建面" localSheetId="35">#REF!</definedName>
    <definedName name="六期总建面" localSheetId="33">#REF!</definedName>
    <definedName name="六期总建面">#REF!</definedName>
    <definedName name="템플리트모듈5" localSheetId="28">BlankMacro1</definedName>
    <definedName name="템플리트모듈5" localSheetId="26">BlankMacro1</definedName>
    <definedName name="템플리트모듈5" localSheetId="25">BlankMacro1</definedName>
    <definedName name="템플리트모듈5" localSheetId="35">BlankMacro1</definedName>
    <definedName name="템플리트모듈5" localSheetId="33">BlankMacro1</definedName>
    <definedName name="템플리트모듈5">BlankMacro1</definedName>
    <definedName name="_xlnm.Recorder" localSheetId="26">#REF!</definedName>
    <definedName name="_xlnm.Recorder" localSheetId="25">#REF!</definedName>
    <definedName name="_xlnm.Recorder" localSheetId="35">#REF!</definedName>
    <definedName name="_xlnm.Recorder" localSheetId="33">#REF!</definedName>
    <definedName name="_xlnm.Recorder">#REF!</definedName>
    <definedName name="토지" localSheetId="26">#REF!</definedName>
    <definedName name="토지" localSheetId="25">#REF!</definedName>
    <definedName name="토지" localSheetId="35">#REF!</definedName>
    <definedName name="토지" localSheetId="33">#REF!</definedName>
    <definedName name="토지">#REF!</definedName>
    <definedName name="律师费" localSheetId="26">#REF!</definedName>
    <definedName name="律师费" localSheetId="25">#REF!</definedName>
    <definedName name="律师费" localSheetId="35">#REF!</definedName>
    <definedName name="律师费" localSheetId="33">#REF!</definedName>
    <definedName name="律师费">#REF!</definedName>
    <definedName name="판군" localSheetId="26">#REF!</definedName>
    <definedName name="판군" localSheetId="25">#REF!</definedName>
    <definedName name="판군" localSheetId="35">#REF!</definedName>
    <definedName name="판군" localSheetId="33">#REF!</definedName>
    <definedName name="판군">#REF!</definedName>
    <definedName name="梅兰日兰UPS" localSheetId="28" hidden="1">{"'Sheet1'!$A$1:$J$57","'Sheet1'!$F$32:$F$35","'Sheet1'!$F$32:$F$36"}</definedName>
    <definedName name="梅兰日兰UPS" hidden="1">{"'Sheet1'!$A$1:$J$57","'Sheet1'!$F$32:$F$35","'Sheet1'!$F$32:$F$36"}</definedName>
    <definedName name="面积" localSheetId="26">#REF!</definedName>
    <definedName name="面积" localSheetId="25">#REF!</definedName>
    <definedName name="面积" localSheetId="35">#REF!</definedName>
    <definedName name="面积" localSheetId="33">#REF!</definedName>
    <definedName name="面积">#REF!</definedName>
    <definedName name="面积比" localSheetId="26">#REF!,#REF!,#REF!,#REF!,#REF!,#REF!,#REF!,#REF!,#REF!</definedName>
    <definedName name="面积比" localSheetId="25">#REF!,#REF!,#REF!,#REF!,#REF!,#REF!,#REF!,#REF!,#REF!</definedName>
    <definedName name="面积比" localSheetId="35">#REF!,#REF!,#REF!,#REF!,#REF!,#REF!,#REF!,#REF!,#REF!</definedName>
    <definedName name="面积比" localSheetId="33">#REF!,#REF!,#REF!,#REF!,#REF!,#REF!,#REF!,#REF!,#REF!</definedName>
    <definedName name="面积比">#REF!,#REF!,#REF!,#REF!,#REF!,#REF!,#REF!,#REF!,#REF!</definedName>
    <definedName name="面积差" localSheetId="26">#REF!,#REF!,#REF!,#REF!,#REF!,#REF!,#REF!,#REF!,#REF!,#REF!,#REF!,#REF!,#REF!,#REF!,#REF!,#REF!,#REF!,#REF!</definedName>
    <definedName name="面积差" localSheetId="25">#REF!,#REF!,#REF!,#REF!,#REF!,#REF!,#REF!,#REF!,#REF!,#REF!,#REF!,#REF!,#REF!,#REF!,#REF!,#REF!,#REF!,#REF!</definedName>
    <definedName name="面积差" localSheetId="35">#REF!,#REF!,#REF!,#REF!,#REF!,#REF!,#REF!,#REF!,#REF!,#REF!,#REF!,#REF!,#REF!,#REF!,#REF!,#REF!,#REF!,#REF!</definedName>
    <definedName name="面积差" localSheetId="33">#REF!,#REF!,#REF!,#REF!,#REF!,#REF!,#REF!,#REF!,#REF!,#REF!,#REF!,#REF!,#REF!,#REF!,#REF!,#REF!,#REF!,#REF!</definedName>
    <definedName name="面积差">#REF!,#REF!,#REF!,#REF!,#REF!,#REF!,#REF!,#REF!,#REF!,#REF!,#REF!,#REF!,#REF!,#REF!,#REF!,#REF!,#REF!,#REF!</definedName>
    <definedName name="明细分类账" localSheetId="26">#REF!</definedName>
    <definedName name="明细分类账" localSheetId="25">#REF!</definedName>
    <definedName name="明细分类账" localSheetId="35">#REF!</definedName>
    <definedName name="明细分类账" localSheetId="33">#REF!</definedName>
    <definedName name="明细分类账" localSheetId="36">#REF!</definedName>
    <definedName name="明细分类账">#REF!</definedName>
    <definedName name="ㅎㅇ" localSheetId="28" hidden="1">{#N/A,#N/A,FALSE,"Aging Summary";#N/A,#N/A,FALSE,"Ratio Analysis";#N/A,#N/A,FALSE,"Test 120 Day Accts";#N/A,#N/A,FALSE,"Tickmarks"}</definedName>
    <definedName name="ㅎㅇ" hidden="1">{#N/A,#N/A,FALSE,"Aging Summary";#N/A,#N/A,FALSE,"Ratio Analysis";#N/A,#N/A,FALSE,"Test 120 Day Accts";#N/A,#N/A,FALSE,"Tickmarks"}</definedName>
    <definedName name="ㅎㅎ" localSheetId="2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6">#REF!</definedName>
    <definedName name="한길담보" localSheetId="25">#REF!</definedName>
    <definedName name="한길담보" localSheetId="35">#REF!</definedName>
    <definedName name="한길담보" localSheetId="33">#REF!</definedName>
    <definedName name="한길담보">#REF!</definedName>
    <definedName name="한길채권" localSheetId="26">#REF!</definedName>
    <definedName name="한길채권" localSheetId="25">#REF!</definedName>
    <definedName name="한길채권" localSheetId="35">#REF!</definedName>
    <definedName name="한길채권" localSheetId="33">#REF!</definedName>
    <definedName name="한길채권">#REF!</definedName>
    <definedName name="한미담보" localSheetId="26">#REF!</definedName>
    <definedName name="한미담보" localSheetId="25">#REF!</definedName>
    <definedName name="한미담보" localSheetId="35">#REF!</definedName>
    <definedName name="한미담보" localSheetId="33">#REF!</definedName>
    <definedName name="한미담보">#REF!</definedName>
    <definedName name="한화채권" localSheetId="26">#REF!</definedName>
    <definedName name="한화채권" localSheetId="25">#REF!</definedName>
    <definedName name="한화채권" localSheetId="35">#REF!</definedName>
    <definedName name="한화채권" localSheetId="33">#REF!</definedName>
    <definedName name="한화채권">#REF!</definedName>
    <definedName name="할인" localSheetId="26">#REF!</definedName>
    <definedName name="할인" localSheetId="25">#REF!</definedName>
    <definedName name="할인" localSheetId="35">#REF!</definedName>
    <definedName name="할인" localSheetId="33">#REF!</definedName>
    <definedName name="할인">#REF!</definedName>
    <definedName name="항도담보" localSheetId="26">#REF!</definedName>
    <definedName name="항도담보" localSheetId="25">#REF!</definedName>
    <definedName name="항도담보" localSheetId="35">#REF!</definedName>
    <definedName name="항도담보" localSheetId="33">#REF!</definedName>
    <definedName name="항도담보">#REF!</definedName>
    <definedName name="内部" localSheetId="26">#REF!</definedName>
    <definedName name="内部" localSheetId="25">#REF!</definedName>
    <definedName name="内部" localSheetId="35">#REF!</definedName>
    <definedName name="内部" localSheetId="33">#REF!</definedName>
    <definedName name="内部" localSheetId="36">#REF!</definedName>
    <definedName name="内部">#REF!</definedName>
    <definedName name="内部存款" localSheetId="26">#REF!</definedName>
    <definedName name="内部存款" localSheetId="25">#REF!</definedName>
    <definedName name="内部存款" localSheetId="35">#REF!</definedName>
    <definedName name="内部存款" localSheetId="33">#REF!</definedName>
    <definedName name="内部存款" localSheetId="36">#REF!</definedName>
    <definedName name="内部存款">#REF!</definedName>
    <definedName name="内部银行" localSheetId="26">#REF!</definedName>
    <definedName name="内部银行" localSheetId="25">#REF!</definedName>
    <definedName name="内部银行" localSheetId="35">#REF!</definedName>
    <definedName name="内部银行" localSheetId="33">#REF!</definedName>
    <definedName name="内部银行" localSheetId="36">#REF!</definedName>
    <definedName name="内部银行">#REF!</definedName>
    <definedName name="内部装修维护情况" localSheetId="28">[1]定义!$U$1:$U$6</definedName>
    <definedName name="内部装修维护情况" localSheetId="13">[1]定义!$U$1:$U$6</definedName>
    <definedName name="内部装修维护情况">定义!$U$1:$U$6</definedName>
    <definedName name="혁신" localSheetId="26">#REF!</definedName>
    <definedName name="혁신" localSheetId="25">#REF!</definedName>
    <definedName name="혁신" localSheetId="35">#REF!</definedName>
    <definedName name="혁신" localSheetId="33">#REF!</definedName>
    <definedName name="혁신">#REF!</definedName>
    <definedName name="현금등가물" localSheetId="28" hidden="1">{#N/A,#N/A,FALSE,"Aging Summary";#N/A,#N/A,FALSE,"Ratio Analysis";#N/A,#N/A,FALSE,"Test 120 Day Accts";#N/A,#N/A,FALSE,"Tickmarks"}</definedName>
    <definedName name="현금등가물" hidden="1">{#N/A,#N/A,FALSE,"Aging Summary";#N/A,#N/A,FALSE,"Ratio Analysis";#N/A,#N/A,FALSE,"Test 120 Day Accts";#N/A,#N/A,FALSE,"Tickmarks"}</definedName>
    <definedName name="현금등가물및단기" localSheetId="28"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localSheetId="28" hidden="1">{#N/A,#N/A,FALSE,"Aging Summary";#N/A,#N/A,FALSE,"Ratio Analysis";#N/A,#N/A,FALSE,"Test 120 Day Accts";#N/A,#N/A,FALSE,"Tickmarks"}</definedName>
    <definedName name="현금흐름" hidden="1">{#N/A,#N/A,FALSE,"Aging Summary";#N/A,#N/A,FALSE,"Ratio Analysis";#N/A,#N/A,FALSE,"Test 120 Day Accts";#N/A,#N/A,FALSE,"Tickmarks"}</definedName>
    <definedName name="判定" localSheetId="28">[1]定义!$D$1:$D$4</definedName>
    <definedName name="判定" localSheetId="13">[1]定义!$D$1:$D$4</definedName>
    <definedName name="判定">定义!$D$1:$D$4</definedName>
    <definedName name="品牌管理费费率" localSheetId="26">#REF!</definedName>
    <definedName name="品牌管理费费率" localSheetId="25">#REF!</definedName>
    <definedName name="品牌管理费费率" localSheetId="35">#REF!</definedName>
    <definedName name="品牌管理费费率" localSheetId="33">#REF!</definedName>
    <definedName name="品牌管理费费率">#REF!</definedName>
    <definedName name="七级">区片价!$N$1:$N$49</definedName>
    <definedName name="七通一平" localSheetId="28">[1]修正!$A$6:$A$14</definedName>
    <definedName name="七通一平" localSheetId="13">[1]修正!$A$6:$A$14</definedName>
    <definedName name="七通一平">修正!$A$6:$A$14</definedName>
    <definedName name="期间费用" localSheetId="26">#REF!</definedName>
    <definedName name="期间费用" localSheetId="25">#REF!</definedName>
    <definedName name="期间费用" localSheetId="35">#REF!</definedName>
    <definedName name="期间费用" localSheetId="33">#REF!</definedName>
    <definedName name="期间费用">#REF!</definedName>
    <definedName name="其他长期负债" localSheetId="26">#REF!</definedName>
    <definedName name="其他长期负债" localSheetId="25">#REF!</definedName>
    <definedName name="其他长期负债" localSheetId="35">#REF!</definedName>
    <definedName name="其他长期负债" localSheetId="33">#REF!</definedName>
    <definedName name="其他长期负债" localSheetId="36">#REF!</definedName>
    <definedName name="其他长期负债">#REF!</definedName>
    <definedName name="其他长期资产" localSheetId="26">#REF!</definedName>
    <definedName name="其他长期资产" localSheetId="25">#REF!</definedName>
    <definedName name="其他长期资产" localSheetId="35">#REF!</definedName>
    <definedName name="其他长期资产" localSheetId="33">#REF!</definedName>
    <definedName name="其他长期资产" localSheetId="36">#REF!</definedName>
    <definedName name="其他长期资产">#REF!</definedName>
    <definedName name="其他递延支出" localSheetId="26">#REF!</definedName>
    <definedName name="其他递延支出" localSheetId="25">#REF!</definedName>
    <definedName name="其他递延支出" localSheetId="35">#REF!</definedName>
    <definedName name="其他递延支出" localSheetId="33">#REF!</definedName>
    <definedName name="其他递延支出" localSheetId="36">#REF!</definedName>
    <definedName name="其他递延支出">#REF!</definedName>
    <definedName name="其他流动负债" localSheetId="26">#REF!</definedName>
    <definedName name="其他流动负债" localSheetId="25">#REF!</definedName>
    <definedName name="其他流动负债" localSheetId="35">#REF!</definedName>
    <definedName name="其他流动负债" localSheetId="33">#REF!</definedName>
    <definedName name="其他流动负债" localSheetId="36">#REF!</definedName>
    <definedName name="其他流动负债">#REF!</definedName>
    <definedName name="其他流动资产" localSheetId="26">#REF!</definedName>
    <definedName name="其他流动资产" localSheetId="25">#REF!</definedName>
    <definedName name="其他流动资产" localSheetId="35">#REF!</definedName>
    <definedName name="其他流动资产" localSheetId="33">#REF!</definedName>
    <definedName name="其他流动资产" localSheetId="36">#REF!</definedName>
    <definedName name="其他流动资产">#REF!</definedName>
    <definedName name="其他土地费用" localSheetId="26">#REF!</definedName>
    <definedName name="其他土地费用" localSheetId="25">#REF!</definedName>
    <definedName name="其他土地费用" localSheetId="35">#REF!</definedName>
    <definedName name="其他土地费用" localSheetId="33">#REF!</definedName>
    <definedName name="其他土地费用">#REF!</definedName>
    <definedName name="其他未交款" localSheetId="26">#REF!</definedName>
    <definedName name="其他未交款" localSheetId="25">#REF!</definedName>
    <definedName name="其他未交款" localSheetId="35">#REF!</definedName>
    <definedName name="其他未交款" localSheetId="33">#REF!</definedName>
    <definedName name="其他未交款" localSheetId="36">#REF!</definedName>
    <definedName name="其他未交款">#REF!</definedName>
    <definedName name="其他无形资产" localSheetId="26">#REF!</definedName>
    <definedName name="其他无形资产" localSheetId="25">#REF!</definedName>
    <definedName name="其他无形资产" localSheetId="35">#REF!</definedName>
    <definedName name="其他无形资产" localSheetId="33">#REF!</definedName>
    <definedName name="其他无形资产" localSheetId="36">#REF!</definedName>
    <definedName name="其他无形资产">#REF!</definedName>
    <definedName name="其他业务收入" localSheetId="26">#REF!</definedName>
    <definedName name="其他业务收入" localSheetId="25">#REF!</definedName>
    <definedName name="其他业务收入" localSheetId="35">#REF!</definedName>
    <definedName name="其他业务收入" localSheetId="33">#REF!</definedName>
    <definedName name="其他业务收入" localSheetId="36">#REF!</definedName>
    <definedName name="其他业务收入">#REF!</definedName>
    <definedName name="其他业务支出" localSheetId="26">#REF!</definedName>
    <definedName name="其他业务支出" localSheetId="25">#REF!</definedName>
    <definedName name="其他业务支出" localSheetId="35">#REF!</definedName>
    <definedName name="其他业务支出" localSheetId="33">#REF!</definedName>
    <definedName name="其他业务支出" localSheetId="36">#REF!</definedName>
    <definedName name="其他业务支出">#REF!</definedName>
    <definedName name="其他应付款" localSheetId="26">#REF!</definedName>
    <definedName name="其他应付款" localSheetId="25">#REF!</definedName>
    <definedName name="其他应付款" localSheetId="35">#REF!</definedName>
    <definedName name="其他应付款" localSheetId="33">#REF!</definedName>
    <definedName name="其他应付款" localSheetId="36">#REF!</definedName>
    <definedName name="其他应付款">#REF!</definedName>
    <definedName name="其他应付款其他" localSheetId="26">#REF!</definedName>
    <definedName name="其他应付款其他" localSheetId="25">#REF!</definedName>
    <definedName name="其他应付款其他" localSheetId="35">#REF!</definedName>
    <definedName name="其他应付款其他" localSheetId="33">#REF!</definedName>
    <definedName name="其他应付款其他" localSheetId="36">#REF!</definedName>
    <definedName name="其他应付款其他">#REF!</definedName>
    <definedName name="其他应收" localSheetId="26">#REF!</definedName>
    <definedName name="其他应收" localSheetId="25">#REF!</definedName>
    <definedName name="其他应收" localSheetId="35">#REF!</definedName>
    <definedName name="其他应收" localSheetId="33">#REF!</definedName>
    <definedName name="其他应收" localSheetId="36">#REF!</definedName>
    <definedName name="其他应收">#REF!</definedName>
    <definedName name="其他应收款" localSheetId="26">#REF!</definedName>
    <definedName name="其他应收款" localSheetId="25">#REF!</definedName>
    <definedName name="其他应收款" localSheetId="35">#REF!</definedName>
    <definedName name="其他应收款" localSheetId="33">#REF!</definedName>
    <definedName name="其他应收款" localSheetId="36">#REF!</definedName>
    <definedName name="其他应收款">#REF!</definedName>
    <definedName name="企业所得税补缴" localSheetId="26">#REF!</definedName>
    <definedName name="企业所得税补缴" localSheetId="25">#REF!</definedName>
    <definedName name="企业所得税补缴" localSheetId="35">#REF!</definedName>
    <definedName name="企业所得税补缴" localSheetId="33">#REF!</definedName>
    <definedName name="企业所得税补缴">#REF!</definedName>
    <definedName name="契税税率" localSheetId="26">#REF!</definedName>
    <definedName name="契税税率" localSheetId="25">#REF!</definedName>
    <definedName name="契税税率" localSheetId="35">#REF!</definedName>
    <definedName name="契税税率" localSheetId="33">#REF!</definedName>
    <definedName name="契税税率">#REF!</definedName>
    <definedName name="前期" localSheetId="26" hidden="1">#REF!</definedName>
    <definedName name="前期" localSheetId="25" hidden="1">#REF!</definedName>
    <definedName name="前期" localSheetId="35" hidden="1">#REF!</definedName>
    <definedName name="前期" localSheetId="33" hidden="1">#REF!</definedName>
    <definedName name="前期" hidden="1">#REF!</definedName>
    <definedName name="前期尽职调查费" localSheetId="26">#REF!</definedName>
    <definedName name="前期尽职调查费" localSheetId="25">#REF!</definedName>
    <definedName name="前期尽职调查费" localSheetId="35">#REF!</definedName>
    <definedName name="前期尽职调查费" localSheetId="33">#REF!</definedName>
    <definedName name="前期尽职调查费">#REF!</definedName>
    <definedName name="青岛" localSheetId="26" hidden="1">#REF!</definedName>
    <definedName name="青岛" localSheetId="25" hidden="1">#REF!</definedName>
    <definedName name="青岛" localSheetId="35" hidden="1">#REF!</definedName>
    <definedName name="青岛" localSheetId="33" hidden="1">#REF!</definedName>
    <definedName name="青岛" localSheetId="36" hidden="1">#REF!</definedName>
    <definedName name="青岛" hidden="1">#REF!</definedName>
    <definedName name="区域土地利用方向" localSheetId="28">[1]定义!$P$1:$P$6</definedName>
    <definedName name="区域土地利用方向" localSheetId="13">[1]定义!$P$1:$P$6</definedName>
    <definedName name="区域土地利用方向">定义!$P$1:$P$6</definedName>
    <definedName name="趨勢" localSheetId="26" hidden="1">#REF!</definedName>
    <definedName name="趨勢" localSheetId="25" hidden="1">#REF!</definedName>
    <definedName name="趨勢" localSheetId="35" hidden="1">#REF!</definedName>
    <definedName name="趨勢" localSheetId="33" hidden="1">#REF!</definedName>
    <definedName name="趨勢" localSheetId="36" hidden="1">#REF!</definedName>
    <definedName name="趨勢" hidden="1">#REF!</definedName>
    <definedName name="権利金" localSheetId="26">#REF!</definedName>
    <definedName name="権利金" localSheetId="25">#REF!</definedName>
    <definedName name="権利金" localSheetId="35">#REF!</definedName>
    <definedName name="権利金" localSheetId="33">#REF!</definedName>
    <definedName name="権利金">#REF!</definedName>
    <definedName name="融资租入固定资产" localSheetId="26">#REF!</definedName>
    <definedName name="融资租入固定资产" localSheetId="25">#REF!</definedName>
    <definedName name="融资租入固定资产" localSheetId="35">#REF!</definedName>
    <definedName name="融资租入固定资产" localSheetId="33">#REF!</definedName>
    <definedName name="融资租入固定资产" localSheetId="36">#REF!</definedName>
    <definedName name="融资租入固定资产">#REF!</definedName>
    <definedName name="融资租入固定资产折旧" localSheetId="26">#REF!</definedName>
    <definedName name="融资租入固定资产折旧" localSheetId="25">#REF!</definedName>
    <definedName name="融资租入固定资产折旧" localSheetId="35">#REF!</definedName>
    <definedName name="融资租入固定资产折旧" localSheetId="33">#REF!</definedName>
    <definedName name="融资租入固定资产折旧" localSheetId="36">#REF!</definedName>
    <definedName name="融资租入固定资产折旧">#REF!</definedName>
    <definedName name="瑞斯科" localSheetId="26">#REF!</definedName>
    <definedName name="瑞斯科" localSheetId="25">#REF!</definedName>
    <definedName name="瑞斯科" localSheetId="35">#REF!</definedName>
    <definedName name="瑞斯科" localSheetId="33">#REF!</definedName>
    <definedName name="瑞斯科" localSheetId="36">#REF!</definedName>
    <definedName name="瑞斯科">#REF!</definedName>
    <definedName name="三级">区片价!$J$1:$J$21</definedName>
    <definedName name="三期" localSheetId="26">#REF!</definedName>
    <definedName name="三期" localSheetId="25">#REF!</definedName>
    <definedName name="三期" localSheetId="35">#REF!</definedName>
    <definedName name="三期" localSheetId="33">#REF!</definedName>
    <definedName name="三期">#REF!</definedName>
    <definedName name="三期装修" localSheetId="26">#REF!</definedName>
    <definedName name="三期装修" localSheetId="25">#REF!</definedName>
    <definedName name="三期装修" localSheetId="35">#REF!</definedName>
    <definedName name="三期装修" localSheetId="33">#REF!</definedName>
    <definedName name="三期装修">#REF!</definedName>
    <definedName name="商业层高" localSheetId="28">'比较法-商业'!$B$116:$M$116</definedName>
    <definedName name="商业层高" localSheetId="13">'[1]比较法-商业'!$B$116:$M$116</definedName>
    <definedName name="商业层高">'比较法-商业1'!$B$116:$M$116</definedName>
    <definedName name="商业成新度" localSheetId="28">'比较法-商业'!$B$109:$M$109</definedName>
    <definedName name="商业成新度">'比较法-商业1'!$B$109:$M$109</definedName>
    <definedName name="商业繁华度" localSheetId="28">[1]定义!$L$1:$L$6</definedName>
    <definedName name="商业繁华度" localSheetId="13">[1]定义!$L$1:$L$6</definedName>
    <definedName name="商业繁华度">定义!$L$1:$L$6</definedName>
    <definedName name="商业公共部分装修" localSheetId="28">'比较法-商业'!$B$107:$M$107</definedName>
    <definedName name="商业公共部分装修" localSheetId="13">'[1]比较法-商业'!$B$107:$M$107</definedName>
    <definedName name="商业公共部分装修">'比较法-商业1'!$B$107:$M$107</definedName>
    <definedName name="商业基础设施水平" localSheetId="28">'比较法-商业'!$B$112:$M$112</definedName>
    <definedName name="商业基础设施水平" localSheetId="13">'[1]比较法-商业'!$B$112:$M$112</definedName>
    <definedName name="商业基础设施水平">'比较法-商业1'!$B$112:$M$112</definedName>
    <definedName name="商业建筑结构" localSheetId="28">'比较法-商业'!$B$105:$M$105</definedName>
    <definedName name="商业建筑结构" localSheetId="13">'[1]比较法-商业'!$B$105:$M$105</definedName>
    <definedName name="商业建筑结构">'比较法-商业1'!$B$105:$M$105</definedName>
    <definedName name="商业交易情况" localSheetId="28">'比较法-商业'!$A$61:$M$61</definedName>
    <definedName name="商业交易情况" localSheetId="13">'[1]比较法-商业'!$A$61:$M$61</definedName>
    <definedName name="商业交易情况">'比较法-商业1'!$A$61:$M$61</definedName>
    <definedName name="商业街名称" localSheetId="28">[1]修正!$C$59:$C$119</definedName>
    <definedName name="商业街名称" localSheetId="13">[1]修正!$C$59:$C$119</definedName>
    <definedName name="商业街名称">修正!$C$59:$C$119</definedName>
    <definedName name="商业进深比" localSheetId="28">'比较法-商业'!$B$120:$M$120</definedName>
    <definedName name="商业进深比" localSheetId="13">'[1]比较法-商业'!$B$120:$M$120</definedName>
    <definedName name="商业进深比">'比较法-商业1'!$B$120:$M$120</definedName>
    <definedName name="商业类型" localSheetId="28">'比较法-商业'!$B$100:$M$100</definedName>
    <definedName name="商业类型" localSheetId="13">'[1]比较法-商业'!$B$100:$M$100</definedName>
    <definedName name="商业类型">'比较法-商业1'!$B$100:$M$100</definedName>
    <definedName name="商业临街状况" localSheetId="28">'比较法-商业'!$B$86:$M$86</definedName>
    <definedName name="商业临街状况" localSheetId="13">'[1]比较法-商业'!$B$86:$M$86</definedName>
    <definedName name="商业临街状况">'比较法-商业1'!$B$86:$M$86</definedName>
    <definedName name="商业楼层" localSheetId="28">'比较法-商业'!$B$92:$M$92</definedName>
    <definedName name="商业楼层" localSheetId="13">'[1]比较法-商业'!$B$92:$M$92</definedName>
    <definedName name="商业楼层">'比较法-商业1'!$B$92:$M$92</definedName>
    <definedName name="商业楼总建面" localSheetId="26">#REF!</definedName>
    <definedName name="商业楼总建面" localSheetId="25">#REF!</definedName>
    <definedName name="商业楼总建面" localSheetId="35">#REF!</definedName>
    <definedName name="商业楼总建面" localSheetId="33">#REF!</definedName>
    <definedName name="商业楼总建面">#REF!</definedName>
    <definedName name="商业内部装修" localSheetId="28">'比较法-商业'!$B$122:$M$122</definedName>
    <definedName name="商业内部装修" localSheetId="13">'[1]比较法-商业'!$B$122:$M$122</definedName>
    <definedName name="商业内部装修">'比较法-商业1'!$B$122:$M$122</definedName>
    <definedName name="商业人流量" localSheetId="28">'比较法-商业'!$B$90:$M$90</definedName>
    <definedName name="商业人流量" localSheetId="13">'[1]比较法-商业'!$B$90:$M$90</definedName>
    <definedName name="商业人流量">'比较法-商业1'!$B$90:$M$90</definedName>
    <definedName name="商业业态" localSheetId="28">'比较法-商业'!$B$114:$M$114</definedName>
    <definedName name="商业业态" localSheetId="13">'[1]比较法-商业'!$B$114:$M$114</definedName>
    <definedName name="商业业态">'比较法-商业1'!$B$114:$M$114</definedName>
    <definedName name="商业用途" localSheetId="28">'比较法-商业'!$B$63:$M$63</definedName>
    <definedName name="商业用途" localSheetId="13">'[1]比较法-商业'!$B$63:$M$63</definedName>
    <definedName name="商业用途">'比较法-商业1'!$B$63:$M$63</definedName>
    <definedName name="商增1" localSheetId="26">#REF!</definedName>
    <definedName name="商增1" localSheetId="25">#REF!</definedName>
    <definedName name="商增1" localSheetId="35">#REF!</definedName>
    <definedName name="商增1" localSheetId="33">#REF!</definedName>
    <definedName name="商增1">#REF!</definedName>
    <definedName name="商增10" localSheetId="26">#REF!</definedName>
    <definedName name="商增10" localSheetId="25">#REF!</definedName>
    <definedName name="商增10" localSheetId="35">#REF!</definedName>
    <definedName name="商增10" localSheetId="33">#REF!</definedName>
    <definedName name="商增10">#REF!</definedName>
    <definedName name="商增2" localSheetId="26">#REF!</definedName>
    <definedName name="商增2" localSheetId="25">#REF!</definedName>
    <definedName name="商增2" localSheetId="35">#REF!</definedName>
    <definedName name="商增2" localSheetId="33">#REF!</definedName>
    <definedName name="商增2">#REF!</definedName>
    <definedName name="商增3" localSheetId="26">#REF!</definedName>
    <definedName name="商增3" localSheetId="25">#REF!</definedName>
    <definedName name="商增3" localSheetId="35">#REF!</definedName>
    <definedName name="商增3" localSheetId="33">#REF!</definedName>
    <definedName name="商增3">#REF!</definedName>
    <definedName name="商增4" localSheetId="26">#REF!</definedName>
    <definedName name="商增4" localSheetId="25">#REF!</definedName>
    <definedName name="商增4" localSheetId="35">#REF!</definedName>
    <definedName name="商增4" localSheetId="33">#REF!</definedName>
    <definedName name="商增4">#REF!</definedName>
    <definedName name="商增5" localSheetId="26">#REF!</definedName>
    <definedName name="商增5" localSheetId="25">#REF!</definedName>
    <definedName name="商增5" localSheetId="35">#REF!</definedName>
    <definedName name="商增5" localSheetId="33">#REF!</definedName>
    <definedName name="商增5">#REF!</definedName>
    <definedName name="商增6" localSheetId="26">#REF!</definedName>
    <definedName name="商增6" localSheetId="25">#REF!</definedName>
    <definedName name="商增6" localSheetId="35">#REF!</definedName>
    <definedName name="商增6" localSheetId="33">#REF!</definedName>
    <definedName name="商增6">#REF!</definedName>
    <definedName name="商增7" localSheetId="26">#REF!</definedName>
    <definedName name="商增7" localSheetId="25">#REF!</definedName>
    <definedName name="商增7" localSheetId="35">#REF!</definedName>
    <definedName name="商增7" localSheetId="33">#REF!</definedName>
    <definedName name="商增7">#REF!</definedName>
    <definedName name="商增8" localSheetId="26">#REF!</definedName>
    <definedName name="商增8" localSheetId="25">#REF!</definedName>
    <definedName name="商增8" localSheetId="35">#REF!</definedName>
    <definedName name="商增8" localSheetId="33">#REF!</definedName>
    <definedName name="商增8">#REF!</definedName>
    <definedName name="商增9" localSheetId="26">#REF!</definedName>
    <definedName name="商增9" localSheetId="25">#REF!</definedName>
    <definedName name="商增9" localSheetId="35">#REF!</definedName>
    <definedName name="商增9" localSheetId="33">#REF!</definedName>
    <definedName name="商增9">#REF!</definedName>
    <definedName name="商增四" localSheetId="26">#REF!</definedName>
    <definedName name="商增四" localSheetId="25">#REF!</definedName>
    <definedName name="商增四" localSheetId="35">#REF!</definedName>
    <definedName name="商增四" localSheetId="33">#REF!</definedName>
    <definedName name="商增四">#REF!</definedName>
    <definedName name="生产列1" localSheetId="26">#REF!</definedName>
    <definedName name="生产列1" localSheetId="25">#REF!</definedName>
    <definedName name="生产列1" localSheetId="35">#REF!</definedName>
    <definedName name="生产列1" localSheetId="33">#REF!</definedName>
    <definedName name="生产列1">#REF!</definedName>
    <definedName name="生产列11" localSheetId="26">#REF!</definedName>
    <definedName name="生产列11" localSheetId="25">#REF!</definedName>
    <definedName name="生产列11" localSheetId="35">#REF!</definedName>
    <definedName name="生产列11" localSheetId="33">#REF!</definedName>
    <definedName name="生产列11">#REF!</definedName>
    <definedName name="生产列15" localSheetId="26">#REF!</definedName>
    <definedName name="生产列15" localSheetId="25">#REF!</definedName>
    <definedName name="生产列15" localSheetId="35">#REF!</definedName>
    <definedName name="生产列15" localSheetId="33">#REF!</definedName>
    <definedName name="生产列15">#REF!</definedName>
    <definedName name="生产列16" localSheetId="26">#REF!</definedName>
    <definedName name="生产列16" localSheetId="25">#REF!</definedName>
    <definedName name="生产列16" localSheetId="35">#REF!</definedName>
    <definedName name="生产列16" localSheetId="33">#REF!</definedName>
    <definedName name="生产列16">#REF!</definedName>
    <definedName name="生产列17" localSheetId="26">#REF!</definedName>
    <definedName name="生产列17" localSheetId="25">#REF!</definedName>
    <definedName name="生产列17" localSheetId="35">#REF!</definedName>
    <definedName name="生产列17" localSheetId="33">#REF!</definedName>
    <definedName name="生产列17">#REF!</definedName>
    <definedName name="生产列19" localSheetId="26">#REF!</definedName>
    <definedName name="生产列19" localSheetId="25">#REF!</definedName>
    <definedName name="生产列19" localSheetId="35">#REF!</definedName>
    <definedName name="生产列19" localSheetId="33">#REF!</definedName>
    <definedName name="生产列19">#REF!</definedName>
    <definedName name="生产列2" localSheetId="26">#REF!</definedName>
    <definedName name="生产列2" localSheetId="25">#REF!</definedName>
    <definedName name="生产列2" localSheetId="35">#REF!</definedName>
    <definedName name="生产列2" localSheetId="33">#REF!</definedName>
    <definedName name="生产列2">#REF!</definedName>
    <definedName name="生产列20" localSheetId="26">#REF!</definedName>
    <definedName name="生产列20" localSheetId="25">#REF!</definedName>
    <definedName name="生产列20" localSheetId="35">#REF!</definedName>
    <definedName name="生产列20" localSheetId="33">#REF!</definedName>
    <definedName name="生产列20">#REF!</definedName>
    <definedName name="生产列3" localSheetId="26">#REF!</definedName>
    <definedName name="生产列3" localSheetId="25">#REF!</definedName>
    <definedName name="生产列3" localSheetId="35">#REF!</definedName>
    <definedName name="生产列3" localSheetId="33">#REF!</definedName>
    <definedName name="生产列3">#REF!</definedName>
    <definedName name="生产列4" localSheetId="26">#REF!</definedName>
    <definedName name="生产列4" localSheetId="25">#REF!</definedName>
    <definedName name="生产列4" localSheetId="35">#REF!</definedName>
    <definedName name="生产列4" localSheetId="33">#REF!</definedName>
    <definedName name="生产列4">#REF!</definedName>
    <definedName name="生产列5" localSheetId="26">#REF!</definedName>
    <definedName name="生产列5" localSheetId="25">#REF!</definedName>
    <definedName name="生产列5" localSheetId="35">#REF!</definedName>
    <definedName name="生产列5" localSheetId="33">#REF!</definedName>
    <definedName name="生产列5">#REF!</definedName>
    <definedName name="生产列6" localSheetId="26">#REF!</definedName>
    <definedName name="生产列6" localSheetId="25">#REF!</definedName>
    <definedName name="生产列6" localSheetId="35">#REF!</definedName>
    <definedName name="生产列6" localSheetId="33">#REF!</definedName>
    <definedName name="生产列6">#REF!</definedName>
    <definedName name="生产列7" localSheetId="26">#REF!</definedName>
    <definedName name="生产列7" localSheetId="25">#REF!</definedName>
    <definedName name="生产列7" localSheetId="35">#REF!</definedName>
    <definedName name="生产列7" localSheetId="33">#REF!</definedName>
    <definedName name="生产列7">#REF!</definedName>
    <definedName name="生产列8" localSheetId="26">#REF!</definedName>
    <definedName name="生产列8" localSheetId="25">#REF!</definedName>
    <definedName name="生产列8" localSheetId="35">#REF!</definedName>
    <definedName name="生产列8" localSheetId="33">#REF!</definedName>
    <definedName name="生产列8">#REF!</definedName>
    <definedName name="生产列9" localSheetId="26">#REF!</definedName>
    <definedName name="生产列9" localSheetId="25">#REF!</definedName>
    <definedName name="生产列9" localSheetId="35">#REF!</definedName>
    <definedName name="生产列9" localSheetId="33">#REF!</definedName>
    <definedName name="生产列9">#REF!</definedName>
    <definedName name="生产期" localSheetId="26">#REF!</definedName>
    <definedName name="生产期" localSheetId="25">#REF!</definedName>
    <definedName name="生产期" localSheetId="35">#REF!</definedName>
    <definedName name="生产期" localSheetId="33">#REF!</definedName>
    <definedName name="生产期">#REF!</definedName>
    <definedName name="生产期1" localSheetId="26">#REF!</definedName>
    <definedName name="生产期1" localSheetId="25">#REF!</definedName>
    <definedName name="生产期1" localSheetId="35">#REF!</definedName>
    <definedName name="生产期1" localSheetId="33">#REF!</definedName>
    <definedName name="生产期1">#REF!</definedName>
    <definedName name="生产期11" localSheetId="26">#REF!</definedName>
    <definedName name="生产期11" localSheetId="25">#REF!</definedName>
    <definedName name="生产期11" localSheetId="35">#REF!</definedName>
    <definedName name="生产期11" localSheetId="33">#REF!</definedName>
    <definedName name="生产期11">#REF!</definedName>
    <definedName name="生产期15" localSheetId="26">#REF!</definedName>
    <definedName name="生产期15" localSheetId="25">#REF!</definedName>
    <definedName name="生产期15" localSheetId="35">#REF!</definedName>
    <definedName name="生产期15" localSheetId="33">#REF!</definedName>
    <definedName name="生产期15">#REF!</definedName>
    <definedName name="生产期16" localSheetId="26">#REF!</definedName>
    <definedName name="生产期16" localSheetId="25">#REF!</definedName>
    <definedName name="生产期16" localSheetId="35">#REF!</definedName>
    <definedName name="生产期16" localSheetId="33">#REF!</definedName>
    <definedName name="生产期16">#REF!</definedName>
    <definedName name="生产期17" localSheetId="26">#REF!</definedName>
    <definedName name="生产期17" localSheetId="25">#REF!</definedName>
    <definedName name="生产期17" localSheetId="35">#REF!</definedName>
    <definedName name="生产期17" localSheetId="33">#REF!</definedName>
    <definedName name="生产期17">#REF!</definedName>
    <definedName name="生产期19" localSheetId="26">#REF!</definedName>
    <definedName name="生产期19" localSheetId="25">#REF!</definedName>
    <definedName name="生产期19" localSheetId="35">#REF!</definedName>
    <definedName name="生产期19" localSheetId="33">#REF!</definedName>
    <definedName name="生产期19">#REF!</definedName>
    <definedName name="生产期2" localSheetId="26">#REF!</definedName>
    <definedName name="生产期2" localSheetId="25">#REF!</definedName>
    <definedName name="生产期2" localSheetId="35">#REF!</definedName>
    <definedName name="生产期2" localSheetId="33">#REF!</definedName>
    <definedName name="生产期2">#REF!</definedName>
    <definedName name="生产期20" localSheetId="26">#REF!</definedName>
    <definedName name="生产期20" localSheetId="25">#REF!</definedName>
    <definedName name="生产期20" localSheetId="35">#REF!</definedName>
    <definedName name="生产期20" localSheetId="33">#REF!</definedName>
    <definedName name="生产期20">#REF!</definedName>
    <definedName name="生产期3" localSheetId="26">#REF!</definedName>
    <definedName name="生产期3" localSheetId="25">#REF!</definedName>
    <definedName name="生产期3" localSheetId="35">#REF!</definedName>
    <definedName name="生产期3" localSheetId="33">#REF!</definedName>
    <definedName name="生产期3">#REF!</definedName>
    <definedName name="生产期4" localSheetId="26">#REF!</definedName>
    <definedName name="生产期4" localSheetId="25">#REF!</definedName>
    <definedName name="生产期4" localSheetId="35">#REF!</definedName>
    <definedName name="生产期4" localSheetId="33">#REF!</definedName>
    <definedName name="生产期4">#REF!</definedName>
    <definedName name="生产期5" localSheetId="26">#REF!</definedName>
    <definedName name="生产期5" localSheetId="25">#REF!</definedName>
    <definedName name="生产期5" localSheetId="35">#REF!</definedName>
    <definedName name="生产期5" localSheetId="33">#REF!</definedName>
    <definedName name="生产期5">#REF!</definedName>
    <definedName name="生产期6" localSheetId="26">#REF!</definedName>
    <definedName name="生产期6" localSheetId="25">#REF!</definedName>
    <definedName name="生产期6" localSheetId="35">#REF!</definedName>
    <definedName name="生产期6" localSheetId="33">#REF!</definedName>
    <definedName name="生产期6">#REF!</definedName>
    <definedName name="生产期7" localSheetId="26">#REF!</definedName>
    <definedName name="生产期7" localSheetId="25">#REF!</definedName>
    <definedName name="生产期7" localSheetId="35">#REF!</definedName>
    <definedName name="生产期7" localSheetId="33">#REF!</definedName>
    <definedName name="生产期7">#REF!</definedName>
    <definedName name="生产期8" localSheetId="26">#REF!</definedName>
    <definedName name="生产期8" localSheetId="25">#REF!</definedName>
    <definedName name="生产期8" localSheetId="35">#REF!</definedName>
    <definedName name="生产期8" localSheetId="33">#REF!</definedName>
    <definedName name="生产期8">#REF!</definedName>
    <definedName name="生产期9" localSheetId="26">#REF!</definedName>
    <definedName name="生产期9" localSheetId="25">#REF!</definedName>
    <definedName name="生产期9" localSheetId="35">#REF!</definedName>
    <definedName name="生产期9" localSheetId="33">#REF!</definedName>
    <definedName name="生产期9">#REF!</definedName>
    <definedName name="剩余" localSheetId="26">#REF!</definedName>
    <definedName name="剩余" localSheetId="25">#REF!</definedName>
    <definedName name="剩余" localSheetId="35">#REF!</definedName>
    <definedName name="剩余" localSheetId="33">#REF!</definedName>
    <definedName name="剩余">#REF!</definedName>
    <definedName name="施工费用" localSheetId="26">#REF!,#REF!,#REF!,#REF!,#REF!,#REF!,#REF!,#REF!,#REF!,#REF!,#REF!,#REF!</definedName>
    <definedName name="施工费用" localSheetId="25">#REF!,#REF!,#REF!,#REF!,#REF!,#REF!,#REF!,#REF!,#REF!,#REF!,#REF!,#REF!</definedName>
    <definedName name="施工费用" localSheetId="35">#REF!,#REF!,#REF!,#REF!,#REF!,#REF!,#REF!,#REF!,#REF!,#REF!,#REF!,#REF!</definedName>
    <definedName name="施工费用" localSheetId="33">#REF!,#REF!,#REF!,#REF!,#REF!,#REF!,#REF!,#REF!,#REF!,#REF!,#REF!,#REF!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6">#REF!</definedName>
    <definedName name="石健华" localSheetId="25">#REF!</definedName>
    <definedName name="石健华" localSheetId="35">#REF!</definedName>
    <definedName name="石健华" localSheetId="33">#REF!</definedName>
    <definedName name="石健华">#REF!</definedName>
    <definedName name="实际付款金额" localSheetId="26">#REF!</definedName>
    <definedName name="实际付款金额" localSheetId="25">#REF!</definedName>
    <definedName name="实际付款金额" localSheetId="35">#REF!</definedName>
    <definedName name="实际付款金额" localSheetId="33">#REF!</definedName>
    <definedName name="实际付款金额">#REF!</definedName>
    <definedName name="实际付款时间" localSheetId="26">#REF!</definedName>
    <definedName name="实际付款时间" localSheetId="25">#REF!</definedName>
    <definedName name="实际付款时间" localSheetId="35">#REF!</definedName>
    <definedName name="实际付款时间" localSheetId="33">#REF!</definedName>
    <definedName name="实际付款时间">#REF!</definedName>
    <definedName name="实际开发总成本" localSheetId="26">#REF!</definedName>
    <definedName name="实际开发总成本" localSheetId="25">#REF!</definedName>
    <definedName name="实际开发总成本" localSheetId="35">#REF!</definedName>
    <definedName name="实际开发总成本" localSheetId="33">#REF!</definedName>
    <definedName name="实际开发总成本">#REF!</definedName>
    <definedName name="事实上" localSheetId="26">#REF!</definedName>
    <definedName name="事实上" localSheetId="25">#REF!</definedName>
    <definedName name="事实上" localSheetId="35">#REF!</definedName>
    <definedName name="事实上" localSheetId="33">#REF!</definedName>
    <definedName name="事实上">#REF!</definedName>
    <definedName name="是否封闭" localSheetId="28">'[1]比较法-仓储'!$B$89:$M$89</definedName>
    <definedName name="是否封闭" localSheetId="13">'[1]比较法-仓储'!$B$89:$M$89</definedName>
    <definedName name="是否封闭">'比较法-仓储'!$B$89:$M$89</definedName>
    <definedName name="是否直接入户" localSheetId="28">'[1]比较法-车位'!$B$95:$M$95</definedName>
    <definedName name="是否直接入户" localSheetId="13">'[1]比较法-车位'!$B$95:$M$95</definedName>
    <definedName name="是否直接入户">'比较法-车位'!$B$95:$M$95</definedName>
    <definedName name="收入游" hidden="1">"c1023"</definedName>
    <definedName name="数据" localSheetId="26">#REF!</definedName>
    <definedName name="数据" localSheetId="25">#REF!</definedName>
    <definedName name="数据" localSheetId="35">#REF!</definedName>
    <definedName name="数据" localSheetId="33">#REF!</definedName>
    <definedName name="数据">#REF!</definedName>
    <definedName name="四级">区片价!$K$1:$K$28</definedName>
    <definedName name="四期" localSheetId="26">#REF!</definedName>
    <definedName name="四期" localSheetId="25">#REF!</definedName>
    <definedName name="四期" localSheetId="35">#REF!</definedName>
    <definedName name="四期" localSheetId="33">#REF!</definedName>
    <definedName name="四期">#REF!</definedName>
    <definedName name="四期装修" localSheetId="26">#REF!</definedName>
    <definedName name="四期装修" localSheetId="25">#REF!</definedName>
    <definedName name="四期装修" localSheetId="35">#REF!</definedName>
    <definedName name="四期装修" localSheetId="33">#REF!</definedName>
    <definedName name="四期装修">#REF!</definedName>
    <definedName name="损益" localSheetId="26">#REF!</definedName>
    <definedName name="损益" localSheetId="25">#REF!</definedName>
    <definedName name="损益" localSheetId="35">#REF!</definedName>
    <definedName name="损益" localSheetId="33">#REF!</definedName>
    <definedName name="损益" localSheetId="36">#REF!</definedName>
    <definedName name="损益">#REF!</definedName>
    <definedName name="损益表" localSheetId="26">#REF!</definedName>
    <definedName name="损益表" localSheetId="25">#REF!</definedName>
    <definedName name="损益表" localSheetId="35">#REF!</definedName>
    <definedName name="损益表" localSheetId="33">#REF!</definedName>
    <definedName name="损益表" localSheetId="36">#REF!</definedName>
    <definedName name="损益表">#REF!</definedName>
    <definedName name="所得税" localSheetId="26">#REF!</definedName>
    <definedName name="所得税" localSheetId="25">#REF!</definedName>
    <definedName name="所得税" localSheetId="35">#REF!</definedName>
    <definedName name="所得税" localSheetId="33">#REF!</definedName>
    <definedName name="所得税" localSheetId="36">#REF!</definedName>
    <definedName name="所得税">#REF!</definedName>
    <definedName name="所得税税率" localSheetId="26">#REF!</definedName>
    <definedName name="所得税税率" localSheetId="25">#REF!</definedName>
    <definedName name="所得税税率" localSheetId="35">#REF!</definedName>
    <definedName name="所得税税率" localSheetId="33">#REF!</definedName>
    <definedName name="所得税税率">#REF!</definedName>
    <definedName name="他面積" localSheetId="26">#REF!</definedName>
    <definedName name="他面積" localSheetId="25">#REF!</definedName>
    <definedName name="他面積" localSheetId="35">#REF!</definedName>
    <definedName name="他面積" localSheetId="33">#REF!</definedName>
    <definedName name="他面積">#REF!</definedName>
    <definedName name="他収入" localSheetId="26">#REF!</definedName>
    <definedName name="他収入" localSheetId="25">#REF!</definedName>
    <definedName name="他収入" localSheetId="35">#REF!</definedName>
    <definedName name="他収入" localSheetId="33">#REF!</definedName>
    <definedName name="他収入">#REF!</definedName>
    <definedName name="套工道路等级" localSheetId="28">'[1]土地比较法-工业'!$B$97:$M$97</definedName>
    <definedName name="套工道路等级" localSheetId="13">'[1]土地比较法-工业'!$B$97:$M$97</definedName>
    <definedName name="套工道路等级">'土地比较法-工业'!$B$97:$M$97</definedName>
    <definedName name="套工地质条件" localSheetId="28">'[1]土地比较法-工业'!$B$114:$M$114</definedName>
    <definedName name="套工地质条件" localSheetId="13">'[1]土地比较法-工业'!$B$114:$M$114</definedName>
    <definedName name="套工地质条件">'土地比较法-工业'!$B$114:$M$114</definedName>
    <definedName name="套工交易情况" localSheetId="28">'[1]土地比较法-住宅、综合'!$A$73:$M$73</definedName>
    <definedName name="套工交易情况" localSheetId="13">'[1]土地比较法-住宅、综合'!$A$73:$M$73</definedName>
    <definedName name="套工交易情况">'土地比较法-住宅、综合'!$A$73:$M$73</definedName>
    <definedName name="套工土地级别" localSheetId="28">'[1]土地比较法-工业'!$B$99:$M$99</definedName>
    <definedName name="套工土地级别" localSheetId="13">'[1]土地比较法-工业'!$B$99:$M$99</definedName>
    <definedName name="套工土地级别">'土地比较法-工业'!$B$99:$M$99</definedName>
    <definedName name="套工用途" localSheetId="28">'[1]土地比较法-工业'!$B$70:$M$70</definedName>
    <definedName name="套工用途" localSheetId="13">'[1]土地比较法-工业'!$B$70:$M$70</definedName>
    <definedName name="套工用途">'土地比较法-工业'!$B$70:$M$70</definedName>
    <definedName name="套工宗地开发程度" localSheetId="28">'[1]土地比较法-工业'!$B$112:$M$112</definedName>
    <definedName name="套工宗地开发程度" localSheetId="13">'[1]土地比较法-工业'!$B$112:$M$112</definedName>
    <definedName name="套工宗地开发程度">'土地比较法-工业'!$B$112:$M$112</definedName>
    <definedName name="套工宗地形状" localSheetId="28">'[1]土地比较法-工业'!$B$110:$M$110</definedName>
    <definedName name="套工宗地形状" localSheetId="13">'[1]土地比较法-工业'!$B$110:$M$110</definedName>
    <definedName name="套工宗地形状">'土地比较法-工业'!$B$110:$M$110</definedName>
    <definedName name="套综道路等级" localSheetId="28">'[1]土地比较法-住宅、综合'!$B$106:$M$106</definedName>
    <definedName name="套综道路等级" localSheetId="13">'[1]土地比较法-住宅、综合'!$B$106:$M$106</definedName>
    <definedName name="套综道路等级">'土地比较法-住宅、综合'!$B$106:$M$106</definedName>
    <definedName name="套综工程地质条件" localSheetId="28">'[1]土地比较法-住宅、综合'!$B$125:$M$125</definedName>
    <definedName name="套综工程地质条件" localSheetId="13">'[1]土地比较法-住宅、综合'!$B$125:$M$125</definedName>
    <definedName name="套综工程地质条件">'土地比较法-住宅、综合'!$B$125:$M$125</definedName>
    <definedName name="套综交易情况" localSheetId="28">'[1]土地比较法-住宅、综合'!$A$73:$M$73</definedName>
    <definedName name="套综交易情况" localSheetId="13">'[1]土地比较法-住宅、综合'!$A$73:$M$73</definedName>
    <definedName name="套综交易情况">'土地比较法-住宅、综合'!$A$73:$M$73</definedName>
    <definedName name="套综临街宽度及深度" localSheetId="28">'[1]土地比较法-住宅、综合'!$B$121:$M$121</definedName>
    <definedName name="套综临街宽度及深度" localSheetId="13">'[1]土地比较法-住宅、综合'!$B$121:$M$121</definedName>
    <definedName name="套综临街宽度及深度">'土地比较法-住宅、综合'!$B$121:$M$121</definedName>
    <definedName name="套综土地级别" localSheetId="28">'[1]土地比较法-住宅、综合'!$B$108:$M$108</definedName>
    <definedName name="套综土地级别" localSheetId="13">'[1]土地比较法-住宅、综合'!$B$108:$M$108</definedName>
    <definedName name="套综土地级别">'土地比较法-住宅、综合'!$B$108:$M$108</definedName>
    <definedName name="套综用途" localSheetId="28">'[1]土地比较法-住宅、综合'!$B$75:$M$75</definedName>
    <definedName name="套综用途" localSheetId="13">'[1]土地比较法-住宅、综合'!$B$75:$M$75</definedName>
    <definedName name="套综用途">'土地比较法-住宅、综合'!$B$75:$M$75</definedName>
    <definedName name="套综宗地内开发程度" localSheetId="28">'[1]土地比较法-住宅、综合'!$B$123:$M$123</definedName>
    <definedName name="套综宗地内开发程度" localSheetId="13">'[1]土地比较法-住宅、综合'!$B$123:$M$123</definedName>
    <definedName name="套综宗地内开发程度">'土地比较法-住宅、综合'!$B$123:$M$123</definedName>
    <definedName name="套综宗地形状" localSheetId="28">'[1]土地比较法-住宅、综合'!$B$119:$M$119</definedName>
    <definedName name="套综宗地形状" localSheetId="13">'[1]土地比较法-住宅、综合'!$B$119:$M$119</definedName>
    <definedName name="套综宗地形状">'土地比较法-住宅、综合'!$B$119:$M$119</definedName>
    <definedName name="_xlnm.Extract" localSheetId="26">#REF!</definedName>
    <definedName name="_xlnm.Extract" localSheetId="25">#REF!</definedName>
    <definedName name="_xlnm.Extract" localSheetId="35">#REF!</definedName>
    <definedName name="_xlnm.Extract" localSheetId="33">#REF!</definedName>
    <definedName name="_xlnm.Extract">#REF!</definedName>
    <definedName name="停车位" localSheetId="26">#REF!</definedName>
    <definedName name="停车位" localSheetId="25">#REF!</definedName>
    <definedName name="停车位" localSheetId="35">#REF!</definedName>
    <definedName name="停车位" localSheetId="33">#REF!</definedName>
    <definedName name="停车位">#REF!</definedName>
    <definedName name="投资" localSheetId="26">#REF!</definedName>
    <definedName name="投资" localSheetId="25">#REF!</definedName>
    <definedName name="投资" localSheetId="35">#REF!</definedName>
    <definedName name="投资" localSheetId="33">#REF!</definedName>
    <definedName name="投资" localSheetId="36">#REF!</definedName>
    <definedName name="投资">#REF!</definedName>
    <definedName name="投资收益" localSheetId="26">#REF!</definedName>
    <definedName name="投资收益" localSheetId="25">#REF!</definedName>
    <definedName name="投资收益" localSheetId="35">#REF!</definedName>
    <definedName name="投资收益" localSheetId="33">#REF!</definedName>
    <definedName name="投资收益" localSheetId="36">#REF!</definedName>
    <definedName name="投资收益">#REF!</definedName>
    <definedName name="土地" localSheetId="26">#REF!</definedName>
    <definedName name="土地" localSheetId="25">#REF!</definedName>
    <definedName name="土地" localSheetId="35">#REF!</definedName>
    <definedName name="土地" localSheetId="33">#REF!</definedName>
    <definedName name="土地">#REF!</definedName>
    <definedName name="土地估价师">估价师及机构信息!$D$3:$D$24</definedName>
    <definedName name="土地级别" localSheetId="28">[1]定义!$C$1:$C$14</definedName>
    <definedName name="土地级别" localSheetId="13">[1]定义!$C$1:$C$14</definedName>
    <definedName name="土地级别">定义!$C$1:$C$14</definedName>
    <definedName name="土地交易税税率" localSheetId="26">#REF!</definedName>
    <definedName name="土地交易税税率" localSheetId="25">#REF!</definedName>
    <definedName name="土地交易税税率" localSheetId="35">#REF!</definedName>
    <definedName name="土地交易税税率" localSheetId="33">#REF!</definedName>
    <definedName name="土地交易税税率">#REF!</definedName>
    <definedName name="土地利用方向">定义!$P$1:$P$6</definedName>
    <definedName name="土地面积平方米" localSheetId="26">#REF!</definedName>
    <definedName name="土地面积平方米" localSheetId="25">#REF!</definedName>
    <definedName name="土地面积平方米" localSheetId="35">#REF!</definedName>
    <definedName name="土地面积平方米" localSheetId="33">#REF!</definedName>
    <definedName name="土地面积平方米">#REF!</definedName>
    <definedName name="土地年限区间" localSheetId="28">[1]定义!$I$1:$I$8</definedName>
    <definedName name="土地年限区间" localSheetId="13">[1]定义!$I$1:$I$8</definedName>
    <definedName name="土地年限区间">定义!$I$1:$I$8</definedName>
    <definedName name="土地增值税补缴" localSheetId="26">#REF!</definedName>
    <definedName name="土地增值税补缴" localSheetId="25">#REF!</definedName>
    <definedName name="土地增值税补缴" localSheetId="35">#REF!</definedName>
    <definedName name="土地增值税补缴" localSheetId="33">#REF!</definedName>
    <definedName name="土地增值税补缴">#REF!</definedName>
    <definedName name="土地增值税预缴税率" localSheetId="26">#REF!</definedName>
    <definedName name="土地增值税预缴税率" localSheetId="25">#REF!</definedName>
    <definedName name="土地增值税预缴税率" localSheetId="35">#REF!</definedName>
    <definedName name="土地增值税预缴税率" localSheetId="33">#REF!</definedName>
    <definedName name="土地增值税预缴税率">#REF!</definedName>
    <definedName name="外方投资" localSheetId="26">#REF!</definedName>
    <definedName name="外方投资" localSheetId="25">#REF!</definedName>
    <definedName name="外方投资" localSheetId="35">#REF!</definedName>
    <definedName name="外方投资" localSheetId="33">#REF!</definedName>
    <definedName name="外方投资" localSheetId="36">#REF!</definedName>
    <definedName name="外方投资">#REF!</definedName>
    <definedName name="往来余额表" localSheetId="26">#REF!</definedName>
    <definedName name="往来余额表" localSheetId="25">#REF!</definedName>
    <definedName name="往来余额表" localSheetId="35">#REF!</definedName>
    <definedName name="往来余额表" localSheetId="33">#REF!</definedName>
    <definedName name="往来余额表" localSheetId="36">#REF!</definedName>
    <definedName name="往来余额表">#REF!</definedName>
    <definedName name="未分配利润" localSheetId="26">#REF!</definedName>
    <definedName name="未分配利润" localSheetId="25">#REF!</definedName>
    <definedName name="未分配利润" localSheetId="35">#REF!</definedName>
    <definedName name="未分配利润" localSheetId="33">#REF!</definedName>
    <definedName name="未分配利润" localSheetId="36">#REF!</definedName>
    <definedName name="未分配利润">#REF!</definedName>
    <definedName name="位置" localSheetId="28">[1]定义!$E$2:$E$4</definedName>
    <definedName name="位置" localSheetId="13">[1]定义!$E$2:$E$4</definedName>
    <definedName name="位置">定义!$E$2:$E$4</definedName>
    <definedName name="无形资产" localSheetId="26">#REF!</definedName>
    <definedName name="无形资产" localSheetId="25">#REF!</definedName>
    <definedName name="无形资产" localSheetId="35">#REF!</definedName>
    <definedName name="无形资产" localSheetId="33">#REF!</definedName>
    <definedName name="无形资产" localSheetId="36">#REF!</definedName>
    <definedName name="无形资产">#REF!</definedName>
    <definedName name="五等判定" localSheetId="28">[1]定义!$W$1:$W$6</definedName>
    <definedName name="五等判定" localSheetId="13">[1]定义!$W$1:$W$6</definedName>
    <definedName name="五等判定">定义!$W$1:$W$6</definedName>
    <definedName name="五级">区片价!$L$1:$L$35</definedName>
    <definedName name="五期" localSheetId="26">#REF!</definedName>
    <definedName name="五期" localSheetId="25">#REF!</definedName>
    <definedName name="五期" localSheetId="35">#REF!</definedName>
    <definedName name="五期" localSheetId="33">#REF!</definedName>
    <definedName name="五期">#REF!</definedName>
    <definedName name="五期装修" localSheetId="26">#REF!</definedName>
    <definedName name="五期装修" localSheetId="25">#REF!</definedName>
    <definedName name="五期装修" localSheetId="35">#REF!</definedName>
    <definedName name="五期装修" localSheetId="33">#REF!</definedName>
    <definedName name="五期装修">#REF!</definedName>
    <definedName name="五期总建面" localSheetId="26">#REF!</definedName>
    <definedName name="五期总建面" localSheetId="25">#REF!</definedName>
    <definedName name="五期总建面" localSheetId="35">#REF!</definedName>
    <definedName name="五期总建面" localSheetId="33">#REF!</definedName>
    <definedName name="五期总建面">#REF!</definedName>
    <definedName name="物业比例" localSheetId="26">#REF!,#REF!,#REF!,#REF!,#REF!,#REF!,#REF!,#REF!,#REF!</definedName>
    <definedName name="物业比例" localSheetId="25">#REF!,#REF!,#REF!,#REF!,#REF!,#REF!,#REF!,#REF!,#REF!</definedName>
    <definedName name="物业比例" localSheetId="35">#REF!,#REF!,#REF!,#REF!,#REF!,#REF!,#REF!,#REF!,#REF!</definedName>
    <definedName name="物业比例" localSheetId="33">#REF!,#REF!,#REF!,#REF!,#REF!,#REF!,#REF!,#REF!,#REF!</definedName>
    <definedName name="物业比例">#REF!,#REF!,#REF!,#REF!,#REF!,#REF!,#REF!,#REF!,#REF!</definedName>
    <definedName name="西安" localSheetId="26" hidden="1">#REF!</definedName>
    <definedName name="西安" localSheetId="25" hidden="1">#REF!</definedName>
    <definedName name="西安" localSheetId="35" hidden="1">#REF!</definedName>
    <definedName name="西安" localSheetId="33" hidden="1">#REF!</definedName>
    <definedName name="西安" localSheetId="36" hidden="1">#REF!</definedName>
    <definedName name="西安" hidden="1">#REF!</definedName>
    <definedName name="西安1" localSheetId="26" hidden="1">#REF!</definedName>
    <definedName name="西安1" localSheetId="25" hidden="1">#REF!</definedName>
    <definedName name="西安1" localSheetId="35" hidden="1">#REF!</definedName>
    <definedName name="西安1" localSheetId="33" hidden="1">#REF!</definedName>
    <definedName name="西安1" localSheetId="36" hidden="1">#REF!</definedName>
    <definedName name="西安1" hidden="1">#REF!</definedName>
    <definedName name="西安2" localSheetId="26" hidden="1">#REF!</definedName>
    <definedName name="西安2" localSheetId="25" hidden="1">#REF!</definedName>
    <definedName name="西安2" localSheetId="35" hidden="1">#REF!</definedName>
    <definedName name="西安2" localSheetId="33" hidden="1">#REF!</definedName>
    <definedName name="西安2" localSheetId="36" hidden="1">#REF!</definedName>
    <definedName name="西安2" hidden="1">#REF!</definedName>
    <definedName name="现金" localSheetId="26">#REF!</definedName>
    <definedName name="现金" localSheetId="25">#REF!</definedName>
    <definedName name="现金" localSheetId="35">#REF!</definedName>
    <definedName name="现金" localSheetId="33">#REF!</definedName>
    <definedName name="现金" localSheetId="36">#REF!</definedName>
    <definedName name="现金">#REF!</definedName>
    <definedName name="项目类型" localSheetId="28">'[1]数据-汇总表'!$C$17:$C$26</definedName>
    <definedName name="项目类型" localSheetId="13">'[1]数据-汇总表'!$C$17:$C$26</definedName>
    <definedName name="项目类型">'数据-汇总表'!$C$17:$C$26</definedName>
    <definedName name="项目名称" localSheetId="26">#REF!</definedName>
    <definedName name="项目名称" localSheetId="25">#REF!</definedName>
    <definedName name="项目名称" localSheetId="35">#REF!</definedName>
    <definedName name="项目名称" localSheetId="33">#REF!</definedName>
    <definedName name="项目名称">#REF!</definedName>
    <definedName name="销货净额" localSheetId="26">#REF!</definedName>
    <definedName name="销货净额" localSheetId="25">#REF!</definedName>
    <definedName name="销货净额" localSheetId="35">#REF!</definedName>
    <definedName name="销货净额" localSheetId="33">#REF!</definedName>
    <definedName name="销货净额" localSheetId="36">#REF!</definedName>
    <definedName name="销货净额">#REF!</definedName>
    <definedName name="销售费用" localSheetId="26">#REF!</definedName>
    <definedName name="销售费用" localSheetId="25">#REF!</definedName>
    <definedName name="销售费用" localSheetId="35">#REF!</definedName>
    <definedName name="销售费用" localSheetId="33">#REF!</definedName>
    <definedName name="销售费用" localSheetId="36">#REF!</definedName>
    <definedName name="销售费用">#REF!</definedName>
    <definedName name="销售回款比率" localSheetId="26">#REF!</definedName>
    <definedName name="销售回款比率" localSheetId="25">#REF!</definedName>
    <definedName name="销售回款比率" localSheetId="35">#REF!</definedName>
    <definedName name="销售回款比率" localSheetId="33">#REF!</definedName>
    <definedName name="销售回款比率">#REF!</definedName>
    <definedName name="销售价格变动率" localSheetId="26">#REF!</definedName>
    <definedName name="销售价格变动率" localSheetId="25">#REF!</definedName>
    <definedName name="销售价格变动率" localSheetId="35">#REF!</definedName>
    <definedName name="销售价格变动率" localSheetId="33">#REF!</definedName>
    <definedName name="销售价格变动率">#REF!</definedName>
    <definedName name="销售收入" localSheetId="26">#REF!</definedName>
    <definedName name="销售收入" localSheetId="25">#REF!</definedName>
    <definedName name="销售收入" localSheetId="35">#REF!</definedName>
    <definedName name="销售收入" localSheetId="33">#REF!</definedName>
    <definedName name="销售收入">#REF!</definedName>
    <definedName name="销售折扣和折让" localSheetId="26">#REF!</definedName>
    <definedName name="销售折扣和折让" localSheetId="25">#REF!</definedName>
    <definedName name="销售折扣和折让" localSheetId="35">#REF!</definedName>
    <definedName name="销售折扣和折让" localSheetId="33">#REF!</definedName>
    <definedName name="销售折扣和折让" localSheetId="36">#REF!</definedName>
    <definedName name="销售折扣和折让">#REF!</definedName>
    <definedName name="写字楼等级" localSheetId="28">'[1]比较法-办公'!$B$113:$M$113</definedName>
    <definedName name="写字楼等级" localSheetId="13">'[1]比较法-办公'!$B$113:$M$113</definedName>
    <definedName name="写字楼等级">'比较法-办公'!$B$113:$M$113</definedName>
    <definedName name="信托股权总额" localSheetId="26">#REF!</definedName>
    <definedName name="信托股权总额" localSheetId="25">#REF!</definedName>
    <definedName name="信托股权总额" localSheetId="35">#REF!</definedName>
    <definedName name="信托股权总额" localSheetId="33">#REF!</definedName>
    <definedName name="信托股权总额">#REF!</definedName>
    <definedName name="信托债权收益比率" localSheetId="26">#REF!</definedName>
    <definedName name="信托债权收益比率" localSheetId="25">#REF!</definedName>
    <definedName name="信托债权收益比率" localSheetId="35">#REF!</definedName>
    <definedName name="信托债权收益比率" localSheetId="33">#REF!</definedName>
    <definedName name="信托债权收益比率">#REF!</definedName>
    <definedName name="信托债权总额" localSheetId="26">#REF!</definedName>
    <definedName name="信托债权总额" localSheetId="25">#REF!</definedName>
    <definedName name="信托债权总额" localSheetId="35">#REF!</definedName>
    <definedName name="信托债权总额" localSheetId="33">#REF!</definedName>
    <definedName name="信托债权总额">#REF!</definedName>
    <definedName name="一表" localSheetId="26">#REF!</definedName>
    <definedName name="一表" localSheetId="25">#REF!</definedName>
    <definedName name="一表" localSheetId="35">#REF!</definedName>
    <definedName name="一表" localSheetId="33">#REF!</definedName>
    <definedName name="一表" localSheetId="36">#REF!</definedName>
    <definedName name="一表">#REF!</definedName>
    <definedName name="一级" localSheetId="36">#REF!</definedName>
    <definedName name="一级">区片价!$H$1:$H$6</definedName>
    <definedName name="一年内到期的长期负债" localSheetId="26">#REF!</definedName>
    <definedName name="一年内到期的长期负债" localSheetId="25">#REF!</definedName>
    <definedName name="一年内到期的长期负债" localSheetId="35">#REF!</definedName>
    <definedName name="一年内到期的长期负债" localSheetId="33">#REF!</definedName>
    <definedName name="一年内到期的长期负债" localSheetId="36">#REF!</definedName>
    <definedName name="一年内到期的长期负债">#REF!</definedName>
    <definedName name="一年内到期的长期投资" localSheetId="26">#REF!</definedName>
    <definedName name="一年内到期的长期投资" localSheetId="25">#REF!</definedName>
    <definedName name="一年内到期的长期投资" localSheetId="35">#REF!</definedName>
    <definedName name="一年内到期的长期投资" localSheetId="33">#REF!</definedName>
    <definedName name="一年内到期的长期投资" localSheetId="36">#REF!</definedName>
    <definedName name="一年内到期的长期投资">#REF!</definedName>
    <definedName name="一年以上的应收款项" localSheetId="26">#REF!</definedName>
    <definedName name="一年以上的应收款项" localSheetId="25">#REF!</definedName>
    <definedName name="一年以上的应收款项" localSheetId="35">#REF!</definedName>
    <definedName name="一年以上的应收款项" localSheetId="33">#REF!</definedName>
    <definedName name="一年以上的应收款项" localSheetId="36">#REF!</definedName>
    <definedName name="一年以上的应收款项">#REF!</definedName>
    <definedName name="一期" localSheetId="26">#REF!</definedName>
    <definedName name="一期" localSheetId="25">#REF!</definedName>
    <definedName name="一期" localSheetId="35">#REF!</definedName>
    <definedName name="一期" localSheetId="33">#REF!</definedName>
    <definedName name="一期">#REF!</definedName>
    <definedName name="一期装修" localSheetId="26">#REF!</definedName>
    <definedName name="一期装修" localSheetId="25">#REF!</definedName>
    <definedName name="一期装修" localSheetId="35">#REF!</definedName>
    <definedName name="一期装修" localSheetId="33">#REF!</definedName>
    <definedName name="一期装修">#REF!</definedName>
    <definedName name="一修多修正项2" localSheetId="28">[1]典型户型修正!$5:$5</definedName>
    <definedName name="一修多修正项2" localSheetId="13">[1]典型户型修正!$5:$5</definedName>
    <definedName name="一修多修正项2">典型户型修正!$5:$5</definedName>
    <definedName name="一修多修正项3" localSheetId="28">[1]典型户型修正!$7:$7</definedName>
    <definedName name="一修多修正项3" localSheetId="13">[1]典型户型修正!$7:$7</definedName>
    <definedName name="一修多修正项3">典型户型修正!$7:$7</definedName>
    <definedName name="一修多修正项4" localSheetId="28">[1]典型户型修正!$9:$9</definedName>
    <definedName name="一修多修正项4" localSheetId="13">[1]典型户型修正!$9:$9</definedName>
    <definedName name="一修多修正项4">典型户型修正!$9:$9</definedName>
    <definedName name="一修多修正项5" localSheetId="28">[1]典型户型修正!$11:$11</definedName>
    <definedName name="一修多修正项5" localSheetId="13">[1]典型户型修正!$11:$11</definedName>
    <definedName name="一修多修正项5">典型户型修正!$11:$11</definedName>
    <definedName name="一修多修正项6" localSheetId="28">[1]典型户型修正!$13:$13</definedName>
    <definedName name="一修多修正项6" localSheetId="13">[1]典型户型修正!$13:$13</definedName>
    <definedName name="一修多修正项6">典型户型修正!$13:$13</definedName>
    <definedName name="一修多修正项7" localSheetId="28">[1]典型户型修正!$15:$15</definedName>
    <definedName name="一修多修正项7" localSheetId="13">[1]典型户型修正!$15:$15</definedName>
    <definedName name="一修多修正项7">典型户型修正!$15:$15</definedName>
    <definedName name="一修多修正项8" localSheetId="28">[1]典型户型修正!$17:$17</definedName>
    <definedName name="一修多修正项8" localSheetId="13">[1]典型户型修正!$17:$17</definedName>
    <definedName name="一修多修正项8">典型户型修正!$17:$17</definedName>
    <definedName name="依据" localSheetId="26">#REF!</definedName>
    <definedName name="依据" localSheetId="25">#REF!</definedName>
    <definedName name="依据" localSheetId="35">#REF!</definedName>
    <definedName name="依据" localSheetId="33">#REF!</definedName>
    <definedName name="依据">#REF!</definedName>
    <definedName name="已归还投资" localSheetId="26">#REF!</definedName>
    <definedName name="已归还投资" localSheetId="25">#REF!</definedName>
    <definedName name="已归还投资" localSheetId="35">#REF!</definedName>
    <definedName name="已归还投资" localSheetId="33">#REF!</definedName>
    <definedName name="已归还投资" localSheetId="36">#REF!</definedName>
    <definedName name="已归还投资">#REF!</definedName>
    <definedName name="以前年度损益调整" localSheetId="26">#REF!</definedName>
    <definedName name="以前年度损益调整" localSheetId="25">#REF!</definedName>
    <definedName name="以前年度损益调整" localSheetId="35">#REF!</definedName>
    <definedName name="以前年度损益调整" localSheetId="33">#REF!</definedName>
    <definedName name="以前年度损益调整" localSheetId="36">#REF!</definedName>
    <definedName name="以前年度损益调整">#REF!</definedName>
    <definedName name="银行保管费" localSheetId="26">#REF!</definedName>
    <definedName name="银行保管费" localSheetId="25">#REF!</definedName>
    <definedName name="银行保管费" localSheetId="35">#REF!</definedName>
    <definedName name="银行保管费" localSheetId="33">#REF!</definedName>
    <definedName name="银行保管费">#REF!</definedName>
    <definedName name="银行存款" localSheetId="26">#REF!</definedName>
    <definedName name="银行存款" localSheetId="25">#REF!</definedName>
    <definedName name="银行存款" localSheetId="35">#REF!</definedName>
    <definedName name="银行存款" localSheetId="33">#REF!</definedName>
    <definedName name="银行存款" localSheetId="36">#REF!</definedName>
    <definedName name="银行存款">#REF!</definedName>
    <definedName name="印花税" localSheetId="26">#REF!</definedName>
    <definedName name="印花税" localSheetId="25">#REF!</definedName>
    <definedName name="印花税" localSheetId="35">#REF!</definedName>
    <definedName name="印花税" localSheetId="33">#REF!</definedName>
    <definedName name="印花税">#REF!</definedName>
    <definedName name="印花税税率" localSheetId="26">#REF!</definedName>
    <definedName name="印花税税率" localSheetId="25">#REF!</definedName>
    <definedName name="印花税税率" localSheetId="35">#REF!</definedName>
    <definedName name="印花税税率" localSheetId="33">#REF!</definedName>
    <definedName name="印花税税率">#REF!</definedName>
    <definedName name="应付" localSheetId="26">#REF!</definedName>
    <definedName name="应付" localSheetId="25">#REF!</definedName>
    <definedName name="应付" localSheetId="35">#REF!</definedName>
    <definedName name="应付" localSheetId="33">#REF!</definedName>
    <definedName name="应付" localSheetId="36">#REF!</definedName>
    <definedName name="应付">#REF!</definedName>
    <definedName name="应付福利费" localSheetId="26">#REF!</definedName>
    <definedName name="应付福利费" localSheetId="25">#REF!</definedName>
    <definedName name="应付福利费" localSheetId="35">#REF!</definedName>
    <definedName name="应付福利费" localSheetId="33">#REF!</definedName>
    <definedName name="应付福利费" localSheetId="36">#REF!</definedName>
    <definedName name="应付福利费">#REF!</definedName>
    <definedName name="应付公司债溢价折价" localSheetId="26">#REF!</definedName>
    <definedName name="应付公司债溢价折价" localSheetId="25">#REF!</definedName>
    <definedName name="应付公司债溢价折价" localSheetId="35">#REF!</definedName>
    <definedName name="应付公司债溢价折价" localSheetId="33">#REF!</definedName>
    <definedName name="应付公司债溢价折价" localSheetId="36">#REF!</definedName>
    <definedName name="应付公司债溢价折价">#REF!</definedName>
    <definedName name="应付股利" localSheetId="26">#REF!</definedName>
    <definedName name="应付股利" localSheetId="25">#REF!</definedName>
    <definedName name="应付股利" localSheetId="35">#REF!</definedName>
    <definedName name="应付股利" localSheetId="33">#REF!</definedName>
    <definedName name="应付股利" localSheetId="36">#REF!</definedName>
    <definedName name="应付股利">#REF!</definedName>
    <definedName name="应付票据" localSheetId="26">#REF!</definedName>
    <definedName name="应付票据" localSheetId="25">#REF!</definedName>
    <definedName name="应付票据" localSheetId="35">#REF!</definedName>
    <definedName name="应付票据" localSheetId="33">#REF!</definedName>
    <definedName name="应付票据" localSheetId="36">#REF!</definedName>
    <definedName name="应付票据">#REF!</definedName>
    <definedName name="应付债券" localSheetId="26">#REF!</definedName>
    <definedName name="应付债券" localSheetId="25">#REF!</definedName>
    <definedName name="应付债券" localSheetId="35">#REF!</definedName>
    <definedName name="应付债券" localSheetId="33">#REF!</definedName>
    <definedName name="应付债券" localSheetId="36">#REF!</definedName>
    <definedName name="应付债券">#REF!</definedName>
    <definedName name="应付帐款" localSheetId="26">#REF!</definedName>
    <definedName name="应付帐款" localSheetId="25">#REF!</definedName>
    <definedName name="应付帐款" localSheetId="35">#REF!</definedName>
    <definedName name="应付帐款" localSheetId="33">#REF!</definedName>
    <definedName name="应付帐款" localSheetId="36">#REF!</definedName>
    <definedName name="应付帐款">#REF!</definedName>
    <definedName name="应交税金" localSheetId="26">#REF!</definedName>
    <definedName name="应交税金" localSheetId="25">#REF!</definedName>
    <definedName name="应交税金" localSheetId="35">#REF!</definedName>
    <definedName name="应交税金" localSheetId="33">#REF!</definedName>
    <definedName name="应交税金" localSheetId="36">#REF!</definedName>
    <definedName name="应交税金">#REF!</definedName>
    <definedName name="应收" localSheetId="26">#REF!</definedName>
    <definedName name="应收" localSheetId="25">#REF!</definedName>
    <definedName name="应收" localSheetId="35">#REF!</definedName>
    <definedName name="应收" localSheetId="33">#REF!</definedName>
    <definedName name="应收" localSheetId="36">#REF!</definedName>
    <definedName name="应收">#REF!</definedName>
    <definedName name="应收票据" localSheetId="26">#REF!</definedName>
    <definedName name="应收票据" localSheetId="25">#REF!</definedName>
    <definedName name="应收票据" localSheetId="35">#REF!</definedName>
    <definedName name="应收票据" localSheetId="33">#REF!</definedName>
    <definedName name="应收票据" localSheetId="36">#REF!</definedName>
    <definedName name="应收票据">#REF!</definedName>
    <definedName name="应收帐款" localSheetId="26">#REF!</definedName>
    <definedName name="应收帐款" localSheetId="25">#REF!</definedName>
    <definedName name="应收帐款" localSheetId="35">#REF!</definedName>
    <definedName name="应收帐款" localSheetId="33">#REF!</definedName>
    <definedName name="应收帐款" localSheetId="36">#REF!</definedName>
    <definedName name="应收帐款">#REF!</definedName>
    <definedName name="盈余公积" localSheetId="26">#REF!</definedName>
    <definedName name="盈余公积" localSheetId="25">#REF!</definedName>
    <definedName name="盈余公积" localSheetId="35">#REF!</definedName>
    <definedName name="盈余公积" localSheetId="33">#REF!</definedName>
    <definedName name="盈余公积" localSheetId="36">#REF!</definedName>
    <definedName name="盈余公积">#REF!</definedName>
    <definedName name="营销费用费率" localSheetId="26">#REF!</definedName>
    <definedName name="营销费用费率" localSheetId="25">#REF!</definedName>
    <definedName name="营销费用费率" localSheetId="35">#REF!</definedName>
    <definedName name="营销费用费率" localSheetId="33">#REF!</definedName>
    <definedName name="营销费用费率">#REF!</definedName>
    <definedName name="营业成本" localSheetId="26">#REF!</definedName>
    <definedName name="营业成本" localSheetId="25">#REF!</definedName>
    <definedName name="营业成本" localSheetId="35">#REF!</definedName>
    <definedName name="营业成本" localSheetId="33">#REF!</definedName>
    <definedName name="营业成本" localSheetId="36">#REF!</definedName>
    <definedName name="营业成本">#REF!</definedName>
    <definedName name="营业税" localSheetId="26">#REF!</definedName>
    <definedName name="营业税" localSheetId="25">#REF!</definedName>
    <definedName name="营业税" localSheetId="35">#REF!</definedName>
    <definedName name="营业税" localSheetId="33">#REF!</definedName>
    <definedName name="营业税">#REF!</definedName>
    <definedName name="营业税金及附加" localSheetId="26">#REF!</definedName>
    <definedName name="营业税金及附加" localSheetId="25">#REF!</definedName>
    <definedName name="营业税金及附加" localSheetId="35">#REF!</definedName>
    <definedName name="营业税金及附加" localSheetId="33">#REF!</definedName>
    <definedName name="营业税金及附加" localSheetId="36">#REF!</definedName>
    <definedName name="营业税金及附加">#REF!</definedName>
    <definedName name="营业税税率" localSheetId="26">#REF!</definedName>
    <definedName name="营业税税率" localSheetId="25">#REF!</definedName>
    <definedName name="营业税税率" localSheetId="35">#REF!</definedName>
    <definedName name="营业税税率" localSheetId="33">#REF!</definedName>
    <definedName name="营业税税率">#REF!</definedName>
    <definedName name="营业外收入" localSheetId="26">#REF!</definedName>
    <definedName name="营业外收入" localSheetId="25">#REF!</definedName>
    <definedName name="营业外收入" localSheetId="35">#REF!</definedName>
    <definedName name="营业外收入" localSheetId="33">#REF!</definedName>
    <definedName name="营业外收入" localSheetId="36">#REF!</definedName>
    <definedName name="营业外收入">#REF!</definedName>
    <definedName name="营业外支出" localSheetId="26">#REF!</definedName>
    <definedName name="营业外支出" localSheetId="25">#REF!</definedName>
    <definedName name="营业外支出" localSheetId="35">#REF!</definedName>
    <definedName name="营业外支出" localSheetId="33">#REF!</definedName>
    <definedName name="营业外支出" localSheetId="36">#REF!</definedName>
    <definedName name="营业外支出">#REF!</definedName>
    <definedName name="用途明细" localSheetId="28">[1]定义!$A$1:$A$50</definedName>
    <definedName name="用途明细" localSheetId="13">[1]定义!$A$1:$A$50</definedName>
    <definedName name="用途明细">定义!$A$1:$A$50</definedName>
    <definedName name="有" localSheetId="26" hidden="1">#REF!</definedName>
    <definedName name="有" localSheetId="25" hidden="1">#REF!</definedName>
    <definedName name="有" localSheetId="35" hidden="1">#REF!</definedName>
    <definedName name="有" localSheetId="33" hidden="1">#REF!</definedName>
    <definedName name="有" localSheetId="36" hidden="1">#REF!</definedName>
    <definedName name="有" hidden="1">#REF!</definedName>
    <definedName name="有价证券" localSheetId="26">#REF!</definedName>
    <definedName name="有价证券" localSheetId="25">#REF!</definedName>
    <definedName name="有价证券" localSheetId="35">#REF!</definedName>
    <definedName name="有价证券" localSheetId="33">#REF!</definedName>
    <definedName name="有价证券" localSheetId="36">#REF!</definedName>
    <definedName name="有价证券">#REF!</definedName>
    <definedName name="有无电梯" localSheetId="28">'[1]比较法-仓储'!$B$84:$M$84</definedName>
    <definedName name="有无电梯" localSheetId="13">'[1]比较法-仓储'!$B$84:$M$84</definedName>
    <definedName name="有无电梯">'比较法-仓储'!$B$84:$M$84</definedName>
    <definedName name="余额" localSheetId="26">#REF!</definedName>
    <definedName name="余额" localSheetId="25">#REF!</definedName>
    <definedName name="余额" localSheetId="35">#REF!</definedName>
    <definedName name="余额" localSheetId="33">#REF!</definedName>
    <definedName name="余额" localSheetId="36">#REF!</definedName>
    <definedName name="余额">#REF!</definedName>
    <definedName name="余额表" localSheetId="26">#REF!</definedName>
    <definedName name="余额表" localSheetId="25">#REF!</definedName>
    <definedName name="余额表" localSheetId="35">#REF!</definedName>
    <definedName name="余额表" localSheetId="33">#REF!</definedName>
    <definedName name="余额表" localSheetId="36">#REF!</definedName>
    <definedName name="余额表">#REF!</definedName>
    <definedName name="预付货款" localSheetId="26">#REF!</definedName>
    <definedName name="预付货款" localSheetId="25">#REF!</definedName>
    <definedName name="预付货款" localSheetId="35">#REF!</definedName>
    <definedName name="预付货款" localSheetId="33">#REF!</definedName>
    <definedName name="预付货款" localSheetId="36">#REF!</definedName>
    <definedName name="预付货款">#REF!</definedName>
    <definedName name="预交所得税" localSheetId="26">#REF!</definedName>
    <definedName name="预交所得税" localSheetId="25">#REF!</definedName>
    <definedName name="预交所得税" localSheetId="35">#REF!</definedName>
    <definedName name="预交所得税" localSheetId="33">#REF!</definedName>
    <definedName name="预交所得税" localSheetId="36">#REF!</definedName>
    <definedName name="预交所得税">#REF!</definedName>
    <definedName name="预缴企业所得税税率" localSheetId="26">#REF!</definedName>
    <definedName name="预缴企业所得税税率" localSheetId="25">#REF!</definedName>
    <definedName name="预缴企业所得税税率" localSheetId="35">#REF!</definedName>
    <definedName name="预缴企业所得税税率" localSheetId="33">#REF!</definedName>
    <definedName name="预缴企业所得税税率">#REF!</definedName>
    <definedName name="预收货款" localSheetId="26">#REF!</definedName>
    <definedName name="预收货款" localSheetId="25">#REF!</definedName>
    <definedName name="预收货款" localSheetId="35">#REF!</definedName>
    <definedName name="预收货款" localSheetId="33">#REF!</definedName>
    <definedName name="预收货款" localSheetId="36">#REF!</definedName>
    <definedName name="预收货款">#REF!</definedName>
    <definedName name="预提费用" localSheetId="26">#REF!</definedName>
    <definedName name="预提费用" localSheetId="25">#REF!</definedName>
    <definedName name="预提费用" localSheetId="35">#REF!</definedName>
    <definedName name="预提费用" localSheetId="33">#REF!</definedName>
    <definedName name="预提费用" localSheetId="36">#REF!</definedName>
    <definedName name="预提费用">#REF!</definedName>
    <definedName name="预提所得税" localSheetId="26">#REF!</definedName>
    <definedName name="预提所得税" localSheetId="25">#REF!</definedName>
    <definedName name="预提所得税" localSheetId="35">#REF!</definedName>
    <definedName name="预提所得税" localSheetId="33">#REF!</definedName>
    <definedName name="预提所得税" localSheetId="36">#REF!</definedName>
    <definedName name="预提所得税">#REF!</definedName>
    <definedName name="元ﾚｰﾄ" localSheetId="26">#REF!</definedName>
    <definedName name="元ﾚｰﾄ" localSheetId="25">#REF!</definedName>
    <definedName name="元ﾚｰﾄ" localSheetId="35">#REF!</definedName>
    <definedName name="元ﾚｰﾄ" localSheetId="33">#REF!</definedName>
    <definedName name="元ﾚｰﾄ">#REF!</definedName>
    <definedName name="在建工程" localSheetId="26">#REF!</definedName>
    <definedName name="在建工程" localSheetId="25">#REF!</definedName>
    <definedName name="在建工程" localSheetId="35">#REF!</definedName>
    <definedName name="在建工程" localSheetId="33">#REF!</definedName>
    <definedName name="在建工程" localSheetId="36">#REF!</definedName>
    <definedName name="在建工程">#REF!</definedName>
    <definedName name="增值费" localSheetId="26">#REF!</definedName>
    <definedName name="增值费" localSheetId="25">#REF!</definedName>
    <definedName name="增值费" localSheetId="35">#REF!</definedName>
    <definedName name="增值费" localSheetId="33">#REF!</definedName>
    <definedName name="增值费">#REF!</definedName>
    <definedName name="债权收益总额" localSheetId="26">#REF!</definedName>
    <definedName name="债权收益总额" localSheetId="25">#REF!</definedName>
    <definedName name="债权收益总额" localSheetId="35">#REF!</definedName>
    <definedName name="债权收益总额" localSheetId="33">#REF!</definedName>
    <definedName name="债权收益总额">#REF!</definedName>
    <definedName name="漳州减租每月明细" localSheetId="26" hidden="1">#REF!</definedName>
    <definedName name="漳州减租每月明细" localSheetId="25" hidden="1">#REF!</definedName>
    <definedName name="漳州减租每月明细" localSheetId="35" hidden="1">#REF!</definedName>
    <definedName name="漳州减租每月明细" localSheetId="33" hidden="1">#REF!</definedName>
    <definedName name="漳州减租每月明细" hidden="1">#REF!</definedName>
    <definedName name="中方投资" localSheetId="26">#REF!</definedName>
    <definedName name="中方投资" localSheetId="25">#REF!</definedName>
    <definedName name="中方投资" localSheetId="35">#REF!</definedName>
    <definedName name="中方投资" localSheetId="33">#REF!</definedName>
    <definedName name="中方投资" localSheetId="36">#REF!</definedName>
    <definedName name="中方投资">#REF!</definedName>
    <definedName name="主营业务收入" localSheetId="26">#REF!</definedName>
    <definedName name="主营业务收入" localSheetId="25">#REF!</definedName>
    <definedName name="主营业务收入" localSheetId="35">#REF!</definedName>
    <definedName name="主营业务收入" localSheetId="33">#REF!</definedName>
    <definedName name="主营业务收入" localSheetId="36">#REF!</definedName>
    <definedName name="主营业务收入">#REF!</definedName>
    <definedName name="主用途" localSheetId="28">[1]定义!$F$1:$F$10</definedName>
    <definedName name="主用途" localSheetId="13">[1]定义!$F$1:$F$10</definedName>
    <definedName name="主用途">定义!$F$1:$F$10</definedName>
    <definedName name="住增1" localSheetId="26">#REF!</definedName>
    <definedName name="住增1" localSheetId="25">#REF!</definedName>
    <definedName name="住增1" localSheetId="35">#REF!</definedName>
    <definedName name="住增1" localSheetId="33">#REF!</definedName>
    <definedName name="住增1">#REF!</definedName>
    <definedName name="住增10" localSheetId="26">#REF!</definedName>
    <definedName name="住增10" localSheetId="25">#REF!</definedName>
    <definedName name="住增10" localSheetId="35">#REF!</definedName>
    <definedName name="住增10" localSheetId="33">#REF!</definedName>
    <definedName name="住增10">#REF!</definedName>
    <definedName name="住增2" localSheetId="26">#REF!</definedName>
    <definedName name="住增2" localSheetId="25">#REF!</definedName>
    <definedName name="住增2" localSheetId="35">#REF!</definedName>
    <definedName name="住增2" localSheetId="33">#REF!</definedName>
    <definedName name="住增2">#REF!</definedName>
    <definedName name="住增3" localSheetId="26">#REF!</definedName>
    <definedName name="住增3" localSheetId="25">#REF!</definedName>
    <definedName name="住增3" localSheetId="35">#REF!</definedName>
    <definedName name="住增3" localSheetId="33">#REF!</definedName>
    <definedName name="住增3">#REF!</definedName>
    <definedName name="住增4" localSheetId="26">#REF!</definedName>
    <definedName name="住增4" localSheetId="25">#REF!</definedName>
    <definedName name="住增4" localSheetId="35">#REF!</definedName>
    <definedName name="住增4" localSheetId="33">#REF!</definedName>
    <definedName name="住增4">#REF!</definedName>
    <definedName name="住增5" localSheetId="26">#REF!</definedName>
    <definedName name="住增5" localSheetId="25">#REF!</definedName>
    <definedName name="住增5" localSheetId="35">#REF!</definedName>
    <definedName name="住增5" localSheetId="33">#REF!</definedName>
    <definedName name="住增5">#REF!</definedName>
    <definedName name="住增6" localSheetId="26">#REF!</definedName>
    <definedName name="住增6" localSheetId="25">#REF!</definedName>
    <definedName name="住增6" localSheetId="35">#REF!</definedName>
    <definedName name="住增6" localSheetId="33">#REF!</definedName>
    <definedName name="住增6">#REF!</definedName>
    <definedName name="住增7" localSheetId="26">#REF!</definedName>
    <definedName name="住增7" localSheetId="25">#REF!</definedName>
    <definedName name="住增7" localSheetId="35">#REF!</definedName>
    <definedName name="住增7" localSheetId="33">#REF!</definedName>
    <definedName name="住增7">#REF!</definedName>
    <definedName name="住增8" localSheetId="26">#REF!</definedName>
    <definedName name="住增8" localSheetId="25">#REF!</definedName>
    <definedName name="住增8" localSheetId="35">#REF!</definedName>
    <definedName name="住增8" localSheetId="33">#REF!</definedName>
    <definedName name="住增8">#REF!</definedName>
    <definedName name="住增9" localSheetId="26">#REF!</definedName>
    <definedName name="住增9" localSheetId="25">#REF!</definedName>
    <definedName name="住增9" localSheetId="35">#REF!</definedName>
    <definedName name="住增9" localSheetId="33">#REF!</definedName>
    <definedName name="住增9">#REF!</definedName>
    <definedName name="住宅朝向" localSheetId="28">'[1]比较法-住宅'!$B$88:$M$88</definedName>
    <definedName name="住宅朝向" localSheetId="13">'[1]比较法-住宅'!$B$88:$M$88</definedName>
    <definedName name="住宅朝向">'比较法-住宅'!$B$88:$M$88</definedName>
    <definedName name="住宅房型" localSheetId="28">'[1]比较法-住宅'!$B$118:$M$118</definedName>
    <definedName name="住宅房型" localSheetId="13">'[1]比较法-住宅'!$B$118:$M$118</definedName>
    <definedName name="住宅房型">'比较法-住宅'!$B$118:$M$118</definedName>
    <definedName name="住宅公共部分装修" localSheetId="28">'[1]比较法-住宅'!$B$109:$M$109</definedName>
    <definedName name="住宅公共部分装修" localSheetId="13">'[1]比较法-住宅'!$B$109:$M$109</definedName>
    <definedName name="住宅公共部分装修">'比较法-住宅'!$B$109:$M$109</definedName>
    <definedName name="住宅基础设施水平" localSheetId="28">'[1]比较法-住宅'!$B$116:$M$116</definedName>
    <definedName name="住宅基础设施水平" localSheetId="13">'[1]比较法-住宅'!$B$116:$M$116</definedName>
    <definedName name="住宅基础设施水平">'比较法-住宅'!$B$116:$M$116</definedName>
    <definedName name="住宅建筑结构" localSheetId="28">'[1]比较法-住宅'!$B$105:$M$105</definedName>
    <definedName name="住宅建筑结构" localSheetId="13">'[1]比较法-住宅'!$B$105:$M$105</definedName>
    <definedName name="住宅建筑结构">'比较法-住宅'!$B$105:$M$105</definedName>
    <definedName name="住宅建筑类型" localSheetId="28">'[1]比较法-住宅'!$B$100:$M$100</definedName>
    <definedName name="住宅建筑类型" localSheetId="13">'[1]比较法-住宅'!$B$100:$M$100</definedName>
    <definedName name="住宅建筑类型">'比较法-住宅'!$B$100:$M$100</definedName>
    <definedName name="住宅建筑品质" localSheetId="28">'[1]比较法-住宅'!$B$107:$M$107</definedName>
    <definedName name="住宅建筑品质" localSheetId="13">'[1]比较法-住宅'!$B$107:$M$107</definedName>
    <definedName name="住宅建筑品质">'比较法-住宅'!$B$107:$M$107</definedName>
    <definedName name="住宅交易情况" localSheetId="28">'[1]比较法-住宅'!$A$61:$M$61</definedName>
    <definedName name="住宅交易情况" localSheetId="13">'[1]比较法-住宅'!$A$61:$M$61</definedName>
    <definedName name="住宅交易情况">'比较法-住宅'!$A$61:$M$61</definedName>
    <definedName name="住宅楼层" localSheetId="28">'[1]比较法-住宅'!$B$86:$M$86</definedName>
    <definedName name="住宅楼层" localSheetId="13">'[1]比较法-住宅'!$B$86:$M$86</definedName>
    <definedName name="住宅楼层">'比较法-住宅'!$B$86:$M$86</definedName>
    <definedName name="住宅楼总建面" localSheetId="26">#REF!</definedName>
    <definedName name="住宅楼总建面" localSheetId="25">#REF!</definedName>
    <definedName name="住宅楼总建面" localSheetId="35">#REF!</definedName>
    <definedName name="住宅楼总建面" localSheetId="33">#REF!</definedName>
    <definedName name="住宅楼总建面">#REF!</definedName>
    <definedName name="住宅内部装修" localSheetId="28">'[1]比较法-住宅'!$B$122:$M$122</definedName>
    <definedName name="住宅内部装修" localSheetId="13">'[1]比较法-住宅'!$B$122:$M$122</definedName>
    <definedName name="住宅内部装修">'比较法-住宅'!$B$122:$M$122</definedName>
    <definedName name="住宅物业管理" localSheetId="28">'[1]比较法-住宅'!$B$114:$M$114</definedName>
    <definedName name="住宅物业管理" localSheetId="13">'[1]比较法-住宅'!$B$114:$M$114</definedName>
    <definedName name="住宅物业管理">'比较法-住宅'!$B$114:$M$114</definedName>
    <definedName name="住宅用途" localSheetId="28">'[1]比较法-住宅'!$B$63:$M$63</definedName>
    <definedName name="住宅用途" localSheetId="13">'[1]比较法-住宅'!$B$63:$M$63</definedName>
    <definedName name="住宅用途">'比较法-住宅'!$B$63:$M$63</definedName>
    <definedName name="住宅主力户型面积">'比较法-住宅'!$B$120:$M$120</definedName>
    <definedName name="住宅専有" localSheetId="26">#REF!</definedName>
    <definedName name="住宅専有" localSheetId="25">#REF!</definedName>
    <definedName name="住宅専有" localSheetId="35">#REF!</definedName>
    <definedName name="住宅専有" localSheetId="33">#REF!</definedName>
    <definedName name="住宅専有">#REF!</definedName>
    <definedName name="注册房地产估价师" localSheetId="28">[1]估价师及机构信息!$A$3:$A$24</definedName>
    <definedName name="注册房地产估价师" localSheetId="13">[1]估价师及机构信息!$A$3:$A$24</definedName>
    <definedName name="注册房地产估价师">估价师及机构信息!$A$3:$A$24</definedName>
    <definedName name="转让价" localSheetId="26">#REF!</definedName>
    <definedName name="转让价" localSheetId="25">#REF!</definedName>
    <definedName name="转让价" localSheetId="35">#REF!</definedName>
    <definedName name="转让价" localSheetId="33">#REF!</definedName>
    <definedName name="转让价">#REF!</definedName>
    <definedName name="资本公积" localSheetId="26">#REF!</definedName>
    <definedName name="资本公积" localSheetId="25">#REF!</definedName>
    <definedName name="资本公积" localSheetId="35">#REF!</definedName>
    <definedName name="资本公积" localSheetId="33">#REF!</definedName>
    <definedName name="资本公积" localSheetId="36">#REF!</definedName>
    <definedName name="资本公积">#REF!</definedName>
    <definedName name="自有资金成本" localSheetId="26">#REF!</definedName>
    <definedName name="自有资金成本" localSheetId="25">#REF!</definedName>
    <definedName name="自有资金成本" localSheetId="35">#REF!</definedName>
    <definedName name="自有资金成本" localSheetId="33">#REF!</definedName>
    <definedName name="自有资金成本">#REF!</definedName>
    <definedName name="总建筑面积" localSheetId="26">#REF!</definedName>
    <definedName name="总建筑面积" localSheetId="25">#REF!</definedName>
    <definedName name="总建筑面积" localSheetId="35">#REF!</definedName>
    <definedName name="总建筑面积" localSheetId="33">#REF!</definedName>
    <definedName name="总建筑面积">#REF!</definedName>
    <definedName name="总土地成本" localSheetId="26">#REF!</definedName>
    <definedName name="总土地成本" localSheetId="25">#REF!</definedName>
    <definedName name="总土地成本" localSheetId="35">#REF!</definedName>
    <definedName name="总土地成本" localSheetId="33">#REF!</definedName>
    <definedName name="总土地成本">#REF!</definedName>
    <definedName name="租金单价" localSheetId="26">#REF!</definedName>
    <definedName name="租金单价" localSheetId="25">#REF!</definedName>
    <definedName name="租金单价" localSheetId="35">#REF!</definedName>
    <definedName name="租金单价" localSheetId="33">#REF!</definedName>
    <definedName name="租金单价">#REF!</definedName>
  </definedNames>
  <calcPr calcId="145621"/>
</workbook>
</file>

<file path=xl/calcChain.xml><?xml version="1.0" encoding="utf-8"?>
<calcChain xmlns="http://schemas.openxmlformats.org/spreadsheetml/2006/main">
  <c r="C20" i="9" l="1"/>
  <c r="C19" i="9"/>
  <c r="J52" i="82"/>
  <c r="J52" i="15"/>
  <c r="J52" i="81"/>
  <c r="D127" i="85" l="1"/>
  <c r="D126" i="85"/>
  <c r="A126" i="85"/>
  <c r="D124" i="85"/>
  <c r="D125" i="85" s="1"/>
  <c r="A124" i="85"/>
  <c r="A122" i="85"/>
  <c r="A120" i="85"/>
  <c r="A118" i="85"/>
  <c r="H112" i="85"/>
  <c r="H111" i="85"/>
  <c r="E111" i="85"/>
  <c r="H110" i="85"/>
  <c r="H109" i="85"/>
  <c r="E109" i="85"/>
  <c r="E107" i="85"/>
  <c r="H106" i="85"/>
  <c r="H105" i="85"/>
  <c r="H104" i="85"/>
  <c r="H103" i="85"/>
  <c r="D120" i="85" s="1"/>
  <c r="D101" i="85"/>
  <c r="C101" i="85"/>
  <c r="D93" i="85"/>
  <c r="C92" i="85"/>
  <c r="C91" i="85"/>
  <c r="E90" i="85"/>
  <c r="D89" i="85"/>
  <c r="C89" i="85"/>
  <c r="C87" i="85"/>
  <c r="C94" i="85" s="1"/>
  <c r="D78" i="85"/>
  <c r="H77" i="85"/>
  <c r="D77" i="85"/>
  <c r="C77" i="85"/>
  <c r="C76" i="85"/>
  <c r="C74" i="85"/>
  <c r="D68" i="85"/>
  <c r="F59" i="85"/>
  <c r="E59" i="85"/>
  <c r="D59" i="85"/>
  <c r="J57" i="85"/>
  <c r="J59" i="85" s="1"/>
  <c r="J61" i="85" s="1"/>
  <c r="N56" i="85"/>
  <c r="M56" i="85"/>
  <c r="K56" i="85"/>
  <c r="J56" i="85"/>
  <c r="F56" i="85"/>
  <c r="O55" i="85"/>
  <c r="N55" i="85"/>
  <c r="M55" i="85"/>
  <c r="K55" i="85"/>
  <c r="J55" i="85"/>
  <c r="I55" i="85"/>
  <c r="F55" i="85"/>
  <c r="O54" i="85"/>
  <c r="N54" i="85"/>
  <c r="F54" i="85"/>
  <c r="O53" i="85"/>
  <c r="N53" i="85"/>
  <c r="F53" i="85"/>
  <c r="O52" i="85"/>
  <c r="N52" i="85"/>
  <c r="M52" i="85"/>
  <c r="F52" i="85"/>
  <c r="K49" i="85"/>
  <c r="F48" i="85"/>
  <c r="E48" i="85"/>
  <c r="D48" i="85"/>
  <c r="M47" i="85"/>
  <c r="F33" i="85"/>
  <c r="D27" i="85"/>
  <c r="C25" i="85"/>
  <c r="C24" i="85"/>
  <c r="M19" i="85"/>
  <c r="C118" i="85" s="1"/>
  <c r="L19" i="85"/>
  <c r="M18" i="85"/>
  <c r="B118" i="85" s="1"/>
  <c r="L18" i="85"/>
  <c r="D18" i="85"/>
  <c r="C18" i="85"/>
  <c r="D17" i="85"/>
  <c r="C17" i="85"/>
  <c r="L4" i="85"/>
  <c r="K4" i="85"/>
  <c r="A2" i="85"/>
  <c r="H1" i="85"/>
  <c r="A120" i="84"/>
  <c r="A118" i="84"/>
  <c r="H111" i="84"/>
  <c r="D126" i="84" s="1"/>
  <c r="D127" i="84" s="1"/>
  <c r="E111" i="84"/>
  <c r="A126" i="84" s="1"/>
  <c r="E109" i="84"/>
  <c r="A124" i="84" s="1"/>
  <c r="E107" i="84"/>
  <c r="A122" i="84" s="1"/>
  <c r="H106" i="84"/>
  <c r="H103" i="84" s="1"/>
  <c r="D120" i="84" s="1"/>
  <c r="H105" i="84"/>
  <c r="H104" i="84"/>
  <c r="D101" i="84"/>
  <c r="C101" i="84"/>
  <c r="D93" i="84"/>
  <c r="C91" i="84"/>
  <c r="E90" i="84"/>
  <c r="D89" i="84"/>
  <c r="C89" i="84"/>
  <c r="C87" i="84" s="1"/>
  <c r="D78" i="84"/>
  <c r="H77" i="84"/>
  <c r="D77" i="84"/>
  <c r="C77" i="84" s="1"/>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A2" i="84"/>
  <c r="H1" i="84"/>
  <c r="D35" i="85"/>
  <c r="D34" i="85"/>
  <c r="C19" i="85"/>
  <c r="C20" i="85"/>
  <c r="C20" i="84"/>
  <c r="D35" i="84"/>
  <c r="D34" i="84"/>
  <c r="C19" i="84"/>
  <c r="C103" i="85" l="1"/>
  <c r="C102" i="85"/>
  <c r="C21" i="85"/>
  <c r="K120" i="85"/>
  <c r="D121" i="85"/>
  <c r="C102" i="84"/>
  <c r="C21" i="84"/>
  <c r="C103" i="84"/>
  <c r="K120" i="84"/>
  <c r="D121" i="84"/>
  <c r="C74" i="84"/>
  <c r="C92" i="84"/>
  <c r="C94" i="84"/>
  <c r="H109" i="84"/>
  <c r="H112" i="84"/>
  <c r="I47" i="33"/>
  <c r="G47" i="33"/>
  <c r="E47" i="33"/>
  <c r="E93" i="33"/>
  <c r="B130" i="83"/>
  <c r="B128" i="83"/>
  <c r="B126" i="83"/>
  <c r="F125" i="83"/>
  <c r="G125" i="83" s="1"/>
  <c r="E125" i="83"/>
  <c r="D125" i="83"/>
  <c r="F123" i="83"/>
  <c r="G123" i="83" s="1"/>
  <c r="H123" i="83" s="1"/>
  <c r="I123" i="83" s="1"/>
  <c r="J123" i="83" s="1"/>
  <c r="K123" i="83" s="1"/>
  <c r="L123" i="83" s="1"/>
  <c r="M123" i="83" s="1"/>
  <c r="E123" i="83"/>
  <c r="D123" i="83"/>
  <c r="F121" i="83"/>
  <c r="G121" i="83" s="1"/>
  <c r="H121" i="83" s="1"/>
  <c r="I121" i="83" s="1"/>
  <c r="J121" i="83" s="1"/>
  <c r="K121" i="83" s="1"/>
  <c r="L121" i="83" s="1"/>
  <c r="M121" i="83" s="1"/>
  <c r="E121" i="83"/>
  <c r="D121" i="83"/>
  <c r="F117" i="83"/>
  <c r="G117" i="83" s="1"/>
  <c r="E117" i="83"/>
  <c r="D117" i="83"/>
  <c r="F115" i="83"/>
  <c r="G115" i="83" s="1"/>
  <c r="H115" i="83" s="1"/>
  <c r="I115" i="83" s="1"/>
  <c r="J115" i="83" s="1"/>
  <c r="K115" i="83" s="1"/>
  <c r="L115" i="83" s="1"/>
  <c r="M115" i="83" s="1"/>
  <c r="E115" i="83"/>
  <c r="D115" i="83"/>
  <c r="F113" i="83"/>
  <c r="G113" i="83" s="1"/>
  <c r="H113" i="83" s="1"/>
  <c r="I113" i="83" s="1"/>
  <c r="J113" i="83" s="1"/>
  <c r="K113" i="83" s="1"/>
  <c r="L113" i="83" s="1"/>
  <c r="M113" i="83" s="1"/>
  <c r="E113" i="83"/>
  <c r="D113" i="83"/>
  <c r="F111" i="83"/>
  <c r="G111" i="83" s="1"/>
  <c r="H111" i="83" s="1"/>
  <c r="I111" i="83" s="1"/>
  <c r="J111" i="83" s="1"/>
  <c r="K111" i="83" s="1"/>
  <c r="L111" i="83" s="1"/>
  <c r="M111" i="83" s="1"/>
  <c r="E111" i="83"/>
  <c r="D111" i="83"/>
  <c r="G109" i="83"/>
  <c r="F109" i="83"/>
  <c r="E109" i="83"/>
  <c r="D109" i="83"/>
  <c r="C109" i="83"/>
  <c r="E108" i="83"/>
  <c r="F108" i="83" s="1"/>
  <c r="G108" i="83" s="1"/>
  <c r="H108" i="83" s="1"/>
  <c r="I108" i="83" s="1"/>
  <c r="J108" i="83" s="1"/>
  <c r="K108" i="83" s="1"/>
  <c r="L108" i="83" s="1"/>
  <c r="M108" i="83" s="1"/>
  <c r="D108" i="83"/>
  <c r="E106" i="83"/>
  <c r="F106" i="83" s="1"/>
  <c r="G106" i="83" s="1"/>
  <c r="H106" i="83" s="1"/>
  <c r="I106" i="83" s="1"/>
  <c r="J106" i="83" s="1"/>
  <c r="K106" i="83" s="1"/>
  <c r="L106" i="83" s="1"/>
  <c r="M106" i="83" s="1"/>
  <c r="D106" i="83"/>
  <c r="M102" i="83"/>
  <c r="L102" i="83"/>
  <c r="K102" i="83"/>
  <c r="J102" i="83"/>
  <c r="I102" i="83"/>
  <c r="H102" i="83"/>
  <c r="G102" i="83"/>
  <c r="F102" i="83"/>
  <c r="E102" i="83"/>
  <c r="D102" i="83"/>
  <c r="C102" i="83"/>
  <c r="F101" i="83"/>
  <c r="G101" i="83" s="1"/>
  <c r="H101" i="83" s="1"/>
  <c r="I101" i="83" s="1"/>
  <c r="J101" i="83" s="1"/>
  <c r="K101" i="83" s="1"/>
  <c r="L101" i="83" s="1"/>
  <c r="M101" i="83" s="1"/>
  <c r="E101" i="83"/>
  <c r="D101" i="83"/>
  <c r="B98" i="83"/>
  <c r="B96" i="83"/>
  <c r="B94" i="83"/>
  <c r="E93" i="83"/>
  <c r="B92" i="83"/>
  <c r="E91" i="83"/>
  <c r="F91" i="83" s="1"/>
  <c r="G91" i="83" s="1"/>
  <c r="H91" i="83" s="1"/>
  <c r="I91" i="83" s="1"/>
  <c r="J91" i="83" s="1"/>
  <c r="K91" i="83" s="1"/>
  <c r="L91" i="83" s="1"/>
  <c r="M91" i="83" s="1"/>
  <c r="D91" i="83"/>
  <c r="B90" i="83"/>
  <c r="B88" i="83"/>
  <c r="E87" i="83"/>
  <c r="F87" i="83" s="1"/>
  <c r="G87" i="83" s="1"/>
  <c r="H87" i="83" s="1"/>
  <c r="I87" i="83" s="1"/>
  <c r="J87" i="83" s="1"/>
  <c r="K87" i="83" s="1"/>
  <c r="L87" i="83" s="1"/>
  <c r="M87" i="83" s="1"/>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F69" i="83"/>
  <c r="G69" i="83" s="1"/>
  <c r="H69" i="83" s="1"/>
  <c r="I69" i="83" s="1"/>
  <c r="J69" i="83" s="1"/>
  <c r="K69" i="83" s="1"/>
  <c r="L69" i="83" s="1"/>
  <c r="M69" i="83" s="1"/>
  <c r="E69" i="83"/>
  <c r="D69" i="83"/>
  <c r="M67" i="83"/>
  <c r="L67" i="83"/>
  <c r="K67" i="83"/>
  <c r="J67" i="83"/>
  <c r="I67" i="83"/>
  <c r="H67" i="83"/>
  <c r="G67" i="83"/>
  <c r="F67" i="83"/>
  <c r="E67" i="83"/>
  <c r="D67" i="83"/>
  <c r="C67" i="83"/>
  <c r="I66" i="83"/>
  <c r="H66" i="83"/>
  <c r="G66" i="83"/>
  <c r="C63" i="83"/>
  <c r="I54" i="83"/>
  <c r="J54" i="83" s="1"/>
  <c r="G54" i="83"/>
  <c r="H54" i="83" s="1"/>
  <c r="E54" i="83"/>
  <c r="F54" i="83" s="1"/>
  <c r="P49" i="83"/>
  <c r="P48" i="83"/>
  <c r="V47" i="83"/>
  <c r="T47" i="83"/>
  <c r="R47" i="83"/>
  <c r="P47" i="83"/>
  <c r="I47" i="83"/>
  <c r="G47" i="83"/>
  <c r="E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U8" i="83"/>
  <c r="J8" i="83"/>
  <c r="W8" i="83" s="1"/>
  <c r="H8" i="83"/>
  <c r="AB8" i="83" s="1"/>
  <c r="F8" i="83"/>
  <c r="S8" i="83" s="1"/>
  <c r="G7" i="83"/>
  <c r="H7" i="83" s="1"/>
  <c r="C7" i="83"/>
  <c r="C58" i="83" s="1"/>
  <c r="D58" i="83" s="1"/>
  <c r="E58" i="83" s="1"/>
  <c r="F58" i="83" s="1"/>
  <c r="G58" i="83" s="1"/>
  <c r="H58" i="83" s="1"/>
  <c r="I58" i="83" s="1"/>
  <c r="J58" i="83" s="1"/>
  <c r="K58" i="83" s="1"/>
  <c r="L58" i="83" s="1"/>
  <c r="M58" i="83" s="1"/>
  <c r="N58" i="83" s="1"/>
  <c r="O58" i="83" s="1"/>
  <c r="D3" i="83"/>
  <c r="Y7" i="1"/>
  <c r="Y8" i="1"/>
  <c r="Y6" i="1"/>
  <c r="Q51" i="81"/>
  <c r="Q51" i="82"/>
  <c r="Q72" i="82"/>
  <c r="Q59" i="82"/>
  <c r="K59" i="82"/>
  <c r="P74" i="82" s="1"/>
  <c r="F59" i="82"/>
  <c r="Q58" i="82"/>
  <c r="J50" i="82"/>
  <c r="M47" i="82"/>
  <c r="D46" i="82"/>
  <c r="F33" i="82"/>
  <c r="F61" i="82" s="1"/>
  <c r="F31" i="82"/>
  <c r="F23" i="82"/>
  <c r="D23" i="82" s="1"/>
  <c r="F21" i="82"/>
  <c r="F20" i="82"/>
  <c r="M19" i="82"/>
  <c r="F18" i="82"/>
  <c r="M17" i="82"/>
  <c r="F17" i="82"/>
  <c r="F15" i="82"/>
  <c r="G1" i="82"/>
  <c r="Q72" i="81"/>
  <c r="Q59" i="81"/>
  <c r="K59" i="81"/>
  <c r="P74" i="81" s="1"/>
  <c r="F59" i="81"/>
  <c r="Q58" i="81"/>
  <c r="J50" i="81"/>
  <c r="J51" i="81" s="1"/>
  <c r="M47" i="81"/>
  <c r="D46" i="81"/>
  <c r="F33" i="81"/>
  <c r="F61" i="81" s="1"/>
  <c r="F31" i="81"/>
  <c r="F23" i="81"/>
  <c r="D24" i="81" s="1"/>
  <c r="D22" i="81"/>
  <c r="F21" i="81"/>
  <c r="F20" i="81"/>
  <c r="M19" i="81"/>
  <c r="F18" i="81"/>
  <c r="M17" i="81"/>
  <c r="F17" i="81"/>
  <c r="F15" i="81"/>
  <c r="G1" i="81"/>
  <c r="J14" i="80"/>
  <c r="J10" i="80"/>
  <c r="J9" i="80"/>
  <c r="K8" i="80"/>
  <c r="J8" i="80"/>
  <c r="J7" i="80"/>
  <c r="K6" i="80"/>
  <c r="J6" i="80"/>
  <c r="J4" i="80"/>
  <c r="J3" i="80"/>
  <c r="R81" i="79"/>
  <c r="P81" i="79"/>
  <c r="N81" i="79"/>
  <c r="L81" i="79"/>
  <c r="J81" i="79"/>
  <c r="H81" i="79"/>
  <c r="F81" i="79"/>
  <c r="D81" i="79"/>
  <c r="R76" i="79"/>
  <c r="Q76" i="79"/>
  <c r="Q81" i="79" s="1"/>
  <c r="P76" i="79"/>
  <c r="O76" i="79"/>
  <c r="O81" i="79" s="1"/>
  <c r="N76" i="79"/>
  <c r="M76" i="79"/>
  <c r="M81" i="79" s="1"/>
  <c r="L76" i="79"/>
  <c r="K76" i="79"/>
  <c r="K81" i="79" s="1"/>
  <c r="J76" i="79"/>
  <c r="I76" i="79"/>
  <c r="I81" i="79" s="1"/>
  <c r="H76" i="79"/>
  <c r="G76" i="79"/>
  <c r="G81" i="79" s="1"/>
  <c r="F76" i="79"/>
  <c r="E76" i="79"/>
  <c r="E81" i="79" s="1"/>
  <c r="D76" i="79"/>
  <c r="C76" i="79"/>
  <c r="R70" i="79"/>
  <c r="Q70" i="79"/>
  <c r="P70" i="79"/>
  <c r="O70" i="79"/>
  <c r="N70" i="79"/>
  <c r="M70" i="79"/>
  <c r="L70" i="79"/>
  <c r="K70" i="79"/>
  <c r="J70" i="79"/>
  <c r="I70" i="79"/>
  <c r="H70" i="79"/>
  <c r="G70" i="79"/>
  <c r="F70" i="79"/>
  <c r="E70" i="79"/>
  <c r="D70" i="79"/>
  <c r="C70" i="79"/>
  <c r="R64" i="79"/>
  <c r="Q64" i="79"/>
  <c r="P64" i="79"/>
  <c r="O64" i="79"/>
  <c r="N64" i="79"/>
  <c r="M64" i="79"/>
  <c r="L64" i="79"/>
  <c r="K64" i="79"/>
  <c r="J64" i="79"/>
  <c r="I64" i="79"/>
  <c r="H64" i="79"/>
  <c r="G64" i="79"/>
  <c r="F64" i="79"/>
  <c r="E64" i="79"/>
  <c r="D64" i="79"/>
  <c r="C64" i="79"/>
  <c r="I62" i="79"/>
  <c r="H62" i="79"/>
  <c r="R60" i="79"/>
  <c r="Q60" i="79"/>
  <c r="P60" i="79"/>
  <c r="O60" i="79"/>
  <c r="N60" i="79"/>
  <c r="M60" i="79"/>
  <c r="L60" i="79"/>
  <c r="K60" i="79"/>
  <c r="J60" i="79"/>
  <c r="I60" i="79"/>
  <c r="H60" i="79"/>
  <c r="G60" i="79"/>
  <c r="F60" i="79"/>
  <c r="E60" i="79"/>
  <c r="D60" i="79"/>
  <c r="C60" i="79"/>
  <c r="R59" i="79"/>
  <c r="Q59" i="79"/>
  <c r="P59" i="79"/>
  <c r="O59" i="79"/>
  <c r="N59" i="79"/>
  <c r="M59" i="79"/>
  <c r="L59" i="79"/>
  <c r="K59" i="79"/>
  <c r="J59" i="79"/>
  <c r="I59" i="79"/>
  <c r="H59" i="79"/>
  <c r="G59" i="79"/>
  <c r="F59" i="79"/>
  <c r="E59" i="79"/>
  <c r="D59" i="79"/>
  <c r="C59" i="79"/>
  <c r="R6" i="79"/>
  <c r="Q6" i="79"/>
  <c r="P6" i="79"/>
  <c r="O6" i="79"/>
  <c r="N6" i="79"/>
  <c r="M6" i="79"/>
  <c r="L6" i="79"/>
  <c r="K6" i="79"/>
  <c r="J6" i="79"/>
  <c r="I6" i="79"/>
  <c r="H6" i="79"/>
  <c r="G6" i="79"/>
  <c r="F6" i="79"/>
  <c r="E6" i="79"/>
  <c r="D6" i="79"/>
  <c r="C6" i="79"/>
  <c r="F2" i="79"/>
  <c r="N8" i="1"/>
  <c r="N7" i="1"/>
  <c r="N6" i="1"/>
  <c r="G21" i="6"/>
  <c r="F20" i="6"/>
  <c r="F19" i="6"/>
  <c r="M13" i="3"/>
  <c r="K13" i="3"/>
  <c r="I13" i="3"/>
  <c r="I128" i="77"/>
  <c r="I104" i="77"/>
  <c r="I129" i="77" s="1"/>
  <c r="I4" i="77"/>
  <c r="K3" i="77"/>
  <c r="K5" i="77" s="1"/>
  <c r="L5" i="77" s="1"/>
  <c r="K2" i="77"/>
  <c r="B7" i="4"/>
  <c r="B5" i="4"/>
  <c r="D3" i="4"/>
  <c r="D2" i="83"/>
  <c r="C76" i="82"/>
  <c r="L48" i="81"/>
  <c r="F43" i="81"/>
  <c r="F42" i="81"/>
  <c r="F40" i="81"/>
  <c r="M28" i="81"/>
  <c r="M24" i="81"/>
  <c r="M22" i="81"/>
  <c r="L47" i="81"/>
  <c r="F8" i="81"/>
  <c r="C76" i="81"/>
  <c r="F9" i="81"/>
  <c r="F7" i="81"/>
  <c r="D124" i="84" l="1"/>
  <c r="D125" i="84" s="1"/>
  <c r="H110" i="84"/>
  <c r="U7" i="83"/>
  <c r="AB7" i="83"/>
  <c r="I7" i="83"/>
  <c r="J7" i="83" s="1"/>
  <c r="AA8" i="83"/>
  <c r="AC8" i="83"/>
  <c r="S10" i="83"/>
  <c r="W10" i="83"/>
  <c r="U11" i="83"/>
  <c r="S12" i="83"/>
  <c r="W12" i="83"/>
  <c r="U13" i="83"/>
  <c r="S14" i="83"/>
  <c r="W14" i="83"/>
  <c r="S15" i="83"/>
  <c r="W15" i="83"/>
  <c r="S17" i="83"/>
  <c r="W17" i="83"/>
  <c r="S19" i="83"/>
  <c r="W19" i="83"/>
  <c r="S21" i="83"/>
  <c r="W21" i="83"/>
  <c r="S23" i="83"/>
  <c r="W23" i="83"/>
  <c r="U25" i="83"/>
  <c r="S26" i="83"/>
  <c r="W26" i="83"/>
  <c r="U27" i="83"/>
  <c r="S28" i="83"/>
  <c r="W28" i="83"/>
  <c r="U29" i="83"/>
  <c r="S30" i="83"/>
  <c r="W30" i="83"/>
  <c r="U31" i="83"/>
  <c r="S32" i="83"/>
  <c r="W32" i="83"/>
  <c r="U33" i="83"/>
  <c r="S34" i="83"/>
  <c r="W34" i="83"/>
  <c r="U35" i="83"/>
  <c r="S36" i="83"/>
  <c r="W36" i="83"/>
  <c r="U37" i="83"/>
  <c r="S38" i="83"/>
  <c r="W38" i="83"/>
  <c r="U39" i="83"/>
  <c r="S40" i="83"/>
  <c r="W40" i="83"/>
  <c r="U41" i="83"/>
  <c r="S42" i="83"/>
  <c r="W42" i="83"/>
  <c r="AB43" i="83"/>
  <c r="T48" i="83" s="1"/>
  <c r="G48" i="83" s="1"/>
  <c r="U43" i="83"/>
  <c r="W43" i="83"/>
  <c r="S45" i="83"/>
  <c r="U46" i="83"/>
  <c r="U9" i="83"/>
  <c r="F7" i="83"/>
  <c r="S9" i="83"/>
  <c r="W9" i="83"/>
  <c r="U10" i="83"/>
  <c r="S11" i="83"/>
  <c r="W11" i="83"/>
  <c r="U12" i="83"/>
  <c r="S13" i="83"/>
  <c r="W13" i="83"/>
  <c r="U14" i="83"/>
  <c r="U15" i="83"/>
  <c r="U17" i="83"/>
  <c r="U19" i="83"/>
  <c r="U21" i="83"/>
  <c r="U23" i="83"/>
  <c r="S25" i="83"/>
  <c r="W25" i="83"/>
  <c r="U26"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U44" i="83"/>
  <c r="W45" i="83"/>
  <c r="S44" i="83"/>
  <c r="W44" i="83"/>
  <c r="U45" i="83"/>
  <c r="S46" i="83"/>
  <c r="W46" i="83"/>
  <c r="D23" i="81"/>
  <c r="J53" i="81"/>
  <c r="F1" i="81" s="1"/>
  <c r="P61" i="81"/>
  <c r="Q71" i="82"/>
  <c r="D24" i="82"/>
  <c r="P61" i="82"/>
  <c r="D22" i="82"/>
  <c r="J51" i="82"/>
  <c r="F50" i="81"/>
  <c r="M7" i="81"/>
  <c r="Q71" i="81"/>
  <c r="F51" i="81"/>
  <c r="N59" i="81"/>
  <c r="L59" i="81"/>
  <c r="L58" i="81"/>
  <c r="F68" i="81"/>
  <c r="F71" i="81"/>
  <c r="I54" i="81"/>
  <c r="J57" i="81"/>
  <c r="J55" i="81" s="1"/>
  <c r="J58" i="81" s="1"/>
  <c r="Q50" i="81" s="1"/>
  <c r="AH5" i="71"/>
  <c r="AG5" i="71"/>
  <c r="AF5" i="71"/>
  <c r="AE5" i="71"/>
  <c r="AD5" i="71"/>
  <c r="Q5" i="71"/>
  <c r="P5" i="71"/>
  <c r="O5" i="71"/>
  <c r="N5" i="71"/>
  <c r="F6" i="82"/>
  <c r="M8" i="82"/>
  <c r="F13" i="82"/>
  <c r="J15" i="82"/>
  <c r="M26" i="82"/>
  <c r="M29" i="82"/>
  <c r="F36" i="82"/>
  <c r="F38" i="82"/>
  <c r="F7" i="82"/>
  <c r="F9" i="82"/>
  <c r="M28" i="82"/>
  <c r="F42" i="82"/>
  <c r="L47" i="82"/>
  <c r="M6" i="82"/>
  <c r="M9" i="82"/>
  <c r="C14" i="82"/>
  <c r="F16" i="82"/>
  <c r="M23" i="82"/>
  <c r="F26" i="82"/>
  <c r="M27" i="82"/>
  <c r="F37" i="82"/>
  <c r="F8" i="82"/>
  <c r="M22" i="82"/>
  <c r="M24" i="82"/>
  <c r="F40" i="82"/>
  <c r="F43" i="82"/>
  <c r="L48" i="82"/>
  <c r="C17" i="81"/>
  <c r="M29" i="81"/>
  <c r="F6" i="81"/>
  <c r="M8" i="81"/>
  <c r="F13" i="81"/>
  <c r="J15" i="81"/>
  <c r="F26" i="81"/>
  <c r="M27" i="81"/>
  <c r="F37" i="81"/>
  <c r="M6" i="81"/>
  <c r="M9" i="81"/>
  <c r="C14" i="81"/>
  <c r="F16" i="81"/>
  <c r="M23" i="81"/>
  <c r="M26" i="81"/>
  <c r="F36" i="81"/>
  <c r="F38" i="81"/>
  <c r="G52" i="83" l="1"/>
  <c r="H52" i="83" s="1"/>
  <c r="AA7" i="83"/>
  <c r="R48" i="83" s="1"/>
  <c r="S7" i="83"/>
  <c r="AC7" i="83"/>
  <c r="V48" i="83" s="1"/>
  <c r="I48" i="83" s="1"/>
  <c r="G53" i="83" s="1"/>
  <c r="H53" i="83" s="1"/>
  <c r="W7" i="83"/>
  <c r="Q52" i="81"/>
  <c r="J53" i="82"/>
  <c r="Q52" i="82" s="1"/>
  <c r="L56" i="81"/>
  <c r="L56" i="82"/>
  <c r="F71" i="82"/>
  <c r="F68" i="82"/>
  <c r="F51" i="82"/>
  <c r="F65" i="82"/>
  <c r="C27" i="82"/>
  <c r="C15" i="82"/>
  <c r="C18" i="82"/>
  <c r="N59" i="82"/>
  <c r="L59" i="82"/>
  <c r="L58" i="82"/>
  <c r="F50" i="82"/>
  <c r="M7" i="82"/>
  <c r="J6" i="82" s="1"/>
  <c r="F66" i="82"/>
  <c r="F64" i="82"/>
  <c r="C6" i="82"/>
  <c r="I54" i="82"/>
  <c r="J57" i="82"/>
  <c r="J55" i="82" s="1"/>
  <c r="J58" i="82" s="1"/>
  <c r="Q50" i="82" s="1"/>
  <c r="F1" i="82"/>
  <c r="F66" i="81"/>
  <c r="F64" i="81"/>
  <c r="C18" i="81"/>
  <c r="C15" i="81"/>
  <c r="J6" i="81"/>
  <c r="F65" i="81"/>
  <c r="C27" i="81"/>
  <c r="C6" i="81"/>
  <c r="Q60" i="81"/>
  <c r="Q73" i="81"/>
  <c r="Q61" i="81"/>
  <c r="Q74" i="81"/>
  <c r="C49" i="81"/>
  <c r="L3" i="71"/>
  <c r="K3" i="71"/>
  <c r="I3" i="71"/>
  <c r="C16" i="82"/>
  <c r="C17" i="82"/>
  <c r="C16" i="81"/>
  <c r="R49" i="83" l="1"/>
  <c r="E48" i="83"/>
  <c r="I53" i="83"/>
  <c r="J53" i="83" s="1"/>
  <c r="I52" i="83"/>
  <c r="J52" i="83" s="1"/>
  <c r="C19" i="82"/>
  <c r="Q60" i="82"/>
  <c r="Q73" i="82"/>
  <c r="C49" i="82"/>
  <c r="Q61" i="82"/>
  <c r="Q74" i="82"/>
  <c r="C19" i="81"/>
  <c r="J3" i="71"/>
  <c r="C49" i="83" l="1"/>
  <c r="C48" i="83"/>
  <c r="E53" i="83"/>
  <c r="F53" i="83" s="1"/>
  <c r="E52" i="83"/>
  <c r="F52" i="83" s="1"/>
  <c r="C20" i="82"/>
  <c r="C26" i="82" s="1"/>
  <c r="C20" i="81"/>
  <c r="C26" i="81" s="1"/>
  <c r="AD6" i="71"/>
  <c r="AG6" i="71"/>
  <c r="AH6" i="71"/>
  <c r="AE6" i="71"/>
  <c r="AF6" i="71" s="1"/>
  <c r="N6" i="71"/>
  <c r="Q6" i="71"/>
  <c r="P6" i="71"/>
  <c r="O6" i="71"/>
  <c r="B3" i="83" l="1"/>
  <c r="B2" i="83"/>
  <c r="Q7" i="7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9" i="76"/>
  <c r="B13" i="76"/>
  <c r="E10" i="76"/>
  <c r="B9" i="76"/>
  <c r="B11" i="76"/>
  <c r="B7" i="76"/>
  <c r="E13" i="76"/>
  <c r="B8" i="76"/>
  <c r="E12" i="76"/>
  <c r="E8" i="76"/>
  <c r="E7" i="76"/>
  <c r="B12" i="76"/>
  <c r="E11" i="76"/>
  <c r="B10"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6" i="73"/>
  <c r="F3" i="73"/>
  <c r="F4" i="73"/>
  <c r="D5" i="73"/>
  <c r="I1" i="73" l="1"/>
  <c r="B39" i="1" s="1"/>
  <c r="D3" i="73"/>
  <c r="D7" i="73"/>
  <c r="D6" i="73"/>
  <c r="D4" i="73"/>
  <c r="F11" i="82" l="1"/>
  <c r="M11" i="82"/>
  <c r="J10" i="82" s="1"/>
  <c r="J5" i="82" s="1"/>
  <c r="M11" i="81"/>
  <c r="J10" i="81" s="1"/>
  <c r="J5" i="81" s="1"/>
  <c r="F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2" l="1"/>
  <c r="J24" i="82"/>
  <c r="C53" i="82"/>
  <c r="C48" i="82" s="1"/>
  <c r="C10" i="82"/>
  <c r="C5" i="82" s="1"/>
  <c r="J26" i="81"/>
  <c r="J24" i="81"/>
  <c r="C53" i="81"/>
  <c r="C48" i="81" s="1"/>
  <c r="C10" i="81"/>
  <c r="C5" i="81" s="1"/>
  <c r="AA10" i="43"/>
  <c r="AC10" i="43"/>
  <c r="AE10" i="43"/>
  <c r="AG10" i="43"/>
  <c r="AI10" i="43"/>
  <c r="Z10" i="43"/>
  <c r="AB10" i="43"/>
  <c r="AD10" i="43"/>
  <c r="AF10" i="43"/>
  <c r="AH10" i="43"/>
  <c r="AJ10" i="43"/>
  <c r="C38" i="82" l="1"/>
  <c r="C66" i="82"/>
  <c r="C66" i="81"/>
  <c r="C38" i="81"/>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AA6"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12"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J38" i="34" s="1"/>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AZ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U33"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H37" i="33"/>
  <c r="AB37" i="33" s="1"/>
  <c r="H15" i="33"/>
  <c r="AB15" i="33" s="1"/>
  <c r="H11" i="33"/>
  <c r="AB11" i="33" s="1"/>
  <c r="F28" i="40"/>
  <c r="AA28" i="40" s="1"/>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AA14" i="33"/>
  <c r="J36" i="37"/>
  <c r="AC36" i="37" s="1"/>
  <c r="AB11" i="36"/>
  <c r="J10" i="36"/>
  <c r="AC10" i="36" s="1"/>
  <c r="AB30" i="21"/>
  <c r="AA14" i="37"/>
  <c r="W13" i="36"/>
  <c r="W11" i="36"/>
  <c r="W11" i="35"/>
  <c r="AC30" i="34"/>
  <c r="AA14" i="34"/>
  <c r="S45" i="33"/>
  <c r="AB45" i="33"/>
  <c r="AB31" i="33"/>
  <c r="W29" i="33"/>
  <c r="BA586" i="3"/>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AA12" i="35"/>
  <c r="W14" i="37"/>
  <c r="U33" i="37"/>
  <c r="U39" i="37"/>
  <c r="W26" i="37"/>
  <c r="AC8" i="37"/>
  <c r="U26" i="37"/>
  <c r="AB13" i="34"/>
  <c r="AC45"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AZ28" i="3"/>
  <c r="AZ494" i="3"/>
  <c r="AZ502"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52"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4" i="3"/>
  <c r="AZ158" i="3"/>
  <c r="AZ162" i="3"/>
  <c r="AZ170" i="3"/>
  <c r="AZ178" i="3"/>
  <c r="AZ186" i="3"/>
  <c r="AZ194"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BJ5" i="3"/>
  <c r="BH5" i="3"/>
  <c r="BF5" i="3"/>
  <c r="BD5" i="3"/>
  <c r="BQ5"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10" i="1"/>
  <c r="F48" i="9"/>
  <c r="O52" i="9" s="1"/>
  <c r="AC11" i="39"/>
  <c r="W37" i="37"/>
  <c r="W44" i="34"/>
  <c r="S15" i="37"/>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27" i="3"/>
  <c r="AZ240" i="3"/>
  <c r="AZ243" i="3"/>
  <c r="AZ256" i="3"/>
  <c r="AZ259" i="3"/>
  <c r="AZ280" i="3"/>
  <c r="AZ296" i="3"/>
  <c r="AZ114"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W38" i="34" l="1"/>
  <c r="AC38" i="34"/>
  <c r="W37" i="34"/>
  <c r="W31" i="34"/>
  <c r="AB37" i="34"/>
  <c r="AB46" i="34"/>
  <c r="U31" i="34"/>
  <c r="AA41" i="34"/>
  <c r="S44" i="34"/>
  <c r="AA15" i="34"/>
  <c r="S41" i="33"/>
  <c r="U11" i="33"/>
  <c r="AA13" i="33"/>
  <c r="AB13" i="33"/>
  <c r="U13" i="33"/>
  <c r="W44" i="33"/>
  <c r="U43" i="33"/>
  <c r="U32" i="33"/>
  <c r="U40" i="33"/>
  <c r="AB12" i="33"/>
  <c r="U35" i="33"/>
  <c r="S14" i="35"/>
  <c r="F34" i="35"/>
  <c r="AA34" i="35" s="1"/>
  <c r="U33" i="35"/>
  <c r="AA29" i="35"/>
  <c r="C27" i="39"/>
  <c r="M20" i="15"/>
  <c r="F34" i="82"/>
  <c r="F62" i="82" s="1"/>
  <c r="F34" i="81"/>
  <c r="F62" i="81" s="1"/>
  <c r="M20" i="81"/>
  <c r="M20" i="82"/>
  <c r="M59" i="81"/>
  <c r="M59" i="82"/>
  <c r="E8" i="6"/>
  <c r="F27" i="6" s="1"/>
  <c r="I4" i="6"/>
  <c r="G3" i="43" s="1"/>
  <c r="F29" i="6"/>
  <c r="A15" i="62"/>
  <c r="B61" i="72" s="1"/>
  <c r="G13" i="1"/>
  <c r="G9" i="1"/>
  <c r="A2" i="9"/>
  <c r="A4" i="52"/>
  <c r="B41" i="72" s="1"/>
  <c r="U23" i="35"/>
  <c r="AB23" i="35"/>
  <c r="AB9" i="36"/>
  <c r="U9" i="36"/>
  <c r="AC24" i="36"/>
  <c r="W24" i="36"/>
  <c r="W43" i="39"/>
  <c r="AC43" i="39"/>
  <c r="AB45" i="39"/>
  <c r="U45" i="39"/>
  <c r="AC35" i="39"/>
  <c r="W35" i="39"/>
  <c r="S12" i="21"/>
  <c r="AA12" i="21"/>
  <c r="AC44" i="21"/>
  <c r="W44" i="21"/>
  <c r="W46" i="21"/>
  <c r="AC46" i="21"/>
  <c r="W12" i="34"/>
  <c r="AC12" i="34"/>
  <c r="U12" i="35"/>
  <c r="AB12" i="35"/>
  <c r="AB34" i="35"/>
  <c r="U34" i="35"/>
  <c r="W12" i="36"/>
  <c r="AC12" i="36"/>
  <c r="U44" i="39"/>
  <c r="AB44" i="39"/>
  <c r="W37" i="39"/>
  <c r="AC37" i="39"/>
  <c r="AC12" i="40"/>
  <c r="W12" i="40"/>
  <c r="AZ521" i="3"/>
  <c r="AC17" i="34"/>
  <c r="G509" i="3"/>
  <c r="G28" i="6"/>
  <c r="AZ326" i="3"/>
  <c r="AZ311" i="3"/>
  <c r="AZ372" i="3"/>
  <c r="AZ347" i="3"/>
  <c r="AZ344" i="3"/>
  <c r="AZ337" i="3"/>
  <c r="AZ320" i="3"/>
  <c r="AZ313" i="3"/>
  <c r="AZ305" i="3"/>
  <c r="AZ362" i="3"/>
  <c r="S14" i="40"/>
  <c r="W40" i="37"/>
  <c r="AC31" i="33"/>
  <c r="AC36" i="34"/>
  <c r="W47" i="34"/>
  <c r="AB28" i="37"/>
  <c r="AC32" i="36"/>
  <c r="AZ569" i="3"/>
  <c r="AZ577" i="3"/>
  <c r="AZ557" i="3"/>
  <c r="AZ516" i="3"/>
  <c r="AZ524" i="3"/>
  <c r="AZ532" i="3"/>
  <c r="AZ536" i="3"/>
  <c r="AZ544" i="3"/>
  <c r="AZ554" i="3"/>
  <c r="AZ558" i="3"/>
  <c r="AZ582" i="3"/>
  <c r="S35" i="39"/>
  <c r="W44" i="39"/>
  <c r="S11" i="36"/>
  <c r="AB26" i="33"/>
  <c r="AB11" i="35"/>
  <c r="AA44" i="33"/>
  <c r="F44" i="21"/>
  <c r="AA44" i="21" s="1"/>
  <c r="J28" i="21"/>
  <c r="S9" i="34"/>
  <c r="S10" i="37"/>
  <c r="S10" i="36"/>
  <c r="F24" i="36"/>
  <c r="AA24" i="36" s="1"/>
  <c r="F33" i="36"/>
  <c r="AA33" i="36" s="1"/>
  <c r="F37" i="39"/>
  <c r="AA37" i="39" s="1"/>
  <c r="W32" i="40"/>
  <c r="S40" i="39"/>
  <c r="C25" i="39"/>
  <c r="S38" i="40"/>
  <c r="W31" i="40"/>
  <c r="U38" i="40"/>
  <c r="U9" i="40"/>
  <c r="S27" i="35"/>
  <c r="S40" i="33"/>
  <c r="F26" i="33"/>
  <c r="W9" i="34"/>
  <c r="S34" i="35"/>
  <c r="W28" i="35"/>
  <c r="U31" i="36"/>
  <c r="S30"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AZ581" i="3"/>
  <c r="BL586" i="3"/>
  <c r="AZ585" i="3"/>
  <c r="AZ402" i="3"/>
  <c r="AZ418" i="3"/>
  <c r="AZ435" i="3"/>
  <c r="AZ438" i="3"/>
  <c r="AZ442" i="3"/>
  <c r="AZ451" i="3"/>
  <c r="AZ453" i="3"/>
  <c r="AZ454" i="3"/>
  <c r="AZ458" i="3"/>
  <c r="AZ469" i="3"/>
  <c r="AZ487" i="3"/>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AZ134" i="3"/>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161" i="3"/>
  <c r="AZ177" i="3"/>
  <c r="AZ193" i="3"/>
  <c r="AZ230" i="3"/>
  <c r="AZ242" i="3"/>
  <c r="AZ246" i="3"/>
  <c r="AZ258" i="3"/>
  <c r="AZ262" i="3"/>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M9" i="15"/>
  <c r="C76" i="67"/>
  <c r="M28" i="67"/>
  <c r="F7" i="15"/>
  <c r="J15" i="67"/>
  <c r="M24" i="67"/>
  <c r="F16" i="67"/>
  <c r="F6" i="67"/>
  <c r="F40" i="15"/>
  <c r="M6" i="15"/>
  <c r="M8" i="15"/>
  <c r="M23" i="15"/>
  <c r="F8" i="15"/>
  <c r="M22" i="15"/>
  <c r="F43" i="15"/>
  <c r="F8" i="67"/>
  <c r="C76" i="15"/>
  <c r="M26" i="67"/>
  <c r="L47" i="67"/>
  <c r="F38" i="15"/>
  <c r="M22" i="67"/>
  <c r="F26" i="67"/>
  <c r="M26" i="15"/>
  <c r="F42" i="15"/>
  <c r="F26" i="15"/>
  <c r="G1" i="73"/>
  <c r="M8" i="67"/>
  <c r="L48" i="67"/>
  <c r="F16" i="15"/>
  <c r="F13" i="67"/>
  <c r="M9" i="67"/>
  <c r="M29" i="15"/>
  <c r="F13" i="15"/>
  <c r="F37" i="15"/>
  <c r="F9" i="15"/>
  <c r="F37" i="67"/>
  <c r="M29" i="67"/>
  <c r="F43" i="67"/>
  <c r="M28" i="15"/>
  <c r="F42" i="67"/>
  <c r="F38" i="67"/>
  <c r="F36" i="15"/>
  <c r="F7" i="67"/>
  <c r="F40" i="67"/>
  <c r="F9" i="67"/>
  <c r="M6" i="67"/>
  <c r="F6" i="15"/>
  <c r="M23" i="67"/>
  <c r="L48" i="15"/>
  <c r="L47" i="15"/>
  <c r="J15" i="15"/>
  <c r="F36" i="67"/>
  <c r="E4" i="4" l="1"/>
  <c r="B5" i="62" s="1"/>
  <c r="B73" i="72" s="1"/>
  <c r="F53" i="9"/>
  <c r="F32" i="82"/>
  <c r="F28" i="82"/>
  <c r="C28" i="82" s="1"/>
  <c r="M18" i="82"/>
  <c r="J18" i="82" s="1"/>
  <c r="F32" i="81"/>
  <c r="F28" i="81"/>
  <c r="C28" i="81" s="1"/>
  <c r="M18" i="81"/>
  <c r="J18" i="81" s="1"/>
  <c r="C4" i="4"/>
  <c r="B4" i="62" s="1"/>
  <c r="B71" i="72" s="1"/>
  <c r="U39" i="40"/>
  <c r="AB39" i="40"/>
  <c r="U12" i="36"/>
  <c r="AB12" i="36"/>
  <c r="AC23" i="35"/>
  <c r="W23" i="35"/>
  <c r="W45" i="39"/>
  <c r="AC45" i="39"/>
  <c r="AC36" i="35"/>
  <c r="W36" i="35"/>
  <c r="S12" i="34"/>
  <c r="AA12" i="34"/>
  <c r="AA26" i="33"/>
  <c r="S26" i="33"/>
  <c r="W28" i="21"/>
  <c r="AC28" i="2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M19"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67"/>
  <c r="M17" i="67"/>
  <c r="C17" i="15"/>
  <c r="C16" i="67"/>
  <c r="F59" i="15"/>
  <c r="C16" i="15"/>
  <c r="F31" i="67"/>
  <c r="F60" i="82" l="1"/>
  <c r="C60" i="82" s="1"/>
  <c r="C32" i="82"/>
  <c r="F60" i="81"/>
  <c r="C60" i="81" s="1"/>
  <c r="C32" i="81"/>
  <c r="F24" i="81"/>
  <c r="C23" i="81" s="1"/>
  <c r="F24" i="82"/>
  <c r="M21" i="6"/>
  <c r="I21" i="6" s="1"/>
  <c r="S21" i="6" s="1"/>
  <c r="S8" i="1"/>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24" i="81" l="1"/>
  <c r="C29" i="81" s="1"/>
  <c r="C24" i="82"/>
  <c r="C23" i="82"/>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AA7" i="34" l="1"/>
  <c r="R49" i="34" s="1"/>
  <c r="C29" i="82"/>
  <c r="C57" i="82" s="1"/>
  <c r="C57" i="81"/>
  <c r="J14" i="81"/>
  <c r="C13" i="81"/>
  <c r="Q49" i="81"/>
  <c r="C33" i="81"/>
  <c r="C36" i="81"/>
  <c r="J19" i="81"/>
  <c r="J59" i="81"/>
  <c r="J60" i="81"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82"/>
  <c r="F35" i="82"/>
  <c r="E6" i="76"/>
  <c r="C34" i="82" l="1"/>
  <c r="F63" i="82"/>
  <c r="C62" i="82" s="1"/>
  <c r="J20" i="82"/>
  <c r="J59" i="82"/>
  <c r="J60" i="82" s="1"/>
  <c r="Q48" i="82" s="1"/>
  <c r="J14" i="82"/>
  <c r="J22" i="82" s="1"/>
  <c r="Q49" i="82"/>
  <c r="C36" i="82"/>
  <c r="C33" i="82"/>
  <c r="C13" i="82"/>
  <c r="Q70" i="82" s="1"/>
  <c r="J19" i="82"/>
  <c r="J13" i="82"/>
  <c r="J23" i="82" s="1"/>
  <c r="C64" i="82"/>
  <c r="C61" i="82"/>
  <c r="Q48" i="81"/>
  <c r="J22" i="81"/>
  <c r="J13" i="81"/>
  <c r="J23" i="81" s="1"/>
  <c r="C75" i="81"/>
  <c r="Q70" i="81"/>
  <c r="C37" i="81"/>
  <c r="C56" i="81"/>
  <c r="C65" i="81" s="1"/>
  <c r="C64" i="81"/>
  <c r="C61" i="81"/>
  <c r="C35"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1"/>
  <c r="F35" i="81"/>
  <c r="M21" i="67"/>
  <c r="B6" i="76"/>
  <c r="M21" i="15"/>
  <c r="F35" i="67"/>
  <c r="F35" i="15"/>
  <c r="C59" i="82" l="1"/>
  <c r="C37" i="82"/>
  <c r="C75" i="82"/>
  <c r="C56" i="82"/>
  <c r="C65" i="82" s="1"/>
  <c r="J17" i="82"/>
  <c r="J16" i="82" s="1"/>
  <c r="J25" i="82" s="1"/>
  <c r="C31" i="82"/>
  <c r="C30" i="82" s="1"/>
  <c r="C39" i="82" s="1"/>
  <c r="F63" i="81"/>
  <c r="C62" i="81" s="1"/>
  <c r="C59" i="81" s="1"/>
  <c r="C58" i="81" s="1"/>
  <c r="C67" i="81" s="1"/>
  <c r="C34" i="81"/>
  <c r="C31" i="81" s="1"/>
  <c r="C30" i="81" s="1"/>
  <c r="C39" i="81" s="1"/>
  <c r="J20" i="81"/>
  <c r="J17" i="81" s="1"/>
  <c r="J16" i="81" s="1"/>
  <c r="J25" i="81" s="1"/>
  <c r="I5" i="6"/>
  <c r="B2" i="76"/>
  <c r="B3" i="76" s="1"/>
  <c r="B3" i="43"/>
  <c r="C49" i="21"/>
  <c r="F63" i="67"/>
  <c r="C62" i="67" s="1"/>
  <c r="C34" i="67"/>
  <c r="J20" i="67"/>
  <c r="C24" i="68"/>
  <c r="J20" i="15"/>
  <c r="F63" i="15"/>
  <c r="C62" i="15" s="1"/>
  <c r="C34" i="15"/>
  <c r="R16" i="1"/>
  <c r="C33" i="68"/>
  <c r="I63" i="40"/>
  <c r="H65" i="40"/>
  <c r="C39" i="11"/>
  <c r="C43" i="11" s="1"/>
  <c r="C41" i="11" s="1"/>
  <c r="I70" i="39"/>
  <c r="L51" i="82"/>
  <c r="L51" i="81"/>
  <c r="C58" i="82" l="1"/>
  <c r="C67" i="82" s="1"/>
  <c r="Q69" i="81"/>
  <c r="Q68" i="81" s="1"/>
  <c r="C80" i="81"/>
  <c r="C79" i="81" s="1"/>
  <c r="Q69" i="82"/>
  <c r="Q68" i="82" s="1"/>
  <c r="C80" i="82"/>
  <c r="C79" i="82" s="1"/>
  <c r="Q67" i="82"/>
  <c r="L57" i="82"/>
  <c r="L60" i="82" s="1"/>
  <c r="L46" i="82" s="1"/>
  <c r="Q67" i="81"/>
  <c r="L57" i="81"/>
  <c r="L60" i="81" s="1"/>
  <c r="L46" i="81" s="1"/>
  <c r="C39" i="68"/>
  <c r="C43" i="68" s="1"/>
  <c r="C42" i="68"/>
  <c r="J63" i="40"/>
  <c r="I65" i="40"/>
  <c r="C46" i="11"/>
  <c r="C45" i="11" s="1"/>
  <c r="C49" i="11" s="1"/>
  <c r="C51" i="11" s="1"/>
  <c r="C52" i="11" s="1"/>
  <c r="B2" i="11" s="1"/>
  <c r="B3" i="11" s="1"/>
  <c r="J70" i="39"/>
  <c r="Q66" i="82" l="1"/>
  <c r="Q57" i="82"/>
  <c r="Q66" i="81"/>
  <c r="Q57" i="8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F41" i="82"/>
  <c r="F41" i="81"/>
  <c r="L51" i="15"/>
  <c r="F69" i="82" l="1"/>
  <c r="C68" i="82" s="1"/>
  <c r="C71" i="82" s="1"/>
  <c r="J29" i="82"/>
  <c r="C40" i="82"/>
  <c r="F69" i="81"/>
  <c r="C68" i="81" s="1"/>
  <c r="J29" i="81"/>
  <c r="C40" i="81"/>
  <c r="C66" i="15"/>
  <c r="C60" i="15"/>
  <c r="C59" i="15" s="1"/>
  <c r="AG6" i="1"/>
  <c r="C80" i="15"/>
  <c r="C79" i="15" s="1"/>
  <c r="C65" i="15"/>
  <c r="Q68" i="15"/>
  <c r="L57" i="15"/>
  <c r="L60" i="15" s="1"/>
  <c r="Q67" i="15"/>
  <c r="F41" i="15"/>
  <c r="F41" i="67"/>
  <c r="M27" i="67"/>
  <c r="M27" i="15"/>
  <c r="C46" i="82" l="1"/>
  <c r="Q56" i="82"/>
  <c r="Q62" i="82" s="1"/>
  <c r="B2" i="82"/>
  <c r="B3" i="82" s="1"/>
  <c r="Q65" i="82"/>
  <c r="Q75" i="82" s="1"/>
  <c r="C83" i="82"/>
  <c r="C82" i="82" s="1"/>
  <c r="C43" i="82"/>
  <c r="Q47" i="82"/>
  <c r="Q53" i="82" s="1"/>
  <c r="Q47" i="81"/>
  <c r="Q53" i="81" s="1"/>
  <c r="Q65" i="81"/>
  <c r="Q75" i="81" s="1"/>
  <c r="C43" i="81"/>
  <c r="B2" i="81"/>
  <c r="B3" i="81" s="1"/>
  <c r="Q56" i="81"/>
  <c r="Q62" i="81" s="1"/>
  <c r="C83" i="81"/>
  <c r="C82" i="81" s="1"/>
  <c r="C71" i="81"/>
  <c r="C46" i="8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3" i="67"/>
  <c r="D2" i="36"/>
  <c r="D2" i="21"/>
  <c r="E2" i="68"/>
  <c r="F20" i="31"/>
  <c r="D2" i="37"/>
  <c r="D2" i="33"/>
  <c r="D2" i="35"/>
  <c r="D2" i="34"/>
  <c r="B20" i="31" l="1"/>
  <c r="B2" i="36"/>
  <c r="B3" i="36" s="1"/>
  <c r="B2" i="35"/>
  <c r="B3" i="35" s="1"/>
  <c r="B2" i="37"/>
  <c r="B3" i="37" s="1"/>
  <c r="B2" i="34"/>
  <c r="B3" i="34" s="1"/>
  <c r="B2" i="21"/>
  <c r="B3" i="21" s="1"/>
  <c r="B2" i="70"/>
  <c r="C102" i="9"/>
  <c r="C21" i="9"/>
  <c r="D19" i="85"/>
  <c r="D19" i="84"/>
  <c r="D19" i="9"/>
  <c r="D102" i="85" l="1"/>
  <c r="D21" i="85"/>
  <c r="D22" i="85"/>
  <c r="G19" i="85"/>
  <c r="D21" i="84"/>
  <c r="D102" i="84"/>
  <c r="D22" i="84"/>
  <c r="G19" i="84"/>
  <c r="B3" i="70"/>
  <c r="G19" i="9"/>
  <c r="D102" i="9"/>
  <c r="D22" i="9"/>
  <c r="D21" i="9"/>
  <c r="C103" i="9"/>
  <c r="D20" i="85"/>
  <c r="D20" i="9"/>
  <c r="D20" i="84"/>
  <c r="D103" i="85" l="1"/>
  <c r="G20" i="85"/>
  <c r="G21" i="85"/>
  <c r="C32" i="85"/>
  <c r="D103" i="84"/>
  <c r="G20" i="84"/>
  <c r="G20" i="9"/>
  <c r="D103" i="9"/>
  <c r="C32" i="84"/>
  <c r="G21" i="84"/>
  <c r="C32" i="9"/>
  <c r="G21" i="9"/>
  <c r="D34" i="9"/>
  <c r="H118" i="85" l="1"/>
  <c r="C35" i="85"/>
  <c r="F118" i="85" s="1"/>
  <c r="C35" i="84"/>
  <c r="F118" i="84" s="1"/>
  <c r="H118" i="84"/>
  <c r="H109" i="9"/>
  <c r="F16" i="74" l="1"/>
  <c r="E16" i="74"/>
  <c r="C34" i="85"/>
  <c r="D118" i="85" s="1"/>
  <c r="D119" i="85" s="1"/>
  <c r="F119" i="85"/>
  <c r="G118" i="85"/>
  <c r="I118" i="85"/>
  <c r="H119" i="85"/>
  <c r="H101" i="85"/>
  <c r="C104" i="85"/>
  <c r="I118" i="84"/>
  <c r="C104" i="84"/>
  <c r="H119" i="84"/>
  <c r="H101" i="84"/>
  <c r="F119" i="84"/>
  <c r="G118" i="84"/>
  <c r="C34" i="84"/>
  <c r="D118" i="84" s="1"/>
  <c r="D119" i="84" s="1"/>
  <c r="H110" i="9"/>
  <c r="D18" i="53" s="1"/>
  <c r="B35" i="72" s="1"/>
  <c r="D124" i="9"/>
  <c r="D16" i="53"/>
  <c r="B34" i="72" s="1"/>
  <c r="H107" i="85" l="1"/>
  <c r="M48" i="85"/>
  <c r="D45" i="85"/>
  <c r="E118" i="85"/>
  <c r="C105" i="85"/>
  <c r="H102" i="85"/>
  <c r="E118" i="84"/>
  <c r="C105" i="84"/>
  <c r="H102" i="84"/>
  <c r="H107" i="84"/>
  <c r="D45" i="84"/>
  <c r="M48" i="84"/>
  <c r="D10" i="52"/>
  <c r="H14" i="74"/>
  <c r="D17" i="53"/>
  <c r="B36" i="72" s="1"/>
  <c r="D125" i="9"/>
  <c r="D11" i="52" s="1"/>
  <c r="C93" i="85" l="1"/>
  <c r="C86" i="85" s="1"/>
  <c r="C85" i="85"/>
  <c r="C72" i="85"/>
  <c r="C64" i="85"/>
  <c r="C63" i="85" s="1"/>
  <c r="C67" i="85" s="1"/>
  <c r="C68" i="85" s="1"/>
  <c r="D54" i="85" s="1"/>
  <c r="D55" i="85"/>
  <c r="M53" i="85" s="1"/>
  <c r="D53" i="85"/>
  <c r="C78" i="85"/>
  <c r="C73" i="85" s="1"/>
  <c r="D52" i="85"/>
  <c r="D122" i="85"/>
  <c r="D123" i="85" s="1"/>
  <c r="H108" i="85"/>
  <c r="M49" i="85"/>
  <c r="C78" i="84"/>
  <c r="C73" i="84" s="1"/>
  <c r="D52" i="84"/>
  <c r="C93" i="84"/>
  <c r="C86" i="84" s="1"/>
  <c r="C85" i="84"/>
  <c r="C72" i="84"/>
  <c r="C79" i="84" s="1"/>
  <c r="C64" i="84"/>
  <c r="C63" i="84" s="1"/>
  <c r="C67" i="84" s="1"/>
  <c r="C68" i="84" s="1"/>
  <c r="D54" i="84" s="1"/>
  <c r="D55" i="84"/>
  <c r="M53" i="84" s="1"/>
  <c r="D53" i="84"/>
  <c r="D122" i="84"/>
  <c r="D123" i="84" s="1"/>
  <c r="H108" i="84"/>
  <c r="M49" i="84"/>
  <c r="B7" i="74"/>
  <c r="D7" i="74" s="1"/>
  <c r="C95" i="85" l="1"/>
  <c r="L64" i="85"/>
  <c r="M64" i="85" s="1"/>
  <c r="L68" i="85"/>
  <c r="M68" i="85" s="1"/>
  <c r="L67" i="85"/>
  <c r="M67" i="85" s="1"/>
  <c r="L63" i="85"/>
  <c r="M63" i="85" s="1"/>
  <c r="L66" i="85"/>
  <c r="M66" i="85" s="1"/>
  <c r="L65" i="85"/>
  <c r="M65" i="85" s="1"/>
  <c r="C79" i="85"/>
  <c r="L66" i="84"/>
  <c r="M66" i="84" s="1"/>
  <c r="L65" i="84"/>
  <c r="M65" i="84" s="1"/>
  <c r="L64" i="84"/>
  <c r="M64" i="84" s="1"/>
  <c r="L68" i="84"/>
  <c r="M68" i="84" s="1"/>
  <c r="L67" i="84"/>
  <c r="M67" i="84" s="1"/>
  <c r="L63" i="84"/>
  <c r="M63" i="84" s="1"/>
  <c r="C95" i="84"/>
  <c r="C80" i="84"/>
  <c r="E80" i="84" s="1"/>
  <c r="E81" i="84" s="1"/>
  <c r="C7" i="74"/>
  <c r="M69" i="85" l="1"/>
  <c r="N69" i="85" s="1"/>
  <c r="C81" i="84"/>
  <c r="M69" i="84"/>
  <c r="N69" i="84" s="1"/>
  <c r="C80" i="85"/>
  <c r="E80" i="85" s="1"/>
  <c r="E81" i="85" s="1"/>
  <c r="C96" i="85"/>
  <c r="E96" i="85" s="1"/>
  <c r="E97" i="85" s="1"/>
  <c r="C96" i="84"/>
  <c r="E96" i="84" s="1"/>
  <c r="E97" i="84" s="1"/>
  <c r="J7" i="33"/>
  <c r="W7" i="33" s="1"/>
  <c r="F7" i="33"/>
  <c r="S7" i="33" s="1"/>
  <c r="H7" i="33"/>
  <c r="AB7" i="33" s="1"/>
  <c r="T48" i="33" s="1"/>
  <c r="G48" i="33" s="1"/>
  <c r="C97" i="84" l="1"/>
  <c r="D58" i="84" s="1"/>
  <c r="D56" i="84" s="1"/>
  <c r="M54" i="84" s="1"/>
  <c r="N57" i="84" s="1"/>
  <c r="P57" i="84" s="1"/>
  <c r="C97" i="85"/>
  <c r="D58" i="85" s="1"/>
  <c r="D56" i="85" s="1"/>
  <c r="M54" i="85" s="1"/>
  <c r="N57" i="85" s="1"/>
  <c r="P57" i="85" s="1"/>
  <c r="C81" i="85"/>
  <c r="N58" i="85"/>
  <c r="N59" i="85"/>
  <c r="N58" i="84"/>
  <c r="N59" i="84"/>
  <c r="G52" i="33"/>
  <c r="H52" i="33" s="1"/>
  <c r="AA7" i="33"/>
  <c r="R48" i="33" s="1"/>
  <c r="U7" i="33"/>
  <c r="AC7" i="33"/>
  <c r="V48" i="33" s="1"/>
  <c r="I48" i="33" s="1"/>
  <c r="N61" i="85" l="1"/>
  <c r="N60" i="85"/>
  <c r="N61" i="84"/>
  <c r="N60" i="8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l="1"/>
  <c r="D8" i="74"/>
  <c r="C8" i="74"/>
  <c r="H101" i="9"/>
  <c r="M48" i="9" s="1"/>
  <c r="I118" i="9"/>
  <c r="C105" i="9" s="1"/>
  <c r="H119" i="9"/>
  <c r="H5" i="52" s="1"/>
  <c r="F4" i="52"/>
  <c r="B51" i="72" s="1"/>
  <c r="F119" i="9"/>
  <c r="F5" i="52" s="1"/>
  <c r="B53" i="72" s="1"/>
  <c r="D14" i="74"/>
  <c r="H4" i="52"/>
  <c r="D4" i="52"/>
  <c r="B47" i="72" s="1"/>
  <c r="H107" i="9"/>
  <c r="M49" i="9" s="1"/>
  <c r="E15" i="74" l="1"/>
  <c r="F15" i="74"/>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 r="C8" i="68" l="1"/>
  <c r="C5" i="68" s="1"/>
  <c r="C18" i="12"/>
  <c r="C21" i="12" s="1"/>
  <c r="C22" i="12" l="1"/>
  <c r="C30" i="12" s="1"/>
  <c r="C28" i="12" s="1"/>
  <c r="C23" i="68"/>
  <c r="C20" i="68"/>
  <c r="C28" i="68" l="1"/>
  <c r="C27" i="68" s="1"/>
  <c r="C25" i="68"/>
  <c r="C22" i="68" s="1"/>
  <c r="C27" i="12"/>
  <c r="C25" i="12" s="1"/>
  <c r="C32" i="12" s="1"/>
  <c r="B2" i="12" s="1"/>
  <c r="B3" i="12" s="1"/>
  <c r="C31" i="68" l="1"/>
  <c r="C52" i="68" s="1"/>
  <c r="C57" i="68" l="1"/>
  <c r="C56" i="68" s="1"/>
  <c r="B2" i="68"/>
  <c r="B3"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<sst xmlns="http://schemas.openxmlformats.org/spreadsheetml/2006/main" count="10195" uniqueCount="3725">
  <si>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</si>
  <si>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</si>
  <si>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</si>
  <si>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</si>
  <si>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</si>
  <si>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</si>
  <si>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</si>
  <si>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</si>
  <si>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</si>
  <si>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</si>
  <si>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</si>
  <si>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</si>
  <si>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</si>
  <si>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</si>
  <si>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</si>
  <si>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</si>
  <si>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</si>
  <si>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</si>
  <si>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</si>
  <si>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</si>
  <si>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</si>
  <si>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</si>
  <si>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</si>
  <si>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</si>
  <si>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</si>
  <si>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</si>
  <si>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</si>
  <si>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</si>
  <si>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</si>
  <si>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</si>
  <si>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</si>
  <si>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</si>
  <si>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</si>
  <si>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</si>
  <si>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</si>
  <si>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</si>
  <si>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</si>
  <si>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</si>
  <si>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</si>
  <si>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</si>
  <si>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</si>
  <si>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</si>
  <si>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</si>
  <si>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</si>
  <si>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</si>
  <si>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</si>
  <si>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</si>
  <si>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</si>
  <si>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</si>
  <si>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</si>
  <si>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</si>
  <si>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</si>
  <si>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</si>
  <si>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</si>
  <si>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</si>
  <si>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</si>
  <si>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</si>
  <si>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</si>
  <si>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</si>
  <si>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</si>
  <si>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</si>
  <si>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</si>
  <si>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</si>
  <si>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</si>
  <si>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</si>
  <si>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</si>
  <si>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</si>
  <si>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</si>
  <si>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</si>
  <si>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</si>
  <si>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</si>
  <si>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</si>
  <si>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</si>
  <si>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</si>
  <si>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</si>
  <si>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</si>
  <si>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</si>
  <si>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</si>
  <si>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</si>
  <si>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</si>
  <si>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</si>
  <si>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</si>
  <si>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</si>
  <si>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</si>
  <si>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</si>
  <si>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</si>
  <si>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</si>
  <si>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</si>
  <si>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</si>
  <si>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</si>
  <si>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</si>
  <si>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</si>
  <si>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</si>
  <si>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</si>
  <si>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</si>
  <si>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</si>
  <si>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</si>
  <si>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</si>
  <si>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</si>
  <si>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</si>
  <si>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</si>
  <si>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</si>
  <si>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</si>
  <si>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</si>
  <si>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</si>
  <si>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</si>
  <si>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</si>
  <si>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</si>
  <si>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</si>
  <si>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</si>
  <si>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</si>
  <si>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</si>
  <si>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</si>
  <si>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</si>
  <si>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</si>
  <si>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</si>
  <si>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</si>
  <si>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</si>
  <si>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</si>
  <si>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</si>
  <si>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</si>
  <si>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</si>
  <si>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</si>
  <si>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</si>
  <si>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</si>
  <si>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</si>
  <si>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</si>
  <si>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</si>
  <si>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</si>
  <si>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</si>
  <si>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</si>
  <si>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</si>
  <si>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</si>
  <si>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</si>
  <si>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</si>
  <si>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</si>
  <si>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</si>
  <si>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</si>
  <si>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</si>
  <si>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</si>
  <si>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</si>
  <si>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</si>
  <si>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</si>
  <si>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</si>
  <si>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</si>
  <si>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</si>
  <si>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</si>
  <si>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</si>
  <si>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</si>
  <si>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</si>
  <si>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</si>
  <si>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</si>
  <si>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</si>
  <si>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</si>
  <si>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</si>
  <si>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</si>
  <si>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</si>
  <si>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</si>
  <si>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</si>
  <si>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</si>
  <si>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</si>
  <si>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</si>
  <si>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</si>
  <si>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</si>
  <si>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</si>
  <si>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</si>
  <si>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</si>
  <si>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</si>
  <si>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</si>
  <si>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</si>
  <si>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</si>
  <si>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</si>
  <si>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</si>
  <si>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</si>
  <si>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</si>
  <si>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</si>
  <si>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</si>
  <si>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</si>
  <si>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</si>
  <si>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</si>
  <si>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</si>
  <si>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</si>
  <si>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</si>
  <si>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</si>
  <si>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</si>
  <si>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</si>
  <si>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</si>
  <si>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</si>
  <si>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</si>
  <si>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</si>
  <si>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</si>
  <si>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</si>
  <si>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</si>
  <si>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</si>
  <si>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</si>
  <si>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</si>
  <si>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</si>
  <si>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</si>
  <si>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</si>
  <si>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</si>
  <si>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</si>
  <si>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</si>
  <si>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</si>
  <si>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</si>
  <si>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</si>
  <si>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</si>
  <si>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</si>
  <si>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</si>
  <si>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</si>
  <si>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</si>
  <si>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</si>
  <si>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</si>
  <si>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</si>
  <si>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</si>
  <si>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</si>
  <si>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</si>
  <si>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</si>
  <si>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</si>
  <si>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</si>
  <si>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</si>
  <si>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</si>
  <si>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</si>
  <si>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</si>
  <si>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</si>
  <si>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</si>
  <si>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</si>
  <si>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</si>
  <si>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</si>
  <si>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</si>
  <si>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</si>
  <si>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</si>
  <si>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</si>
  <si>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</si>
  <si>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</si>
  <si>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</si>
  <si>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</si>
  <si>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</si>
  <si>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</si>
  <si>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</si>
  <si>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</si>
  <si>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</si>
  <si>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</si>
  <si>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</si>
  <si>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</si>
  <si>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</si>
  <si>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</si>
  <si>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</si>
  <si>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</si>
  <si>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</si>
  <si>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</si>
  <si>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</si>
  <si>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</si>
  <si>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</si>
  <si>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</si>
  <si>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</si>
  <si>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</si>
  <si>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</si>
  <si>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</si>
  <si>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</si>
  <si>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</si>
  <si>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</si>
  <si>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</si>
  <si>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</si>
  <si>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</si>
  <si>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</si>
  <si>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</si>
  <si>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</si>
  <si>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</si>
  <si>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</si>
  <si>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</si>
  <si>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</si>
  <si>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</si>
  <si>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</si>
  <si>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</si>
  <si>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</si>
  <si>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</si>
  <si>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</si>
  <si>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</si>
  <si>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</si>
  <si>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</si>
  <si>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</si>
  <si>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</si>
  <si>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</si>
  <si>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</si>
  <si>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</si>
  <si>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</si>
  <si>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</si>
  <si>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</si>
  <si>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</si>
  <si>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</si>
  <si>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</si>
  <si>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</si>
  <si>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</si>
  <si>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</si>
  <si>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</si>
  <si>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</si>
  <si>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</si>
  <si>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</si>
  <si>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</si>
  <si>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</si>
  <si>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</si>
  <si>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</si>
  <si>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</si>
  <si>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</si>
  <si>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</si>
  <si>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</si>
  <si>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</si>
  <si>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</si>
  <si>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</si>
  <si>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</si>
  <si>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</si>
  <si>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</si>
  <si>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</si>
  <si>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</si>
  <si>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</si>
  <si>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</si>
  <si>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</si>
  <si>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</si>
  <si>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</si>
  <si>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</si>
  <si>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</si>
  <si>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</si>
  <si>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</si>
  <si>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</si>
  <si>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</si>
  <si>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</si>
  <si>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</si>
  <si>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</si>
  <si>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</si>
  <si>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</si>
  <si>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</si>
  <si>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</si>
  <si>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</si>
  <si>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</si>
  <si>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</si>
  <si>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</si>
  <si>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</si>
  <si>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</si>
  <si>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</si>
  <si>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</si>
  <si>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</si>
  <si>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</si>
  <si>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</si>
  <si>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</si>
  <si>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</si>
  <si>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</si>
  <si>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</si>
  <si>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</si>
  <si>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</si>
  <si>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</si>
  <si>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</si>
  <si>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</si>
  <si>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</si>
  <si>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</si>
  <si>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</si>
  <si>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</si>
  <si>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</si>
  <si>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</si>
  <si>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</si>
  <si>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</si>
  <si>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</si>
  <si>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</si>
  <si>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</si>
  <si>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</si>
  <si>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</si>
  <si>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</si>
  <si>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</si>
  <si>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</si>
  <si>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</si>
  <si>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</si>
  <si>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</si>
  <si>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</si>
  <si>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</si>
  <si>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</si>
  <si>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</si>
  <si>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</si>
  <si>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</si>
  <si>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</si>
  <si>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</si>
  <si>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</si>
  <si>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</si>
  <si>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</si>
  <si>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</si>
  <si>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</si>
  <si>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</si>
  <si>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</si>
  <si>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</si>
  <si>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</si>
  <si>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</si>
  <si>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</si>
  <si>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</si>
  <si>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</si>
  <si>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</si>
  <si>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</si>
  <si>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</si>
  <si>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</si>
  <si>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</si>
  <si>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</si>
  <si>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</si>
  <si>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</si>
  <si>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</si>
  <si>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</si>
  <si>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</si>
  <si>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</si>
  <si>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</si>
  <si>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</si>
  <si>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</si>
  <si>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</si>
  <si>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</si>
  <si>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</si>
  <si>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</si>
  <si>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</si>
  <si>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</si>
  <si>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</si>
  <si>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</si>
  <si>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</si>
  <si>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</si>
  <si>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</si>
  <si>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</si>
  <si>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</si>
  <si>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</si>
  <si>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</si>
  <si>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</si>
  <si>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</si>
  <si>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</si>
  <si>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</si>
  <si>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</si>
  <si>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</si>
  <si>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</si>
  <si>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</si>
  <si>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</si>
  <si>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</si>
  <si>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</si>
  <si>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</si>
  <si>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</si>
  <si>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</si>
  <si>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</si>
  <si>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</si>
  <si>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</si>
  <si>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</si>
  <si>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</si>
  <si>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</si>
  <si>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</si>
  <si>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</si>
  <si>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</si>
  <si>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</si>
  <si>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</si>
  <si>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</si>
  <si>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</si>
  <si>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</si>
  <si>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</si>
  <si>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</si>
  <si>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</si>
  <si>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</si>
  <si>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</si>
  <si>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</si>
  <si>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</si>
  <si>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</si>
  <si>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</si>
  <si>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</si>
  <si>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</si>
  <si>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</si>
  <si>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</si>
  <si>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</si>
  <si>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</si>
  <si>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</si>
  <si>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</si>
  <si>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</si>
  <si>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</si>
  <si>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</si>
  <si>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</si>
  <si>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</si>
  <si>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</si>
  <si>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</si>
  <si>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</si>
  <si>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</si>
  <si>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</si>
  <si>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</si>
  <si>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</si>
  <si>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</si>
  <si>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</si>
  <si>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</si>
  <si>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</si>
  <si>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</si>
  <si>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</si>
  <si>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</si>
  <si>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</si>
  <si>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</si>
  <si>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</si>
  <si>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</si>
  <si>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</si>
  <si>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</si>
  <si>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</si>
  <si>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</si>
  <si>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</si>
  <si>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</si>
  <si>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</si>
  <si>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</si>
  <si>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</si>
  <si>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</si>
  <si>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</si>
  <si>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</si>
  <si>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</si>
  <si>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</si>
  <si>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</si>
  <si>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</si>
  <si>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</si>
  <si>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</si>
  <si>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</si>
  <si>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</si>
  <si>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</si>
  <si>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</si>
  <si>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</si>
  <si>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</si>
  <si>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</si>
  <si>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</si>
  <si>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</si>
  <si>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</si>
  <si>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</si>
  <si>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</si>
  <si>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</si>
  <si>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</si>
  <si>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</si>
  <si>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</si>
  <si>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</si>
  <si>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</si>
  <si>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</si>
  <si>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</si>
  <si>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</si>
  <si>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</si>
  <si>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</si>
  <si>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</si>
  <si>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</si>
  <si>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</si>
  <si>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</si>
  <si>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</si>
  <si>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</si>
  <si>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</si>
  <si>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</si>
  <si>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</si>
  <si>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</si>
  <si>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</si>
  <si>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</si>
  <si>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</si>
  <si>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</si>
  <si>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</si>
  <si>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</si>
  <si>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</si>
  <si>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</si>
  <si>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</si>
  <si>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</si>
  <si>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</si>
  <si>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</si>
  <si>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</si>
  <si>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</si>
  <si>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</si>
  <si>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</si>
  <si>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</si>
  <si>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</si>
  <si>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</si>
  <si>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</si>
  <si>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</si>
  <si>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</si>
  <si>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</si>
  <si>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</si>
  <si>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</si>
  <si>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</si>
  <si>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</si>
  <si>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</si>
  <si>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</si>
  <si>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</si>
  <si>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</si>
  <si>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</si>
  <si>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</si>
  <si>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</si>
  <si>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</si>
  <si>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</si>
  <si>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</si>
  <si>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</si>
  <si>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</si>
  <si>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</si>
  <si>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</si>
  <si>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</si>
  <si>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</si>
  <si>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</si>
  <si>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</si>
  <si>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</si>
  <si>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</si>
  <si>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</si>
  <si>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</si>
  <si>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</si>
  <si>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</si>
  <si>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</si>
  <si>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</si>
  <si>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</si>
  <si>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</si>
  <si>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</si>
  <si>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</si>
  <si>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</si>
  <si>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</si>
  <si>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</si>
  <si>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</si>
  <si>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</si>
  <si>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</si>
  <si>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</si>
  <si>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</si>
  <si>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</si>
  <si>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</si>
  <si>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</si>
  <si>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</si>
  <si>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</si>
  <si>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</si>
  <si>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</si>
  <si>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</si>
  <si>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</si>
  <si>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</si>
  <si>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</si>
  <si>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</si>
  <si>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</si>
  <si>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</si>
  <si>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</si>
  <si>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</si>
  <si>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</si>
  <si>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</si>
  <si>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</si>
  <si>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</si>
  <si>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</si>
  <si>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</si>
  <si>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</si>
  <si>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</si>
  <si>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</si>
  <si>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</si>
  <si>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</si>
  <si>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</si>
  <si>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</si>
  <si>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</si>
  <si>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</si>
  <si>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</si>
  <si>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</si>
  <si>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</si>
  <si>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</si>
  <si>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</si>
  <si>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</si>
  <si>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</si>
  <si>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</si>
  <si>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</si>
  <si>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</si>
  <si>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</si>
  <si>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</si>
  <si>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</si>
  <si>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</si>
  <si>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</si>
  <si>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</si>
  <si>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</si>
  <si>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</si>
  <si>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</si>
  <si>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</si>
  <si>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</si>
  <si>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</si>
  <si>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</si>
  <si>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</si>
  <si>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</si>
  <si>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</si>
  <si>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</si>
  <si>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</si>
  <si>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</si>
  <si>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</si>
  <si>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</si>
  <si>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</si>
  <si>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</si>
  <si>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</si>
  <si>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</si>
  <si>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</si>
  <si>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</si>
  <si>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</si>
  <si>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</si>
  <si>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</si>
  <si>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</si>
  <si>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</si>
  <si>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</si>
  <si>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</si>
  <si>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</si>
  <si>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</si>
  <si>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</si>
  <si>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</si>
  <si>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</si>
  <si>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</si>
  <si>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</si>
  <si>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</si>
  <si>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</si>
  <si>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</si>
  <si>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</si>
  <si>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</si>
  <si>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</si>
  <si>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</si>
  <si>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</si>
  <si>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</si>
  <si>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</si>
  <si>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</si>
  <si>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</si>
  <si>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</si>
  <si>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</si>
  <si>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</si>
  <si>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</si>
  <si>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</si>
  <si>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</si>
  <si>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</si>
  <si>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</si>
  <si>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</si>
  <si>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</si>
  <si>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</si>
  <si>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</si>
  <si>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</si>
  <si>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</si>
  <si>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</si>
  <si>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</si>
  <si>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</si>
  <si>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</si>
  <si>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</si>
  <si>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</si>
  <si>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</si>
  <si>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</si>
  <si>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</si>
  <si>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</si>
  <si>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</si>
  <si>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</si>
  <si>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</si>
  <si>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</si>
  <si>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</si>
  <si>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</si>
  <si>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</si>
  <si>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</si>
  <si>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</si>
  <si>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</si>
  <si>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</si>
  <si>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</si>
  <si>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</si>
  <si>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</si>
  <si>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</si>
  <si>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</si>
  <si>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</si>
  <si>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</si>
  <si>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</si>
  <si>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</si>
  <si>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</si>
  <si>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</si>
  <si>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</si>
  <si>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</si>
  <si>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</si>
  <si>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</si>
  <si>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</si>
  <si>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</si>
  <si>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</si>
  <si>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</si>
  <si>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</si>
  <si>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</si>
  <si>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</si>
  <si>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</si>
  <si>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</si>
  <si>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</si>
  <si>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</si>
  <si>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</si>
  <si>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</si>
  <si>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</si>
  <si>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</si>
  <si>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</si>
  <si>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</si>
  <si>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</si>
  <si>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</si>
  <si>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</si>
  <si>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</si>
  <si>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</si>
  <si>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</si>
  <si>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</si>
  <si>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</si>
  <si>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</si>
  <si>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</si>
  <si>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</si>
  <si>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</si>
  <si>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</si>
  <si>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</si>
  <si>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</si>
  <si>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</si>
  <si>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</si>
  <si>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</si>
  <si>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</si>
  <si>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</si>
  <si>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</si>
  <si>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</si>
  <si>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</si>
  <si>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</si>
  <si>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</si>
  <si>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</si>
  <si>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</si>
  <si>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</si>
  <si>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</si>
  <si>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</si>
  <si>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</si>
  <si>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</si>
  <si>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</si>
  <si>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</si>
  <si>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</si>
  <si>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</si>
  <si>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</si>
  <si>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</si>
  <si>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</si>
  <si>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</si>
  <si>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</si>
  <si>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</si>
  <si>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</si>
  <si>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</si>
  <si>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</si>
  <si>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</si>
  <si>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</si>
  <si>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</si>
  <si>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</si>
  <si>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</si>
  <si>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</si>
  <si>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</si>
  <si>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</si>
  <si>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</si>
  <si>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</si>
  <si>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</si>
  <si>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</si>
  <si>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</si>
  <si>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</si>
  <si>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</si>
  <si>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</si>
  <si>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</si>
  <si>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</si>
  <si>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</si>
  <si>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</si>
  <si>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</si>
  <si>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</si>
  <si>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</si>
  <si>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</si>
  <si>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</si>
  <si>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</si>
  <si>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</si>
  <si>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</si>
  <si>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</si>
  <si>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</si>
  <si>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</si>
  <si>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</si>
  <si>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</si>
  <si>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</si>
  <si>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</si>
  <si>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</si>
  <si>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</si>
  <si>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</si>
  <si>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</si>
  <si>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</si>
  <si>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</si>
  <si>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</si>
  <si>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</si>
  <si>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</si>
  <si>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</si>
  <si>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</si>
  <si>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</si>
  <si>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</si>
  <si>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</si>
  <si>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</si>
  <si>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</si>
  <si>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</si>
  <si>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</si>
  <si>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</si>
  <si>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</si>
  <si>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</si>
  <si>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</si>
  <si>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</si>
  <si>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</si>
  <si>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</si>
  <si>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</si>
  <si>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</si>
  <si>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</si>
  <si>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</si>
  <si>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</si>
  <si>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</si>
  <si>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</si>
  <si>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</si>
  <si>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</si>
  <si>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</si>
  <si>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</si>
  <si>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</si>
  <si>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</si>
  <si>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</si>
  <si>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</si>
  <si>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</si>
  <si>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</si>
  <si>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</si>
  <si>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</si>
  <si>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</si>
  <si>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</si>
  <si>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</si>
  <si>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</si>
  <si>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</si>
  <si>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</si>
  <si>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</si>
  <si>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</si>
  <si>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</si>
  <si>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</si>
  <si>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</si>
  <si>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</si>
  <si>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</si>
  <si>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</si>
  <si>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</si>
  <si>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</si>
  <si>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</si>
  <si>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</si>
  <si>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</si>
  <si>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</si>
  <si>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</si>
  <si>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</si>
  <si>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</si>
  <si>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</si>
  <si>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</si>
  <si>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</si>
  <si>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</si>
  <si>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</si>
  <si>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</si>
  <si>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</si>
  <si>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</si>
  <si>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</si>
  <si>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</si>
  <si>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</si>
  <si>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</si>
  <si>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</si>
  <si>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</si>
  <si>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</si>
  <si>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</si>
  <si>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</si>
  <si>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</si>
  <si>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</si>
  <si>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</si>
  <si>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</si>
  <si>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</si>
  <si>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</si>
  <si>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</si>
  <si>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</si>
  <si>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</si>
  <si>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</si>
  <si>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</si>
  <si>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</si>
  <si>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</si>
  <si>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</si>
  <si>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</si>
  <si>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</si>
  <si>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</si>
  <si>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</si>
  <si>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</si>
  <si>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</si>
  <si>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</si>
  <si>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</si>
  <si>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</si>
  <si>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</si>
  <si>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</si>
  <si>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</si>
  <si>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</si>
  <si>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</si>
  <si>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</si>
  <si>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</si>
  <si>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</si>
  <si>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</si>
  <si>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</si>
  <si>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</si>
  <si>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</si>
  <si>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</si>
  <si>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</si>
  <si>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</si>
  <si>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</si>
  <si>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</si>
  <si>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</si>
  <si>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</si>
  <si>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</si>
  <si>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</si>
  <si>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</si>
  <si>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</si>
  <si>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</si>
  <si>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</si>
  <si>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</si>
  <si>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</si>
  <si>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</si>
  <si>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</si>
  <si>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</si>
  <si>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</si>
  <si>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</si>
  <si>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</si>
  <si>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</si>
  <si>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</si>
  <si>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</si>
  <si>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</si>
  <si>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</si>
  <si>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</si>
  <si>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</si>
  <si>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</si>
  <si>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</si>
  <si>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</si>
  <si>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</si>
  <si>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</si>
  <si>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</si>
  <si>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</si>
  <si>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</si>
  <si>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</si>
  <si>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</si>
  <si>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</si>
  <si>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</si>
  <si>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</si>
  <si>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</si>
  <si>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</si>
  <si>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</si>
  <si>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</si>
  <si>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</si>
  <si>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</si>
  <si>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</si>
  <si>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</si>
  <si>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</si>
  <si>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</si>
  <si>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</si>
  <si>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</si>
  <si>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</si>
  <si>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</si>
  <si>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</si>
  <si>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</si>
  <si>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</si>
  <si>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</si>
  <si>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</si>
  <si>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</si>
  <si>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</si>
  <si>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</si>
  <si>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</si>
  <si>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</si>
  <si>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</si>
  <si>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</si>
  <si>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</si>
  <si>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</si>
  <si>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</si>
  <si>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</si>
  <si>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</si>
  <si>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</si>
  <si>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</si>
  <si>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</si>
  <si>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</si>
  <si>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</si>
  <si>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</si>
  <si>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</si>
  <si>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</si>
  <si>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</si>
  <si>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</si>
  <si>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</si>
  <si>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</si>
  <si>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</si>
  <si>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</si>
  <si>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</si>
  <si>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</si>
  <si>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</si>
  <si>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</si>
  <si>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</si>
  <si>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</si>
  <si>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</si>
  <si>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</si>
  <si>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</si>
  <si>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</si>
  <si>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</si>
  <si>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</si>
  <si>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</si>
  <si>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</si>
  <si>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</si>
  <si>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</si>
  <si>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</si>
  <si>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</si>
  <si>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</si>
  <si>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</si>
  <si>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</si>
  <si>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</si>
  <si>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</si>
  <si>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</si>
  <si>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</si>
  <si>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</si>
  <si>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</si>
  <si>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</si>
  <si>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</si>
  <si>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</si>
  <si>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</si>
  <si>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</si>
  <si>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</si>
  <si>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</si>
  <si>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</si>
  <si>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</si>
  <si>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</si>
  <si>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</si>
  <si>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</si>
  <si>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</si>
  <si>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</si>
  <si>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</si>
  <si>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</si>
  <si>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</si>
  <si>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</si>
  <si>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</si>
  <si>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</si>
  <si>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</si>
  <si>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</si>
  <si>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</si>
  <si>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</si>
  <si>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</si>
  <si>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</si>
  <si>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</si>
  <si>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</si>
  <si>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</si>
  <si>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</si>
  <si>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</si>
  <si>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</si>
  <si>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</si>
  <si>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</si>
  <si>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</si>
  <si>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</si>
  <si>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</si>
  <si>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</si>
  <si>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</si>
  <si>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</si>
  <si>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</si>
  <si>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</si>
  <si>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</si>
  <si>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</si>
  <si>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</si>
  <si>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</si>
  <si>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</si>
  <si>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</si>
  <si>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</si>
  <si>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</si>
  <si>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</si>
  <si>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</si>
  <si>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</si>
  <si>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</si>
  <si>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</si>
  <si>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</si>
  <si>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</si>
  <si>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</si>
  <si>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</si>
  <si>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</si>
  <si>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</si>
  <si>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</si>
  <si>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</si>
  <si>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</si>
  <si>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</si>
  <si>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</si>
  <si>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</si>
  <si>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</si>
  <si>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</si>
  <si>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</si>
  <si>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</si>
  <si>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</si>
  <si>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</si>
  <si>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</si>
  <si>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</si>
  <si>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</si>
  <si>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</si>
  <si>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</si>
  <si>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</si>
  <si>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</si>
  <si>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</si>
  <si>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</si>
  <si>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</si>
  <si>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</si>
  <si>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</si>
  <si>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</si>
  <si>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</si>
  <si>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</si>
  <si>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</si>
  <si>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</si>
  <si>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</si>
  <si>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</si>
  <si>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</si>
  <si>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</si>
  <si>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</si>
  <si>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</si>
  <si>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</si>
  <si>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</si>
  <si>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</si>
  <si>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</si>
  <si>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</si>
  <si>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</si>
  <si>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</si>
  <si>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</si>
  <si>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</si>
  <si>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</si>
  <si>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</si>
  <si>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</si>
  <si>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</si>
  <si>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</si>
  <si>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</si>
  <si>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</si>
  <si>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</si>
  <si>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</si>
  <si>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</si>
  <si>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</si>
  <si>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</si>
  <si>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</si>
  <si>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</si>
  <si>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</si>
  <si>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</si>
  <si>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</si>
  <si>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</si>
  <si>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</si>
  <si>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</si>
  <si>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</si>
  <si>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</si>
  <si>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</si>
  <si>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</si>
  <si>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</si>
  <si>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</si>
  <si>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</si>
  <si>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</si>
  <si>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</si>
  <si>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</si>
  <si>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</si>
  <si>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</si>
  <si>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</si>
  <si>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</si>
  <si>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</si>
  <si>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</si>
  <si>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</si>
  <si>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</si>
  <si>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</si>
  <si>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</si>
  <si>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</si>
  <si>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</si>
  <si>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</si>
  <si>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</si>
  <si>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</si>
  <si>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</si>
  <si>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</si>
  <si>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</si>
  <si>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</si>
  <si>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</si>
  <si>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</si>
  <si>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</si>
  <si>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</si>
  <si>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</si>
  <si>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</si>
  <si>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</si>
  <si>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</si>
  <si>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</si>
  <si>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</si>
  <si>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</si>
  <si>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</si>
  <si>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</si>
  <si>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</si>
  <si>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</si>
  <si>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</si>
  <si>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</si>
  <si>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</si>
  <si>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</si>
  <si>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</si>
  <si>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</si>
  <si>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</si>
  <si>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</si>
  <si>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</si>
  <si>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</si>
  <si>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</si>
  <si>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</si>
  <si>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</si>
  <si>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</si>
  <si>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</si>
  <si>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</si>
  <si>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</si>
  <si>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</si>
  <si>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</si>
  <si>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</si>
  <si>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</si>
  <si>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</si>
  <si>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</si>
  <si>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</si>
  <si>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</si>
  <si>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</si>
  <si>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</si>
  <si>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</si>
  <si>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</si>
  <si>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</si>
  <si>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</si>
  <si>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</si>
  <si>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</si>
  <si>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</si>
  <si>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</si>
  <si>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</si>
  <si>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</si>
  <si>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</si>
  <si>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</si>
  <si>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</si>
  <si>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</si>
  <si>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</si>
  <si>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</si>
  <si>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</si>
  <si>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</si>
  <si>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</si>
  <si>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</si>
  <si>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</si>
  <si>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</si>
  <si>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</si>
  <si>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</si>
  <si>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</si>
  <si>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</si>
  <si>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</si>
  <si>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</si>
  <si>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</si>
  <si>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</si>
  <si>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</si>
  <si>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</si>
  <si>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</si>
  <si>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</si>
  <si>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</si>
  <si>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</si>
  <si>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</si>
  <si>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</si>
  <si>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</si>
  <si>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</si>
  <si>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</si>
  <si>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</si>
  <si>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</si>
  <si>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</si>
  <si>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</si>
  <si>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</si>
  <si>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</si>
  <si>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</si>
  <si>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</si>
  <si>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</si>
  <si>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</si>
  <si>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</si>
  <si>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</si>
  <si>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</si>
  <si>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</si>
  <si>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</si>
  <si>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</si>
  <si>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</si>
  <si>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</si>
  <si>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</si>
  <si>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</si>
  <si>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</si>
  <si>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</si>
  <si>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</si>
  <si>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</si>
  <si>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</si>
  <si>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</si>
  <si>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</si>
  <si>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</si>
  <si>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</si>
  <si>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</si>
  <si>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</si>
  <si>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</si>
  <si>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</si>
  <si>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</si>
  <si>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</si>
  <si>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</si>
  <si>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</si>
  <si>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</si>
  <si>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</si>
  <si>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</si>
  <si>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</si>
  <si>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</si>
  <si>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</si>
  <si>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</si>
  <si>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</si>
  <si>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</si>
  <si>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</si>
  <si>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</si>
  <si>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</si>
  <si>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</si>
  <si>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</si>
  <si>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</si>
  <si>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</si>
  <si>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</si>
  <si>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</si>
  <si>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</si>
  <si>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</si>
  <si>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</si>
  <si>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</si>
  <si>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</si>
  <si>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</si>
  <si>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</si>
  <si>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</si>
  <si>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</si>
  <si>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</si>
  <si>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</si>
  <si>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</si>
  <si>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</si>
  <si>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</si>
  <si>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</si>
  <si>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</si>
  <si>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</si>
  <si>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</si>
  <si>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</si>
  <si>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</si>
  <si>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</si>
  <si>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</si>
  <si>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</si>
  <si>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</si>
  <si>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</si>
  <si>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</si>
  <si>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</si>
  <si>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</si>
  <si>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</si>
  <si>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</si>
  <si>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</si>
  <si>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</si>
  <si>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</si>
  <si>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</si>
  <si>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</si>
  <si>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</si>
  <si>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</si>
  <si>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</si>
  <si>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</si>
  <si>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</si>
  <si>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</si>
  <si>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</si>
  <si>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</si>
  <si>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</si>
  <si>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</si>
  <si>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</si>
  <si>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</si>
  <si>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</si>
  <si>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</si>
  <si>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</si>
  <si>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</si>
  <si>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</si>
  <si>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</si>
  <si>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</si>
  <si>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</si>
  <si>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</si>
  <si>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</si>
  <si>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</si>
  <si>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</si>
  <si>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</si>
  <si>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</si>
  <si>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</si>
  <si>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</si>
  <si>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</si>
  <si>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</si>
  <si>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</si>
  <si>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</si>
  <si>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</si>
  <si>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</si>
  <si>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</si>
  <si>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</si>
  <si>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</si>
  <si>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</si>
  <si>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</si>
  <si>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</si>
  <si>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</si>
  <si>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</si>
  <si>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</si>
  <si>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</si>
  <si>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</si>
  <si>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</si>
  <si>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</si>
  <si>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</si>
  <si>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</si>
  <si>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</si>
  <si>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</si>
  <si>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</si>
  <si>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</si>
  <si>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</si>
  <si>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</si>
  <si>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</si>
  <si>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</si>
  <si>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</si>
  <si>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</si>
  <si>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</si>
  <si>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</si>
  <si>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</si>
  <si>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</si>
  <si>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</si>
  <si>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</si>
  <si>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</si>
  <si>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</si>
  <si>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</si>
  <si>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</si>
  <si>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</si>
  <si>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</si>
  <si>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</si>
  <si>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</si>
  <si>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</si>
  <si>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</si>
  <si>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</si>
  <si>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</si>
  <si>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</si>
  <si>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</si>
  <si>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</si>
  <si>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</si>
  <si>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</si>
  <si>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</si>
  <si>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</si>
  <si>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</si>
  <si>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</si>
  <si>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</si>
  <si>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</si>
  <si>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</si>
  <si>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</si>
  <si>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</si>
  <si>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</si>
  <si>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</si>
  <si>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</si>
  <si>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</si>
  <si>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</si>
  <si>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</si>
  <si>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</si>
  <si>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</si>
  <si>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</si>
  <si>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</si>
  <si>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</si>
  <si>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</si>
  <si>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</si>
  <si>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</si>
  <si>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</si>
  <si>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</si>
  <si>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</si>
  <si>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</si>
  <si>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</si>
  <si>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</si>
  <si>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</si>
  <si>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</si>
  <si>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</si>
  <si>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</si>
  <si>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</si>
  <si>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</si>
  <si>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</si>
  <si>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</si>
  <si>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</si>
  <si>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</si>
  <si>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</si>
  <si>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</si>
  <si>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</si>
  <si>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</si>
  <si>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</si>
  <si>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</si>
  <si>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</si>
  <si>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</si>
  <si>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</si>
  <si>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</si>
  <si>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</si>
  <si>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</si>
  <si>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</si>
  <si>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</si>
  <si>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</si>
  <si>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</si>
  <si>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</si>
  <si>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</si>
  <si>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</si>
  <si>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</si>
  <si>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</si>
  <si>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</si>
  <si>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</si>
  <si>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</si>
  <si>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</si>
  <si>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</si>
  <si>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</si>
  <si>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</si>
  <si>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</si>
  <si>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</si>
  <si>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</si>
  <si>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</si>
  <si>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</si>
  <si>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</si>
  <si>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</si>
  <si>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</si>
  <si>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</si>
  <si>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</si>
  <si>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</si>
  <si>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</si>
  <si>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</si>
  <si>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</si>
  <si>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</si>
  <si>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</si>
  <si>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</si>
  <si>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</si>
  <si>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</si>
  <si>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</si>
  <si>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</si>
  <si>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</si>
  <si>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</si>
  <si>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</si>
  <si>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</si>
  <si>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</si>
  <si>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</si>
  <si>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</si>
  <si>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</si>
  <si>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</si>
  <si>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</si>
  <si>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</si>
  <si>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</si>
  <si>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</si>
  <si>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</si>
  <si>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</si>
  <si>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</si>
  <si>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</si>
  <si>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</si>
  <si>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</si>
  <si>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</si>
  <si>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</si>
  <si>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</si>
  <si>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</si>
  <si>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</si>
  <si>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</si>
  <si>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</si>
  <si>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</si>
  <si>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</si>
  <si>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</si>
  <si>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</si>
  <si>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</si>
  <si>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</si>
  <si>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</si>
  <si>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</si>
  <si>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</si>
  <si>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</si>
  <si>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</si>
  <si>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</si>
  <si>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</si>
  <si>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</si>
  <si>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</si>
  <si>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</si>
  <si>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</si>
  <si>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</si>
  <si>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</si>
  <si>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</si>
  <si>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</si>
  <si>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</si>
  <si>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</si>
  <si>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</si>
  <si>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</si>
  <si>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</si>
  <si>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</si>
  <si>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</si>
  <si>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</si>
  <si>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</si>
  <si>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</si>
  <si>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</si>
  <si>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</si>
  <si>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</si>
  <si>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</si>
  <si>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</si>
  <si>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</si>
  <si>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</si>
  <si>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</si>
  <si>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</si>
  <si>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</si>
  <si>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</si>
  <si>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</si>
  <si>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</si>
  <si>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</si>
  <si>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</si>
  <si>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</si>
  <si>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</si>
  <si>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</si>
  <si>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</si>
  <si>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</si>
  <si>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</si>
  <si>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</si>
  <si>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</si>
  <si>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</si>
  <si>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</si>
  <si>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</si>
  <si>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</si>
  <si>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</si>
  <si>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</si>
  <si>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</si>
  <si>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</si>
  <si>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</si>
  <si>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</si>
  <si>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</si>
  <si>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</si>
  <si>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</si>
  <si>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</si>
  <si>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</si>
  <si>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</si>
  <si>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</si>
  <si>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</si>
  <si>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</si>
  <si>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</si>
  <si>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</si>
  <si>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</si>
  <si>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</si>
  <si>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</si>
  <si>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</si>
  <si>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</si>
  <si>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</si>
  <si>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</si>
  <si>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</si>
  <si>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</si>
  <si>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</si>
  <si>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</si>
  <si>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</si>
  <si>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</si>
  <si>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</si>
  <si>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</si>
  <si>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</si>
  <si>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</si>
  <si>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</si>
  <si>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</si>
  <si>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</si>
  <si>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</si>
  <si>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</si>
  <si>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</si>
  <si>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</si>
  <si>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</si>
  <si>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</si>
  <si>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</si>
  <si>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</si>
  <si>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</si>
  <si>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</si>
  <si>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</si>
  <si>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</si>
  <si>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</si>
  <si>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</si>
  <si>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</si>
  <si>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</si>
  <si>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</si>
  <si>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</si>
  <si>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</si>
  <si>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</si>
  <si>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</si>
  <si>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</si>
  <si>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</si>
  <si>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</si>
  <si>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</si>
  <si>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</si>
  <si>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</si>
  <si>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</si>
  <si>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</si>
  <si>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</si>
  <si>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</si>
  <si>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</si>
  <si>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</si>
  <si>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</si>
  <si>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</si>
  <si>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</si>
  <si>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</si>
  <si>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</si>
  <si>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</si>
  <si>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</si>
  <si>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</si>
  <si>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</si>
  <si>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</si>
  <si>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</si>
  <si>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</si>
  <si>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</si>
  <si>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</si>
  <si>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</si>
  <si>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</si>
  <si>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</si>
  <si>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</si>
  <si>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</si>
  <si>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</si>
  <si>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</si>
  <si>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</si>
  <si>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</si>
  <si>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</si>
  <si>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</si>
  <si>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</si>
  <si>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</si>
  <si>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</si>
  <si>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</si>
  <si>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</si>
  <si>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</si>
  <si>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</si>
  <si>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</si>
  <si>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</si>
  <si>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</si>
  <si>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</si>
  <si>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</si>
  <si>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</si>
  <si>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</si>
  <si>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</si>
  <si>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</si>
  <si>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</si>
  <si>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</si>
  <si>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</si>
  <si>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</si>
  <si>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</si>
  <si>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</si>
  <si>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</si>
  <si>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</si>
  <si>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</si>
  <si>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</si>
  <si>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</si>
  <si>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</si>
  <si>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</si>
  <si>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</si>
  <si>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</si>
  <si>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</si>
  <si>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</si>
  <si>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</si>
  <si>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</si>
  <si>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</si>
  <si>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</si>
  <si>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</si>
  <si>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</si>
  <si>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</si>
  <si>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</si>
  <si>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</si>
  <si>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</si>
  <si>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</si>
  <si>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</si>
  <si>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</si>
  <si>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</si>
  <si>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</si>
  <si>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</si>
  <si>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</si>
  <si>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</si>
  <si>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</si>
  <si>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</si>
  <si>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</si>
  <si>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</si>
  <si>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</si>
  <si>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</si>
  <si>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</si>
  <si>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</si>
  <si>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</si>
  <si>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</si>
  <si>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</si>
  <si>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</si>
  <si>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</si>
  <si>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</si>
  <si>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</si>
  <si>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</si>
  <si>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</si>
  <si>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</si>
  <si>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</si>
  <si>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</si>
  <si>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</si>
  <si>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</si>
  <si>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</si>
  <si>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</si>
  <si>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</si>
  <si>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</si>
  <si>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</si>
  <si>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</si>
  <si>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</si>
  <si>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</si>
  <si>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</si>
  <si>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</si>
  <si>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</si>
  <si>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</si>
  <si>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</si>
  <si>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</si>
  <si>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</si>
  <si>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</si>
  <si>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</si>
  <si>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</si>
  <si>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</si>
  <si>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</si>
  <si>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</si>
  <si>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</si>
  <si>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</si>
  <si>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</si>
  <si>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</si>
  <si>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</si>
  <si>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</si>
  <si>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</si>
  <si>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</si>
  <si>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</si>
  <si>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</si>
  <si>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</si>
  <si>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</si>
  <si>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</si>
  <si>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</si>
  <si>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</si>
  <si>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</si>
  <si>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</si>
  <si>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</si>
  <si>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</si>
  <si>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</si>
  <si>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</si>
  <si>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</si>
  <si>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</si>
  <si>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</si>
  <si>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</si>
  <si>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</si>
  <si>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</si>
  <si>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</si>
  <si>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</si>
  <si>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</si>
  <si>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</si>
  <si>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</si>
  <si>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</si>
  <si>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</si>
  <si>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</si>
  <si>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</si>
  <si>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</si>
  <si>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</si>
  <si>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</si>
  <si>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</si>
  <si>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</si>
  <si>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</si>
  <si>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</si>
  <si>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</si>
  <si>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</si>
  <si>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</si>
  <si>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</si>
  <si>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</si>
  <si>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</si>
  <si>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</si>
  <si>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</si>
  <si>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</si>
  <si>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</si>
  <si>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</si>
  <si>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</si>
  <si>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</si>
  <si>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</si>
  <si>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</si>
  <si>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</si>
  <si>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</si>
  <si>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</si>
  <si>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</si>
  <si>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</si>
  <si>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</si>
  <si>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</si>
  <si>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</si>
  <si>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</si>
  <si>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</si>
  <si>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</si>
  <si>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</si>
  <si>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</si>
  <si>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</si>
  <si>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</si>
  <si>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</si>
  <si>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</si>
  <si>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</si>
  <si>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</si>
  <si>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</si>
  <si>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</si>
  <si>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</si>
  <si>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</si>
  <si>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</si>
  <si>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</si>
  <si>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</si>
  <si>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</si>
  <si>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</si>
  <si>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</si>
  <si>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</si>
  <si>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</si>
  <si>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</si>
  <si>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</si>
  <si>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</si>
  <si>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</si>
  <si>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</si>
  <si>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</si>
  <si>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</si>
  <si>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</si>
  <si>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</si>
  <si>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</si>
  <si>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</si>
  <si>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</si>
  <si>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</si>
  <si>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</si>
  <si>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</si>
  <si>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</si>
  <si>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</si>
  <si>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</si>
  <si>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</si>
  <si>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</si>
  <si>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</si>
  <si>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</si>
  <si>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</si>
  <si>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</si>
  <si>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</si>
  <si>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</si>
  <si>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</si>
  <si>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</si>
  <si>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</si>
  <si>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</si>
  <si>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</si>
  <si>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</si>
  <si>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</si>
  <si>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</si>
  <si>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</si>
  <si>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</si>
  <si>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</si>
  <si>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</si>
  <si>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</si>
  <si>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</si>
  <si>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</si>
  <si>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</si>
  <si>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</si>
  <si>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</si>
  <si>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</si>
  <si>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</si>
  <si>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</si>
  <si>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</si>
  <si>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</si>
  <si>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</si>
  <si>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</si>
  <si>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</si>
  <si>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</si>
  <si>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</si>
  <si>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</si>
  <si>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</si>
  <si>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</si>
  <si>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</si>
  <si>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</si>
  <si>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</si>
  <si>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</si>
  <si>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</si>
  <si>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</si>
  <si>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</si>
  <si>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</si>
  <si>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</si>
  <si>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</si>
  <si>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</si>
  <si>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</si>
  <si>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</si>
  <si>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</si>
  <si>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</si>
  <si>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</si>
  <si>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</si>
  <si>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</si>
  <si>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</si>
  <si>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</si>
  <si>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</si>
  <si>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</si>
  <si>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</si>
  <si>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</si>
  <si>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</si>
  <si>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</si>
  <si>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</si>
  <si>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</si>
  <si>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</si>
  <si>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</si>
  <si>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</si>
  <si>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</si>
  <si>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</si>
  <si>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</si>
  <si>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</si>
  <si>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</si>
  <si>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</si>
  <si>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</si>
  <si>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</si>
  <si>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</si>
  <si>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</si>
  <si>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</si>
  <si>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</si>
  <si>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</si>
  <si>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</si>
  <si>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</si>
  <si>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</si>
  <si>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</si>
  <si>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</si>
  <si>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</si>
  <si>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</si>
  <si>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</si>
  <si>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</si>
  <si>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</si>
  <si>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</si>
  <si>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</si>
  <si>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</si>
  <si>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</si>
  <si>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</si>
  <si>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</si>
  <si>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</si>
  <si>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</si>
  <si>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</si>
  <si>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</si>
  <si>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</si>
  <si>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</si>
  <si>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</si>
  <si>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</si>
  <si>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</si>
  <si>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</si>
  <si>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</si>
  <si>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</si>
  <si>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</si>
  <si>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</si>
  <si>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</si>
  <si>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</si>
  <si>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</si>
  <si>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</si>
  <si>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</si>
  <si>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</si>
  <si>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</si>
  <si>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</si>
  <si>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</si>
  <si>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</si>
  <si>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</si>
  <si>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</si>
  <si>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</si>
  <si>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</si>
  <si>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</si>
  <si>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</si>
  <si>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</si>
  <si>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</si>
  <si>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</si>
  <si>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</si>
  <si>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</si>
  <si>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</si>
  <si>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</si>
  <si>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</si>
  <si>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</si>
  <si>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</si>
  <si>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</si>
  <si>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</si>
  <si>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</si>
  <si>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</si>
  <si>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</si>
  <si>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</si>
  <si>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</si>
  <si>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</si>
  <si>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</si>
  <si>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</si>
  <si>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</si>
  <si>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</si>
  <si>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</si>
  <si>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</si>
  <si>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</si>
  <si>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</si>
  <si>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</si>
  <si>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</si>
  <si>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</si>
  <si>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</si>
  <si>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</si>
  <si>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</si>
  <si>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</si>
  <si>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</si>
  <si>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</si>
  <si>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</si>
  <si>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</si>
  <si>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</si>
  <si>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</si>
  <si>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</si>
  <si>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</si>
  <si>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</si>
  <si>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</si>
  <si>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</si>
  <si>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</si>
  <si>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</si>
  <si>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</si>
  <si>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</si>
  <si>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</si>
  <si>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</si>
  <si>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</si>
  <si>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</si>
  <si>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</si>
  <si>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</si>
  <si>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</si>
  <si>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</si>
  <si>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</si>
  <si>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</si>
  <si>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</si>
  <si>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</si>
  <si>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</si>
  <si>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</si>
  <si>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</si>
  <si>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</si>
  <si>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</si>
  <si>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</si>
  <si>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</si>
  <si>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</si>
  <si>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</si>
  <si>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</si>
  <si>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</si>
  <si>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</si>
  <si>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</si>
  <si>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</si>
  <si>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</si>
  <si>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</si>
  <si>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</si>
  <si>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</si>
  <si>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</si>
  <si>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</si>
  <si>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</si>
  <si>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</si>
  <si>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</si>
  <si>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</si>
  <si>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</si>
  <si>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</si>
  <si>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</si>
  <si>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</si>
  <si>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</si>
  <si>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</si>
  <si>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</si>
  <si>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</si>
  <si>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</si>
  <si>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</si>
  <si>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</si>
  <si>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</si>
  <si>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</si>
  <si>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</si>
  <si>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</si>
  <si>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</si>
  <si>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</si>
  <si>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</si>
  <si>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</si>
  <si>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</si>
  <si>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</si>
  <si>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</si>
  <si>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</si>
  <si>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</si>
  <si>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</si>
  <si>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</si>
  <si>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</si>
  <si>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</si>
  <si>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</si>
  <si>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</si>
  <si>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</si>
  <si>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</si>
  <si>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</si>
  <si>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</si>
  <si>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</si>
  <si>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</si>
  <si>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</si>
  <si>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</si>
  <si>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</si>
  <si>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</si>
  <si>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</si>
  <si>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</si>
  <si>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</si>
  <si>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</si>
  <si>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</si>
  <si>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</si>
  <si>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</si>
  <si>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</si>
  <si>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</si>
  <si>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</si>
  <si>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</si>
  <si>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</si>
  <si>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</si>
  <si>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</si>
  <si>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</si>
  <si>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</si>
  <si>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</si>
  <si>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</si>
  <si>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</si>
  <si>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</si>
  <si>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</si>
  <si>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</si>
  <si>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</si>
  <si>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</si>
  <si>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</si>
  <si>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</si>
  <si>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</si>
  <si>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</si>
  <si>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</si>
  <si>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</si>
  <si>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</si>
  <si>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</si>
  <si>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</si>
  <si>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</si>
  <si>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</si>
  <si>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</si>
  <si>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</si>
  <si>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</si>
  <si>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</si>
  <si>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</si>
  <si>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</si>
  <si>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</si>
  <si>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</si>
  <si>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</si>
  <si>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</si>
  <si>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</si>
  <si>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</si>
  <si>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</si>
  <si>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</si>
  <si>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</si>
  <si>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</si>
  <si>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</si>
  <si>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</si>
  <si>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</si>
  <si>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</si>
  <si>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</si>
  <si>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</si>
  <si>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</si>
  <si>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</si>
  <si>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</si>
  <si>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</si>
  <si>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</si>
  <si>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</si>
  <si>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</si>
  <si>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</si>
  <si>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</si>
  <si>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</si>
  <si>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</si>
  <si>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</si>
  <si>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</si>
  <si>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</si>
  <si>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</si>
  <si>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</si>
  <si>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</si>
  <si>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</si>
  <si>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</si>
  <si>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</si>
  <si>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</si>
  <si>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</si>
  <si>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</si>
  <si>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</si>
  <si>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</si>
  <si>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</si>
  <si>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</si>
  <si>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</si>
  <si>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</si>
  <si>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</si>
  <si>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</si>
  <si>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</si>
  <si>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</si>
  <si>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</si>
  <si>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</si>
  <si>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</si>
  <si>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</si>
  <si>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</si>
  <si>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</si>
  <si>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</si>
  <si>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</si>
  <si>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</si>
  <si>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</si>
  <si>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</si>
  <si>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</si>
  <si>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</si>
  <si>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</si>
  <si>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</si>
  <si>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</si>
  <si>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</si>
  <si>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</si>
  <si>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</si>
  <si>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</si>
  <si>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</si>
  <si>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</si>
  <si>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</si>
  <si>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</si>
  <si>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</si>
  <si>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</si>
  <si>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</si>
  <si>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</si>
  <si>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</si>
  <si>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</si>
  <si>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</si>
  <si>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</si>
  <si>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</si>
  <si>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</si>
  <si>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</si>
  <si>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</si>
  <si>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</si>
  <si>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</si>
  <si>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</si>
  <si>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</si>
  <si>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</si>
  <si>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</si>
  <si>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</si>
  <si>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</si>
  <si>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</si>
  <si>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</si>
  <si>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</si>
  <si>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</si>
  <si>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</si>
  <si>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</si>
  <si>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</si>
  <si>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</si>
  <si>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</si>
  <si>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</si>
  <si>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</si>
  <si>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</si>
  <si>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</si>
  <si>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</si>
  <si>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</si>
  <si>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</si>
  <si>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</si>
  <si>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</si>
  <si>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</si>
  <si>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</si>
  <si>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</si>
  <si>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</si>
  <si>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</si>
  <si>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</si>
  <si>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</si>
  <si>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</si>
  <si>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</si>
  <si>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</si>
  <si>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</si>
  <si>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</si>
  <si>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</si>
  <si>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</si>
  <si>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</si>
  <si>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</si>
  <si>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</si>
  <si>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</si>
  <si>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</si>
  <si>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</si>
  <si>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</si>
  <si>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</si>
  <si>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</si>
  <si>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</si>
  <si>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</si>
  <si>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</si>
  <si>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</si>
  <si>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</si>
  <si>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</si>
  <si>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</si>
  <si>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</si>
  <si>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</si>
  <si>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</si>
  <si>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</si>
  <si>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</si>
  <si>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</si>
  <si>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</si>
  <si>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</si>
  <si>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</si>
  <si>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</si>
  <si>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</si>
  <si>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</si>
  <si>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</si>
  <si>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</si>
  <si>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</si>
  <si>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</si>
  <si>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</si>
  <si>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</si>
  <si>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</si>
  <si>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</si>
  <si>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</si>
  <si>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</si>
  <si>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</si>
  <si>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</si>
  <si>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</si>
  <si>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</si>
  <si>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</si>
  <si>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</si>
  <si>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</si>
  <si>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</si>
  <si>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</si>
  <si>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</si>
  <si>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</si>
  <si>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</si>
  <si>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</si>
  <si>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</si>
  <si>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</si>
  <si>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</si>
  <si>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</si>
  <si>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</si>
  <si>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</si>
  <si>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</si>
  <si>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</si>
  <si>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</si>
  <si>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</si>
  <si>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</si>
  <si>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</si>
  <si>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</si>
  <si>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</si>
  <si>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</si>
  <si>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</si>
  <si>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</si>
  <si>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</si>
  <si>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</si>
  <si>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</si>
  <si>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</si>
  <si>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</si>
  <si>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</si>
  <si>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</si>
  <si>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</si>
  <si>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</si>
  <si>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</si>
  <si>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</si>
  <si>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</si>
  <si>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</si>
  <si>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</si>
  <si>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</si>
  <si>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</si>
  <si>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</si>
  <si>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</si>
  <si>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</si>
  <si>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</si>
  <si>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</si>
  <si>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</si>
  <si>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</si>
  <si>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</si>
  <si>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</si>
  <si>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</si>
  <si>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</si>
  <si>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</si>
  <si>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</si>
  <si>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</si>
  <si>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</si>
  <si>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</si>
  <si>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</si>
  <si>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</si>
  <si>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</si>
  <si>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</si>
  <si>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</si>
  <si>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</si>
  <si>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</si>
  <si>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</si>
  <si>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</si>
  <si>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</si>
  <si>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</si>
  <si>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</si>
  <si>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</si>
  <si>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</si>
  <si>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</si>
  <si>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</si>
  <si>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</si>
  <si>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</si>
  <si>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</si>
  <si>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</si>
  <si>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</si>
  <si>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</si>
  <si>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</si>
  <si>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</si>
  <si>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</si>
  <si>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</si>
  <si>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</si>
  <si>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</si>
  <si>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</si>
  <si>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</si>
  <si>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</si>
  <si>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</si>
  <si>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</si>
  <si>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</si>
  <si>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</si>
  <si>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</si>
  <si>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</si>
  <si>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</si>
  <si>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</si>
  <si>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</si>
  <si>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</si>
  <si>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</si>
  <si>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</si>
  <si>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</si>
  <si>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</si>
  <si>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</si>
  <si>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</si>
  <si>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</si>
  <si>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</si>
  <si>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</si>
  <si>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</si>
  <si>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</si>
  <si>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</si>
  <si>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</si>
  <si>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</si>
  <si>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</si>
  <si>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</si>
  <si>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</si>
  <si>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</si>
  <si>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</si>
  <si>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</si>
  <si>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</si>
  <si>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</si>
  <si>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</si>
  <si>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</si>
  <si>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</si>
  <si>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</si>
  <si>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</si>
  <si>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</si>
  <si>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</si>
  <si>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</si>
  <si>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</si>
  <si>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</si>
  <si>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</si>
  <si>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</si>
  <si>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</si>
  <si>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</si>
  <si>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</si>
  <si>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</si>
  <si>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</si>
  <si>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</si>
  <si>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</si>
  <si>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</si>
  <si>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</si>
  <si>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</si>
  <si>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</si>
  <si>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</si>
  <si>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</si>
  <si>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</si>
  <si>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</si>
  <si>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</si>
  <si>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</si>
  <si>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</si>
  <si>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</si>
  <si>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</si>
  <si>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</si>
  <si>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</si>
  <si>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</si>
  <si>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</si>
  <si>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</si>
  <si>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</si>
  <si>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</si>
  <si>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</si>
  <si>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</si>
  <si>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</si>
  <si>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</si>
  <si>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</si>
  <si>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</si>
  <si>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</si>
  <si>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</si>
  <si>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</si>
  <si>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</si>
  <si>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</si>
  <si>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</si>
  <si>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</si>
  <si>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</si>
  <si>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</si>
  <si>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</si>
  <si>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</si>
  <si>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</si>
  <si>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</si>
  <si>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</si>
  <si>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</si>
  <si>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</si>
  <si>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</si>
  <si>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</si>
  <si>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</si>
  <si>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</si>
  <si>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</si>
  <si>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</si>
  <si>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</si>
  <si>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</si>
  <si>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</si>
  <si>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</si>
  <si>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</si>
  <si>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</si>
  <si>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</si>
  <si>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</si>
  <si>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</si>
  <si>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</si>
  <si>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</si>
  <si>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</si>
  <si>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</si>
  <si>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</si>
  <si>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</si>
  <si>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</si>
  <si>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</si>
  <si>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</si>
  <si>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</si>
  <si>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</si>
  <si>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</si>
  <si>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</si>
  <si>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</si>
  <si>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</si>
  <si>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</si>
  <si>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</si>
  <si>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</si>
  <si>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</si>
  <si>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</si>
  <si>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</si>
  <si>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</si>
  <si>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</si>
  <si>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</si>
  <si>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</si>
  <si>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</si>
  <si>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</si>
  <si>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</si>
  <si>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</si>
  <si>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</si>
  <si>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</si>
  <si>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</si>
  <si>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</si>
  <si>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</si>
  <si>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</si>
  <si>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</si>
  <si>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</si>
  <si>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</si>
  <si>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</si>
  <si>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</si>
  <si>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</si>
  <si>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</si>
  <si>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</si>
  <si>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</si>
  <si>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</si>
  <si>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</si>
  <si>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</si>
  <si>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</si>
  <si>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</si>
  <si>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</si>
  <si>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</si>
  <si>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</si>
  <si>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</si>
  <si>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</si>
  <si>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</si>
  <si>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</si>
  <si>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</si>
  <si>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</si>
  <si>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</si>
  <si>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</si>
  <si>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</si>
  <si>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</si>
  <si>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</si>
  <si>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</si>
  <si>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</si>
  <si>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</si>
  <si>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</si>
  <si>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</si>
  <si>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</si>
  <si>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</si>
  <si>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</si>
  <si>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</si>
  <si>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</si>
  <si>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</si>
  <si>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</si>
  <si>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</si>
  <si>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</si>
  <si>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</si>
  <si>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</si>
  <si>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</si>
  <si>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</si>
  <si>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</si>
  <si>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</si>
  <si>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</si>
  <si>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</si>
  <si>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</si>
  <si>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</si>
  <si>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</si>
  <si>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</si>
  <si>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</si>
  <si>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</si>
  <si>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</si>
  <si>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</si>
  <si>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</si>
  <si>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</si>
  <si>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</si>
  <si>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</si>
  <si>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</si>
  <si>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</si>
  <si>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</si>
  <si>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</si>
  <si>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</si>
  <si>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</si>
  <si>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</si>
  <si>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</si>
  <si>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</si>
  <si>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</si>
  <si>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</si>
  <si>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</si>
  <si>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</si>
  <si>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</si>
  <si>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</si>
  <si>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</si>
  <si>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</si>
  <si>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</si>
  <si>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</si>
  <si>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</si>
  <si>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</si>
  <si>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</si>
  <si>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</si>
  <si>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</si>
  <si>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</si>
  <si>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</si>
  <si>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</si>
  <si>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</si>
  <si>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</si>
  <si>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</si>
  <si>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</si>
  <si>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</si>
  <si>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</si>
  <si>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</si>
  <si>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</si>
  <si>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</si>
  <si>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</si>
  <si>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</si>
  <si>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</si>
  <si>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</si>
  <si>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</si>
  <si>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</si>
  <si>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</si>
  <si>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</si>
  <si>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</si>
  <si>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</si>
  <si>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</si>
  <si>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</si>
  <si>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</si>
  <si>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</si>
  <si>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</si>
  <si>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</si>
  <si>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</si>
  <si>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</si>
  <si>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</si>
  <si>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</si>
  <si>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</si>
  <si>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</si>
  <si>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</si>
  <si>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</si>
  <si>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</si>
  <si>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</si>
  <si>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</si>
  <si>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</si>
  <si>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</si>
  <si>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</si>
  <si>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</si>
  <si>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</si>
  <si>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</si>
  <si>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</si>
  <si>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</si>
  <si>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</si>
  <si>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</si>
  <si>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</si>
  <si>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</si>
  <si>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</si>
  <si>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</si>
  <si>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</si>
  <si>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</si>
  <si>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</si>
  <si>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</si>
  <si>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</si>
  <si>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</si>
  <si>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</si>
  <si>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</si>
  <si>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</si>
  <si>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</si>
  <si>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</si>
  <si>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</si>
  <si>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</si>
  <si>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</si>
  <si>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</si>
  <si>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</si>
  <si>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</si>
  <si>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</si>
  <si>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</si>
  <si>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</si>
  <si>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</si>
  <si>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</si>
  <si>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</si>
  <si>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</si>
  <si>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</si>
  <si>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</si>
  <si>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</si>
  <si>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</si>
  <si>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</si>
  <si>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</si>
  <si>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</si>
  <si>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</si>
  <si>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</si>
  <si>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</si>
  <si>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</si>
  <si>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</si>
  <si>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</si>
  <si>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</si>
  <si>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</si>
  <si>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</si>
  <si>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</si>
  <si>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</si>
  <si>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</si>
  <si>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</si>
  <si>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</si>
  <si>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</si>
  <si>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</si>
  <si>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</si>
  <si>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</si>
  <si>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</si>
  <si>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</si>
  <si>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</si>
  <si>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</si>
  <si>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</si>
  <si>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</si>
  <si>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</si>
  <si>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</si>
  <si>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</si>
  <si>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</si>
  <si>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</si>
  <si>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</si>
  <si>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</si>
  <si>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</si>
  <si>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</si>
  <si>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</si>
  <si>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</si>
  <si>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</si>
  <si>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</si>
  <si>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</si>
  <si>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</si>
  <si>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</si>
  <si>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</si>
  <si>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</si>
  <si>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</si>
  <si>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</si>
  <si>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</si>
  <si>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</si>
  <si>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</si>
  <si>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</si>
  <si>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</si>
  <si>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</si>
  <si>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</si>
  <si>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</si>
  <si>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</si>
  <si>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</si>
  <si>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</si>
  <si>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</si>
  <si>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</si>
  <si>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</si>
  <si>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</si>
  <si>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</si>
  <si>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</si>
  <si>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</si>
  <si>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</si>
  <si>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</si>
  <si>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</si>
  <si>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</si>
  <si>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</si>
  <si>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</si>
  <si>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</si>
  <si>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</si>
  <si>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</si>
  <si>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</si>
  <si>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</si>
  <si>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</si>
  <si>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</si>
  <si>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</si>
  <si>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</si>
  <si>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</si>
  <si>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</si>
  <si>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</si>
  <si>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</si>
  <si>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</si>
  <si>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</si>
  <si>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</si>
  <si>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</si>
  <si>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</si>
  <si>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</si>
  <si>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</si>
  <si>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</si>
  <si>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</si>
  <si>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</si>
  <si>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</si>
  <si>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</si>
  <si>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</si>
  <si>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</si>
  <si>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</si>
  <si>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</si>
  <si>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</si>
  <si>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</si>
  <si>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</si>
  <si>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</si>
  <si>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</si>
  <si>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</si>
  <si>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</si>
  <si>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</si>
  <si>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</si>
  <si>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</si>
  <si>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</si>
  <si>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</si>
  <si>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</si>
  <si>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</si>
  <si>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</si>
  <si>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</si>
  <si>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</si>
  <si>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</si>
  <si>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</si>
  <si>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</si>
  <si>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</si>
  <si>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</si>
  <si>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</si>
  <si>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</si>
  <si>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</si>
  <si>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</si>
  <si>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</si>
  <si>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</si>
  <si>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</si>
  <si>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</si>
  <si>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</si>
  <si>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</si>
  <si>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</si>
  <si>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</si>
  <si>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</si>
  <si>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</si>
  <si>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</si>
  <si>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</si>
  <si>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</si>
  <si>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</si>
  <si>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</si>
  <si>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</si>
  <si>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</si>
  <si>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</si>
  <si>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</si>
  <si>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</si>
  <si>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</si>
  <si>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</si>
  <si>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</si>
  <si>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</si>
  <si>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</si>
  <si>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</si>
  <si>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</si>
  <si>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</si>
  <si>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</si>
  <si>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</si>
  <si>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</si>
  <si>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</si>
  <si>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</si>
  <si>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</si>
  <si>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</si>
  <si>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</si>
  <si>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</si>
  <si>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</si>
  <si>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</si>
  <si>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</si>
  <si>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</si>
  <si>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</si>
  <si>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</si>
  <si>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</si>
  <si>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</si>
  <si>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</si>
  <si>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</si>
  <si>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</si>
  <si>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</si>
  <si>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</si>
  <si>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</si>
  <si>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</si>
  <si>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</si>
  <si>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</si>
  <si>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</si>
  <si>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</si>
  <si>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</si>
  <si>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</si>
  <si>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</si>
  <si>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</si>
  <si>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</si>
  <si>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</si>
  <si>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</si>
  <si>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</si>
  <si>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</si>
  <si>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</si>
  <si>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</si>
  <si>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</si>
  <si>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</si>
  <si>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</si>
  <si>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</si>
  <si>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</si>
  <si>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</si>
  <si>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</si>
  <si>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</si>
  <si>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</si>
  <si>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</si>
  <si>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</si>
  <si>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</si>
  <si>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</si>
  <si>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</si>
  <si>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</si>
  <si>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</si>
  <si>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</si>
  <si>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</si>
  <si>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</si>
  <si>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</si>
  <si>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</si>
  <si>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</si>
  <si>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</si>
  <si>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</si>
  <si>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</si>
  <si>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</si>
  <si>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</si>
  <si>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</si>
  <si>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收益法（办公）</t>
    <phoneticPr fontId="4" type="noConversion"/>
  </si>
  <si>
    <t>收益法（商业）</t>
  </si>
  <si>
    <t>收益法（车位）</t>
  </si>
  <si>
    <t>2018-1-0214-P01DYGJ3</t>
    <phoneticPr fontId="4" type="noConversion"/>
  </si>
  <si>
    <t>郑燚</t>
  </si>
  <si>
    <t>王鹏</t>
  </si>
  <si>
    <t>昆仑信托有限责任公司</t>
    <phoneticPr fontId="4" type="noConversion"/>
  </si>
  <si>
    <t>抵押</t>
  </si>
  <si>
    <t>房地产抵押价值</t>
  </si>
  <si>
    <t>北京市</t>
  </si>
  <si>
    <t>企业</t>
  </si>
  <si>
    <t>出让</t>
  </si>
  <si>
    <t>北京碧生源物业管理有限公司</t>
    <phoneticPr fontId="4"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</si>
  <si>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4" type="noConversion"/>
  </si>
  <si>
    <r>
      <rPr>
        <sz val="12"/>
        <color theme="9" tint="-0.249977111117893"/>
        <rFont val="宋体"/>
        <family val="3"/>
        <charset val="134"/>
      </rPr>
      <t>《不动产权证书》</t>
    </r>
    <r>
      <rPr>
        <sz val="12"/>
        <color theme="9" tint="-0.249977111117893"/>
        <rFont val="Arial"/>
        <family val="2"/>
      </rPr>
      <t/>
    </r>
    <phoneticPr fontId="7" type="noConversion"/>
  </si>
  <si>
    <t>商业、办公及地下车库</t>
    <phoneticPr fontId="7" type="noConversion"/>
  </si>
  <si>
    <r>
      <rPr>
        <sz val="12"/>
        <color theme="9" tint="-0.249977111117893"/>
        <rFont val="宋体"/>
        <family val="3"/>
        <charset val="134"/>
      </rPr>
      <t>商业</t>
    </r>
    <r>
      <rPr>
        <sz val="12"/>
        <color theme="9" tint="-0.249977111117893"/>
        <rFont val="Arial"/>
        <family val="2"/>
      </rPr>
      <t>31.2</t>
    </r>
    <r>
      <rPr>
        <sz val="12"/>
        <color theme="9" tint="-0.249977111117893"/>
        <rFont val="宋体"/>
        <family val="3"/>
        <charset val="134"/>
      </rPr>
      <t>年、办公及地下车库</t>
    </r>
    <r>
      <rPr>
        <sz val="12"/>
        <color theme="9" tint="-0.249977111117893"/>
        <rFont val="Arial"/>
        <family val="2"/>
      </rPr>
      <t>41.2</t>
    </r>
    <r>
      <rPr>
        <sz val="12"/>
        <color theme="9" tint="-0.249977111117893"/>
        <rFont val="宋体"/>
        <family val="3"/>
        <charset val="134"/>
      </rPr>
      <t>年</t>
    </r>
    <phoneticPr fontId="7" type="noConversion"/>
  </si>
  <si>
    <t>《不动产权证书》</t>
  </si>
  <si>
    <t>办公项目</t>
  </si>
  <si>
    <t>现房</t>
  </si>
  <si>
    <t>通路</t>
  </si>
  <si>
    <t>通电</t>
  </si>
  <si>
    <t>通讯</t>
  </si>
  <si>
    <t>通上水</t>
  </si>
  <si>
    <t>通下水</t>
  </si>
  <si>
    <t>通热</t>
  </si>
  <si>
    <t>序号</t>
    <phoneticPr fontId="144" type="noConversion"/>
  </si>
  <si>
    <t>不动产权证号</t>
    <phoneticPr fontId="256" type="noConversion"/>
  </si>
  <si>
    <t>权利人</t>
    <phoneticPr fontId="256" type="noConversion"/>
  </si>
  <si>
    <t>坐落</t>
    <phoneticPr fontId="256" type="noConversion"/>
  </si>
  <si>
    <t>不动产单元号</t>
    <phoneticPr fontId="256" type="noConversion"/>
  </si>
  <si>
    <t>用途</t>
    <phoneticPr fontId="256" type="noConversion"/>
  </si>
  <si>
    <t>房屋结构</t>
    <phoneticPr fontId="256" type="noConversion"/>
  </si>
  <si>
    <t>房屋所在层</t>
    <phoneticPr fontId="256" type="noConversion"/>
  </si>
  <si>
    <t>建筑面积</t>
    <phoneticPr fontId="256" type="noConversion"/>
  </si>
  <si>
    <t>京（2017）海不动产权第0052620号</t>
    <phoneticPr fontId="256" type="noConversion"/>
  </si>
  <si>
    <t>北京碧生源物业管理有限公司</t>
    <phoneticPr fontId="256" type="noConversion"/>
  </si>
  <si>
    <t>海淀区西四环北路160号1层二区106</t>
    <phoneticPr fontId="256" type="noConversion"/>
  </si>
  <si>
    <t>110108005001GB00163F00010316</t>
    <phoneticPr fontId="256" type="noConversion"/>
  </si>
  <si>
    <t>商业</t>
    <phoneticPr fontId="256" type="noConversion"/>
  </si>
  <si>
    <t>钢筋混凝土</t>
    <phoneticPr fontId="256" type="noConversion"/>
  </si>
  <si>
    <t>京（2017）海不动产权第0057296号</t>
    <phoneticPr fontId="256" type="noConversion"/>
  </si>
  <si>
    <t>海淀区西四环北路160号2层二区206</t>
    <phoneticPr fontId="256" type="noConversion"/>
  </si>
  <si>
    <t>110108005001GB00163F00010335</t>
    <phoneticPr fontId="256" type="noConversion"/>
  </si>
  <si>
    <t>小计</t>
    <phoneticPr fontId="256" type="noConversion"/>
  </si>
  <si>
    <t>京（2017）海不动产权第0056171号</t>
    <phoneticPr fontId="256" type="noConversion"/>
  </si>
  <si>
    <t>海淀区西四环北路160号3层二区330</t>
    <phoneticPr fontId="256" type="noConversion"/>
  </si>
  <si>
    <t>110108005001GB00163F00010380</t>
    <phoneticPr fontId="256" type="noConversion"/>
  </si>
  <si>
    <t>办公</t>
    <phoneticPr fontId="256" type="noConversion"/>
  </si>
  <si>
    <t>京（2017）海不动产权第0056159号</t>
    <phoneticPr fontId="256" type="noConversion"/>
  </si>
  <si>
    <t>海淀区西四环北路160号3层二区331</t>
    <phoneticPr fontId="256" type="noConversion"/>
  </si>
  <si>
    <t>110108005001GB00163F00010381</t>
  </si>
  <si>
    <t>京（2017）海不动产权第0056162号</t>
    <phoneticPr fontId="256" type="noConversion"/>
  </si>
  <si>
    <t>海淀区西四环北路160号3层二区332</t>
  </si>
  <si>
    <t>110108005001GB00163F00010382</t>
  </si>
  <si>
    <t>京（2017）海不动产权第0057597号</t>
    <phoneticPr fontId="256" type="noConversion"/>
  </si>
  <si>
    <t>海淀区西四环北路160号3层二区333</t>
  </si>
  <si>
    <t>110108005001GB00163F00010383</t>
  </si>
  <si>
    <t>京（2017）海不动产权第0056356号</t>
    <phoneticPr fontId="256" type="noConversion"/>
  </si>
  <si>
    <t>海淀区西四环北路160号3层二区335</t>
    <phoneticPr fontId="256" type="noConversion"/>
  </si>
  <si>
    <t>110108005001GB00163F00010384</t>
  </si>
  <si>
    <t>京（2017）海不动产权第0056364号</t>
    <phoneticPr fontId="256" type="noConversion"/>
  </si>
  <si>
    <t>海淀区西四环北路160号3层二区336</t>
  </si>
  <si>
    <t>110108005001GB00163F00010385</t>
  </si>
  <si>
    <t>京（2017）海不动产权第0056351号</t>
    <phoneticPr fontId="256" type="noConversion"/>
  </si>
  <si>
    <t>海淀区西四环北路160号3层二区337</t>
  </si>
  <si>
    <t>110108005001GB00163F00010386</t>
  </si>
  <si>
    <t>京（2017）海不动产权第0056352号</t>
    <phoneticPr fontId="256" type="noConversion"/>
  </si>
  <si>
    <t>海淀区西四环北路160号3层二区338</t>
  </si>
  <si>
    <t>110108005001GB00163F00010387</t>
  </si>
  <si>
    <t>京（2017）海不动产权第0056164号</t>
    <phoneticPr fontId="256" type="noConversion"/>
  </si>
  <si>
    <t>海淀区西四环北路160号3层二区339</t>
  </si>
  <si>
    <t>110108005001GB00163F00010388</t>
  </si>
  <si>
    <t>京（2017）海不动产权第0057288号</t>
    <phoneticPr fontId="256" type="noConversion"/>
  </si>
  <si>
    <t>海淀区西四环北路160号3层二区340</t>
  </si>
  <si>
    <t>110108005001GB00163F00010389</t>
  </si>
  <si>
    <t>京（2017）海不动产权第0056395号</t>
    <phoneticPr fontId="256" type="noConversion"/>
  </si>
  <si>
    <t>海淀区西四环北路160号3层二区341</t>
  </si>
  <si>
    <t>110108005001GB00163F00010390</t>
  </si>
  <si>
    <t>京（2017）海不动产权第0057286号</t>
    <phoneticPr fontId="256" type="noConversion"/>
  </si>
  <si>
    <t>海淀区西四环北路160号4层二区430</t>
    <phoneticPr fontId="256" type="noConversion"/>
  </si>
  <si>
    <t>110108005001GB00163F00010452</t>
    <phoneticPr fontId="256" type="noConversion"/>
  </si>
  <si>
    <t>京（2017）海不动产权第0056169号</t>
    <phoneticPr fontId="256" type="noConversion"/>
  </si>
  <si>
    <t>海淀区西四环北路160号4层二区431</t>
  </si>
  <si>
    <t>110108005001GB00163F00010453</t>
  </si>
  <si>
    <t>京（2017）海不动产权第0056346号</t>
    <phoneticPr fontId="256" type="noConversion"/>
  </si>
  <si>
    <t>海淀区西四环北路160号4层二区432</t>
  </si>
  <si>
    <t>110108005001GB00163F00010454</t>
  </si>
  <si>
    <t>京（2017）海不动产权第0056438号</t>
    <phoneticPr fontId="256" type="noConversion"/>
  </si>
  <si>
    <t>海淀区西四环北路160号4层二区433</t>
  </si>
  <si>
    <t>110108005001GB00163F00010455</t>
  </si>
  <si>
    <t>京（2017）海不动产权第0056427号</t>
    <phoneticPr fontId="256" type="noConversion"/>
  </si>
  <si>
    <t>海淀区西四环北路160号4层二区435</t>
    <phoneticPr fontId="256" type="noConversion"/>
  </si>
  <si>
    <t>110108005001GB00163F00010456</t>
  </si>
  <si>
    <t>京（2017）海不动产权第0056423号</t>
    <phoneticPr fontId="256" type="noConversion"/>
  </si>
  <si>
    <t>海淀区西四环北路160号4层二区436</t>
    <phoneticPr fontId="256" type="noConversion"/>
  </si>
  <si>
    <t>110108005001GB00163F00010457</t>
  </si>
  <si>
    <t>京（2017）海不动产权第0056432号</t>
    <phoneticPr fontId="256" type="noConversion"/>
  </si>
  <si>
    <t>海淀区西四环北路160号4层二区437</t>
  </si>
  <si>
    <t>110108005001GB00163F00010458</t>
  </si>
  <si>
    <t>办公</t>
    <phoneticPr fontId="256" type="noConversion"/>
  </si>
  <si>
    <t>钢筋混凝土</t>
    <phoneticPr fontId="256" type="noConversion"/>
  </si>
  <si>
    <t>京（2017）海不动产权第0056366号</t>
    <phoneticPr fontId="256" type="noConversion"/>
  </si>
  <si>
    <t>北京碧生源物业管理有限公司</t>
    <phoneticPr fontId="256" type="noConversion"/>
  </si>
  <si>
    <t>海淀区西四环北路160号4层二区438</t>
  </si>
  <si>
    <t>110108005001GB00163F00010459</t>
  </si>
  <si>
    <t>京（2017）海不动产权第0056358号</t>
    <phoneticPr fontId="256" type="noConversion"/>
  </si>
  <si>
    <t>海淀区西四环北路160号4层二区439</t>
  </si>
  <si>
    <t>110108005001GB00163F00010460</t>
  </si>
  <si>
    <t>京（2017）海不动产权第0056418号</t>
    <phoneticPr fontId="256" type="noConversion"/>
  </si>
  <si>
    <t>海淀区西四环北路160号4层二区440</t>
  </si>
  <si>
    <t>110108005001GB00163F00010461</t>
  </si>
  <si>
    <t>京（2017）海不动产权第0056420号</t>
    <phoneticPr fontId="256" type="noConversion"/>
  </si>
  <si>
    <t>海淀区西四环北路160号4层二区441</t>
  </si>
  <si>
    <t>110108005001GB00163F00010462</t>
  </si>
  <si>
    <t>京（2017）海不动产权第0056413号</t>
    <phoneticPr fontId="256" type="noConversion"/>
  </si>
  <si>
    <t>海淀区西四环北路160号5层二区527</t>
    <phoneticPr fontId="256" type="noConversion"/>
  </si>
  <si>
    <t>110108005001GB00163F00010520</t>
    <phoneticPr fontId="256" type="noConversion"/>
  </si>
  <si>
    <t>京（2017）海不动产权第0056416号</t>
    <phoneticPr fontId="256" type="noConversion"/>
  </si>
  <si>
    <t>海淀区西四环北路160号5层二区528</t>
  </si>
  <si>
    <t>110108005001GB00163F00010521</t>
  </si>
  <si>
    <t>京（2017）海不动产权第0056429号</t>
    <phoneticPr fontId="256" type="noConversion"/>
  </si>
  <si>
    <t>海淀区西四环北路160号5层二区529</t>
  </si>
  <si>
    <t>110108005001GB00163F00010522</t>
  </si>
  <si>
    <t>京（2017）海不动产权第0056410号</t>
    <phoneticPr fontId="256" type="noConversion"/>
  </si>
  <si>
    <t>海淀区西四环北路160号5层二区530</t>
  </si>
  <si>
    <t>110108005001GB00163F00010523</t>
  </si>
  <si>
    <t>京（2017）海不动产权第0056403号</t>
    <phoneticPr fontId="256" type="noConversion"/>
  </si>
  <si>
    <t>海淀区西四环北路160号5层二区531</t>
  </si>
  <si>
    <t>110108005001GB00163F00010524</t>
  </si>
  <si>
    <t>京（2017）海不动产权第0056398号</t>
    <phoneticPr fontId="256" type="noConversion"/>
  </si>
  <si>
    <t>海淀区西四环北路160号5层二区532</t>
  </si>
  <si>
    <t>110108005001GB00163F00010525</t>
  </si>
  <si>
    <t>办公</t>
    <phoneticPr fontId="256" type="noConversion"/>
  </si>
  <si>
    <t>钢筋混凝土</t>
    <phoneticPr fontId="256" type="noConversion"/>
  </si>
  <si>
    <t>京（2017）海不动产权第0056436号</t>
    <phoneticPr fontId="256" type="noConversion"/>
  </si>
  <si>
    <t>北京碧生源物业管理有限公司</t>
    <phoneticPr fontId="256" type="noConversion"/>
  </si>
  <si>
    <t>海淀区西四环北路160号5层二区533</t>
  </si>
  <si>
    <t>110108005001GB00163F00010526</t>
  </si>
  <si>
    <t>京（2017）海不动产权第0056362号</t>
    <phoneticPr fontId="256" type="noConversion"/>
  </si>
  <si>
    <t>海淀区西四环北路160号5层二区535</t>
    <phoneticPr fontId="256" type="noConversion"/>
  </si>
  <si>
    <t>110108005001GB00163F00010527</t>
  </si>
  <si>
    <t>办公</t>
    <phoneticPr fontId="256" type="noConversion"/>
  </si>
  <si>
    <t>钢筋混凝土</t>
    <phoneticPr fontId="256" type="noConversion"/>
  </si>
  <si>
    <t>京（2017）海不动产权第0056380号</t>
    <phoneticPr fontId="256" type="noConversion"/>
  </si>
  <si>
    <t>北京碧生源物业管理有限公司</t>
    <phoneticPr fontId="256" type="noConversion"/>
  </si>
  <si>
    <t>海淀区西四环北路160号5层二区536</t>
  </si>
  <si>
    <t>110108005001GB00163F00010528</t>
  </si>
  <si>
    <t>京（2017）海不动产权第0056373号</t>
    <phoneticPr fontId="256" type="noConversion"/>
  </si>
  <si>
    <t>海淀区西四环北路160号5层二区537</t>
  </si>
  <si>
    <t>110108005001GB00163F00010529</t>
  </si>
  <si>
    <t>京（2017）海不动产权第0056370号</t>
    <phoneticPr fontId="256" type="noConversion"/>
  </si>
  <si>
    <t>海淀区西四环北路160号5层二区538</t>
  </si>
  <si>
    <t>110108005001GB00163F00010530</t>
  </si>
  <si>
    <t>京（2017）海不动产权第0056376号</t>
    <phoneticPr fontId="256" type="noConversion"/>
  </si>
  <si>
    <t>海淀区西四环北路160号6层二区627</t>
    <phoneticPr fontId="256" type="noConversion"/>
  </si>
  <si>
    <t>110108005001GB00163F00010588</t>
    <phoneticPr fontId="256" type="noConversion"/>
  </si>
  <si>
    <t>京（2017）海不动产权第0056391号</t>
    <phoneticPr fontId="256" type="noConversion"/>
  </si>
  <si>
    <t>海淀区西四环北路160号6层二区628</t>
  </si>
  <si>
    <t>110108005001GB00163F00010589</t>
  </si>
  <si>
    <t>京（2017）海不动产权第0056382号</t>
    <phoneticPr fontId="256" type="noConversion"/>
  </si>
  <si>
    <t>海淀区西四环北路160号6层二区629</t>
  </si>
  <si>
    <t>110108005001GB00163F00010590</t>
  </si>
  <si>
    <t>京（2017）海不动产权第0056357号</t>
    <phoneticPr fontId="256" type="noConversion"/>
  </si>
  <si>
    <t>海淀区西四环北路160号6层二区630</t>
  </si>
  <si>
    <t>110108005001GB00163F00010591</t>
  </si>
  <si>
    <t>京（2017）海不动产权第0056394号</t>
    <phoneticPr fontId="256" type="noConversion"/>
  </si>
  <si>
    <t>海淀区西四环北路160号6层二区631</t>
  </si>
  <si>
    <t>110108005001GB00163F00010592</t>
  </si>
  <si>
    <t>京（2017）海不动产权第0056414号</t>
    <phoneticPr fontId="256" type="noConversion"/>
  </si>
  <si>
    <t>海淀区西四环北路160号6层二区632</t>
  </si>
  <si>
    <t>110108005001GB00163F00010593</t>
  </si>
  <si>
    <t>京（2017）海不动产权第0056405号</t>
    <phoneticPr fontId="256" type="noConversion"/>
  </si>
  <si>
    <t>海淀区西四环北路160号6层二区633</t>
  </si>
  <si>
    <t>110108005001GB00163F00010594</t>
  </si>
  <si>
    <t>京（2017）海不动产权第0056350号</t>
    <phoneticPr fontId="256" type="noConversion"/>
  </si>
  <si>
    <t>海淀区西四环北路160号6层二区635</t>
    <phoneticPr fontId="256" type="noConversion"/>
  </si>
  <si>
    <t>110108005001GB00163F00010595</t>
  </si>
  <si>
    <t>京（2017）海不动产权第0056412号</t>
    <phoneticPr fontId="256" type="noConversion"/>
  </si>
  <si>
    <t>海淀区西四环北路160号6层二区636</t>
  </si>
  <si>
    <t>110108005001GB00163F00010596</t>
  </si>
  <si>
    <t>京（2017）海不动产权第0056353号</t>
    <phoneticPr fontId="256" type="noConversion"/>
  </si>
  <si>
    <t>海淀区西四环北路160号6层二区637</t>
  </si>
  <si>
    <t>110108005001GB00163F00010597</t>
  </si>
  <si>
    <t>京（2017）海不动产权第0056411号</t>
    <phoneticPr fontId="256" type="noConversion"/>
  </si>
  <si>
    <t>海淀区西四环北路160号6层二区638</t>
  </si>
  <si>
    <t>110108005001GB00163F00010598</t>
  </si>
  <si>
    <t>京（2017）海不动产权第0056388号</t>
    <phoneticPr fontId="256" type="noConversion"/>
  </si>
  <si>
    <t>海淀区西四环北路160号7层二区727</t>
    <phoneticPr fontId="256" type="noConversion"/>
  </si>
  <si>
    <t>110108005001GB00163F00010656</t>
    <phoneticPr fontId="256" type="noConversion"/>
  </si>
  <si>
    <t>京（2017）海不动产权第0056126号</t>
    <phoneticPr fontId="256" type="noConversion"/>
  </si>
  <si>
    <t>海淀区西四环北路160号7层二区728</t>
  </si>
  <si>
    <t>110108005001GB00163F00010657</t>
  </si>
  <si>
    <t>京（2017）海不动产权第0056131号</t>
    <phoneticPr fontId="256" type="noConversion"/>
  </si>
  <si>
    <t>海淀区西四环北路160号7层二区729</t>
  </si>
  <si>
    <t>110108005001GB00163F00010658</t>
  </si>
  <si>
    <t>京（2017）海不动产权第0056122号</t>
    <phoneticPr fontId="256" type="noConversion"/>
  </si>
  <si>
    <t>海淀区西四环北路160号7层二区730</t>
  </si>
  <si>
    <t>110108005001GB00163F00010659</t>
  </si>
  <si>
    <t>京（2017）海不动产权第0056130号</t>
    <phoneticPr fontId="256" type="noConversion"/>
  </si>
  <si>
    <t>海淀区西四环北路160号7层二区731</t>
  </si>
  <si>
    <t>110108005001GB00163F00010660</t>
  </si>
  <si>
    <t>京（2017）海不动产权第0056129号</t>
    <phoneticPr fontId="256" type="noConversion"/>
  </si>
  <si>
    <t>海淀区西四环北路160号7层二区732</t>
  </si>
  <si>
    <t>110108005001GB00163F00010661</t>
  </si>
  <si>
    <t>京（2017）海不动产权第0056372号</t>
    <phoneticPr fontId="256" type="noConversion"/>
  </si>
  <si>
    <t>海淀区西四环北路160号7层二区733</t>
  </si>
  <si>
    <t>110108005001GB00163F00010662</t>
  </si>
  <si>
    <t>京（2017）海不动产权第0056347号</t>
    <phoneticPr fontId="256" type="noConversion"/>
  </si>
  <si>
    <t>海淀区西四环北路160号7层二区735</t>
    <phoneticPr fontId="256" type="noConversion"/>
  </si>
  <si>
    <t>110108005001GB00163F00010663</t>
  </si>
  <si>
    <t>京（2017）海不动产权第0056378号</t>
    <phoneticPr fontId="256" type="noConversion"/>
  </si>
  <si>
    <t>海淀区西四环北路160号7层二区736</t>
  </si>
  <si>
    <t>110108005001GB00163F00010664</t>
  </si>
  <si>
    <t>京（2017）海不动产权第0056374号</t>
    <phoneticPr fontId="256" type="noConversion"/>
  </si>
  <si>
    <t>海淀区西四环北路160号7层二区737</t>
  </si>
  <si>
    <t>110108005001GB00163F00010665</t>
  </si>
  <si>
    <t>京（2017）海不动产权第0056128号</t>
    <phoneticPr fontId="256" type="noConversion"/>
  </si>
  <si>
    <t>海淀区西四环北路160号7层二区738</t>
  </si>
  <si>
    <t>110108005001GB00163F00010666</t>
  </si>
  <si>
    <t>京（2017）海不动产权第0058308号</t>
    <phoneticPr fontId="256" type="noConversion"/>
  </si>
  <si>
    <t>海淀区西四环北路160号8层二区827</t>
    <phoneticPr fontId="256" type="noConversion"/>
  </si>
  <si>
    <t>110108005001GB00163F00010724</t>
    <phoneticPr fontId="256" type="noConversion"/>
  </si>
  <si>
    <t>京（2017）海不动产权第0056127号</t>
    <phoneticPr fontId="256" type="noConversion"/>
  </si>
  <si>
    <t>海淀区西四环北路160号8层二区828</t>
  </si>
  <si>
    <t>110108005001GB00163F00010725</t>
  </si>
  <si>
    <t>京（2017）海不动产权第0056121号</t>
    <phoneticPr fontId="256" type="noConversion"/>
  </si>
  <si>
    <t>海淀区西四环北路160号8层二区829</t>
  </si>
  <si>
    <t>110108005001GB00163F00010726</t>
  </si>
  <si>
    <t>京（2017）海不动产权第0056120号</t>
    <phoneticPr fontId="256" type="noConversion"/>
  </si>
  <si>
    <t>海淀区西四环北路160号8层二区830</t>
  </si>
  <si>
    <t>110108005001GB00163F00010727</t>
  </si>
  <si>
    <t>京（2017）海不动产权第0056371号</t>
    <phoneticPr fontId="256" type="noConversion"/>
  </si>
  <si>
    <t>海淀区西四环北路160号8层二区831</t>
  </si>
  <si>
    <t>110108005001GB00163F00010728</t>
  </si>
  <si>
    <t>京（2017）海不动产权第0056182号</t>
    <phoneticPr fontId="256" type="noConversion"/>
  </si>
  <si>
    <t>海淀区西四环北路160号8层二区832</t>
  </si>
  <si>
    <t>110108005001GB00163F00010729</t>
  </si>
  <si>
    <t>京（2017）海不动产权第0056175号</t>
    <phoneticPr fontId="256" type="noConversion"/>
  </si>
  <si>
    <t>海淀区西四环北路160号8层二区833</t>
  </si>
  <si>
    <t>110108005001GB00163F00010730</t>
  </si>
  <si>
    <t>京（2017）海不动产权第0056428号</t>
    <phoneticPr fontId="256" type="noConversion"/>
  </si>
  <si>
    <t>海淀区西四环北路160号8层二区835</t>
    <phoneticPr fontId="256" type="noConversion"/>
  </si>
  <si>
    <t>110108005001GB00163F00010731</t>
  </si>
  <si>
    <t>京（2017）海不动产权第0056421号</t>
    <phoneticPr fontId="256" type="noConversion"/>
  </si>
  <si>
    <t>海淀区西四环北路160号8层二区836</t>
  </si>
  <si>
    <t>110108005001GB00163F00010732</t>
  </si>
  <si>
    <t>京（2017）海不动产权第0056437号</t>
    <phoneticPr fontId="256" type="noConversion"/>
  </si>
  <si>
    <t>海淀区西四环北路160号8层二区837</t>
  </si>
  <si>
    <t>110108005001GB00163F00010733</t>
  </si>
  <si>
    <t>京（2017）海不动产权第0056174号</t>
    <phoneticPr fontId="256" type="noConversion"/>
  </si>
  <si>
    <t>海淀区西四环北路160号8层二区838</t>
  </si>
  <si>
    <t>110108005001GB00163F00010734</t>
  </si>
  <si>
    <t>京（2017）海不动产权第0056367号</t>
    <phoneticPr fontId="256" type="noConversion"/>
  </si>
  <si>
    <t>海淀区西四环北路160号9层二区927</t>
    <phoneticPr fontId="256" type="noConversion"/>
  </si>
  <si>
    <t>110108005001GB00163F00010792</t>
    <phoneticPr fontId="256" type="noConversion"/>
  </si>
  <si>
    <t>京（2017）海不动产权第0056386号</t>
    <phoneticPr fontId="256" type="noConversion"/>
  </si>
  <si>
    <t>海淀区西四环北路160号9层二区928</t>
  </si>
  <si>
    <t>110108005001GB00163F00010793</t>
  </si>
  <si>
    <t>京（2017）海不动产权第0056434号</t>
    <phoneticPr fontId="256" type="noConversion"/>
  </si>
  <si>
    <t>海淀区西四环北路160号9层二区929</t>
  </si>
  <si>
    <t>110108005001GB00163F00010794</t>
  </si>
  <si>
    <t>京（2017）海不动产权第0056193号</t>
    <phoneticPr fontId="256" type="noConversion"/>
  </si>
  <si>
    <t>海淀区西四环北路160号9层二区930</t>
  </si>
  <si>
    <t>110108005001GB00163F00010795</t>
  </si>
  <si>
    <t>京（2017）海不动产权第0056379号</t>
    <phoneticPr fontId="256" type="noConversion"/>
  </si>
  <si>
    <t>海淀区西四环北路160号9层二区931</t>
  </si>
  <si>
    <t>110108005001GB00163F00010796</t>
  </si>
  <si>
    <t>京（2017）海不动产权第0056383号</t>
    <phoneticPr fontId="256" type="noConversion"/>
  </si>
  <si>
    <t>海淀区西四环北路160号9层二区932</t>
  </si>
  <si>
    <t>110108005001GB00163F00010797</t>
  </si>
  <si>
    <t>京（2017）海不动产权第0056359号</t>
    <phoneticPr fontId="256" type="noConversion"/>
  </si>
  <si>
    <t>海淀区西四环北路160号9层二区933</t>
  </si>
  <si>
    <t>110108005001GB00163F00010798</t>
  </si>
  <si>
    <t>京（2017）海不动产权第0056192号</t>
    <phoneticPr fontId="256" type="noConversion"/>
  </si>
  <si>
    <t>海淀区西四环北路160号9层二区935</t>
    <phoneticPr fontId="256" type="noConversion"/>
  </si>
  <si>
    <t>110108005001GB00163F00010799</t>
  </si>
  <si>
    <t>京（2017）海不动产权第0056431号</t>
    <phoneticPr fontId="256" type="noConversion"/>
  </si>
  <si>
    <t>海淀区西四环北路160号9层二区936</t>
  </si>
  <si>
    <t>110108005001GB00163F00010800</t>
  </si>
  <si>
    <t>京（2017）海不动产权第0056390号</t>
    <phoneticPr fontId="256" type="noConversion"/>
  </si>
  <si>
    <t>海淀区西四环北路160号9层二区937</t>
  </si>
  <si>
    <t>110108005001GB00163F00010801</t>
  </si>
  <si>
    <t>京（2017）海不动产权第0056396号</t>
    <phoneticPr fontId="256" type="noConversion"/>
  </si>
  <si>
    <t>海淀区西四环北路160号9层二区938</t>
  </si>
  <si>
    <t>110108005001GB00163F00010802</t>
  </si>
  <si>
    <t>京（2017）海不动产权第0056399号</t>
    <phoneticPr fontId="256" type="noConversion"/>
  </si>
  <si>
    <t>海淀区西四环北路160号10层二区1007</t>
    <phoneticPr fontId="256" type="noConversion"/>
  </si>
  <si>
    <t>110108005001GB00163F00010844</t>
    <phoneticPr fontId="256" type="noConversion"/>
  </si>
  <si>
    <t>京（2017）海不动产权第0056402号</t>
    <phoneticPr fontId="256" type="noConversion"/>
  </si>
  <si>
    <t>海淀区西四环北路160号10层二区1008</t>
  </si>
  <si>
    <t>110108005001GB00163F00010845</t>
  </si>
  <si>
    <t>京（2017）海不动产权第0056404号</t>
    <phoneticPr fontId="256" type="noConversion"/>
  </si>
  <si>
    <t>海淀区西四环北路160号10层二区1009</t>
  </si>
  <si>
    <t>110108005001GB00163F00010846</t>
  </si>
  <si>
    <t>京（2017）海不动产权第0056408号</t>
    <phoneticPr fontId="256" type="noConversion"/>
  </si>
  <si>
    <t>海淀区西四环北路160号10层二区1010</t>
  </si>
  <si>
    <t>110108005001GB00163F00010847</t>
  </si>
  <si>
    <t>京（2017）海不动产权第0056430号</t>
    <phoneticPr fontId="256" type="noConversion"/>
  </si>
  <si>
    <t>海淀区西四环北路160号10层二区1011</t>
  </si>
  <si>
    <t>110108005001GB00163F00010848</t>
  </si>
  <si>
    <t>京（2017）海不动产权第0056392号</t>
    <phoneticPr fontId="256" type="noConversion"/>
  </si>
  <si>
    <t>海淀区西四环北路160号10层二区1012</t>
  </si>
  <si>
    <t>110108005001GB00163F00010849</t>
  </si>
  <si>
    <t>京（2017）海不动产权第0057291号</t>
    <phoneticPr fontId="256" type="noConversion"/>
  </si>
  <si>
    <t>海淀区西四环北路160号10层二区1015</t>
    <phoneticPr fontId="256" type="noConversion"/>
  </si>
  <si>
    <t>110108005001GB00163F00010850</t>
  </si>
  <si>
    <t>京（2017）海不动产权第0056381号</t>
    <phoneticPr fontId="256" type="noConversion"/>
  </si>
  <si>
    <t>海淀区西四环北路160号10层二区1016</t>
  </si>
  <si>
    <t>110108005001GB00163F00010851</t>
  </si>
  <si>
    <t>京（2017）海不动产权第0056321号</t>
    <phoneticPr fontId="256" type="noConversion"/>
  </si>
  <si>
    <t>海淀区西四环北路160号10层二区1017</t>
  </si>
  <si>
    <t>110108005001GB00163F00010852</t>
  </si>
  <si>
    <t>京（2017）海不动产权第0056355号</t>
    <phoneticPr fontId="256" type="noConversion"/>
  </si>
  <si>
    <t>海淀区西四环北路160号10层二区1018</t>
  </si>
  <si>
    <t>110108005001GB00163F00010853</t>
  </si>
  <si>
    <t>京（2017）海不动产权第0057629号</t>
    <phoneticPr fontId="256" type="noConversion"/>
  </si>
  <si>
    <t>海淀区西四环北路160号10层二区1019</t>
  </si>
  <si>
    <t>110108005001GB00163F00010854</t>
  </si>
  <si>
    <t>京（2017）海不动产权第0056393号</t>
    <phoneticPr fontId="256" type="noConversion"/>
  </si>
  <si>
    <t>海淀区西四环北路160号11层二区1107</t>
    <phoneticPr fontId="256" type="noConversion"/>
  </si>
  <si>
    <t>110108005001GB00163F00010894</t>
  </si>
  <si>
    <t>京（2017）海不动产权第0056385号</t>
    <phoneticPr fontId="256" type="noConversion"/>
  </si>
  <si>
    <t>海淀区西四环北路160号11层二区1108</t>
  </si>
  <si>
    <t>110108005001GB00163F00010895</t>
  </si>
  <si>
    <t>京（2017）海不动产权第0057300号</t>
    <phoneticPr fontId="256" type="noConversion"/>
  </si>
  <si>
    <t>海淀区西四环北路160号11层二区1109</t>
  </si>
  <si>
    <t>110108005001GB00163F00010896</t>
  </si>
  <si>
    <t>京（2017）海不动产权第0057297号</t>
    <phoneticPr fontId="256" type="noConversion"/>
  </si>
  <si>
    <t>海淀区西四环北路160号11层二区1110</t>
    <phoneticPr fontId="256" type="noConversion"/>
  </si>
  <si>
    <t>110108005001GB00163F00010897</t>
    <phoneticPr fontId="256" type="noConversion"/>
  </si>
  <si>
    <t>京（2017）海不动产权第0057287号</t>
    <phoneticPr fontId="256" type="noConversion"/>
  </si>
  <si>
    <t>海淀区西四环北路160号11层二区1111</t>
  </si>
  <si>
    <t>110108005001GB00163F00010898</t>
  </si>
  <si>
    <t>京（2017）海不动产权第0057292号</t>
    <phoneticPr fontId="256" type="noConversion"/>
  </si>
  <si>
    <t>海淀区西四环北路160号11层二区1112</t>
  </si>
  <si>
    <t>110108005001GB00163F00010899</t>
  </si>
  <si>
    <t>京（2017）海不动产权第0057289号</t>
    <phoneticPr fontId="256" type="noConversion"/>
  </si>
  <si>
    <t>海淀区西四环北路160号11层二区1115</t>
    <phoneticPr fontId="256" type="noConversion"/>
  </si>
  <si>
    <t>110108005001GB00163F00010900</t>
  </si>
  <si>
    <t>京（2017）海不动产权第0057298号</t>
    <phoneticPr fontId="256" type="noConversion"/>
  </si>
  <si>
    <t>海淀区西四环北路160号11层二区1116</t>
  </si>
  <si>
    <t>110108005001GB00163F00010901</t>
  </si>
  <si>
    <t>京（2017）海不动产权第0057299号</t>
    <phoneticPr fontId="256" type="noConversion"/>
  </si>
  <si>
    <t>海淀区西四环北路160号11层二区1117</t>
  </si>
  <si>
    <t>110108005001GB00163F00010902</t>
  </si>
  <si>
    <t>京（2017）海不动产权第0057290号</t>
    <phoneticPr fontId="256" type="noConversion"/>
  </si>
  <si>
    <t>海淀区西四环北路160号11层二区1118</t>
  </si>
  <si>
    <t>110108005001GB00163F00010903</t>
  </si>
  <si>
    <t>京（2017）海不动产权第0056365号</t>
    <phoneticPr fontId="256" type="noConversion"/>
  </si>
  <si>
    <t>海淀区西四环北路160号11层二区1119</t>
  </si>
  <si>
    <t>110108005001GB00163F00010904</t>
  </si>
  <si>
    <t>小计</t>
    <phoneticPr fontId="256" type="noConversion"/>
  </si>
  <si>
    <t>京（2017）海不动产权第0056348号</t>
    <phoneticPr fontId="256" type="noConversion"/>
  </si>
  <si>
    <t>海淀区西四环北路160号-1层-1103</t>
    <phoneticPr fontId="256" type="noConversion"/>
  </si>
  <si>
    <t>110108005001GB00163F00010181</t>
    <phoneticPr fontId="256" type="noConversion"/>
  </si>
  <si>
    <t>车位</t>
    <phoneticPr fontId="256" type="noConversion"/>
  </si>
  <si>
    <t>京（2017）海不动产权第0056400号</t>
    <phoneticPr fontId="256" type="noConversion"/>
  </si>
  <si>
    <t>海淀区西四环北路160号-1层-1105</t>
    <phoneticPr fontId="256" type="noConversion"/>
  </si>
  <si>
    <t>110108005001GB00163F00010182</t>
  </si>
  <si>
    <t>京（2017）海不动产权第0056361号</t>
    <phoneticPr fontId="256" type="noConversion"/>
  </si>
  <si>
    <t>海淀区西四环北路160号-1层-1106</t>
  </si>
  <si>
    <t>110108005001GB00163F00010183</t>
  </si>
  <si>
    <t>车位</t>
    <phoneticPr fontId="256" type="noConversion"/>
  </si>
  <si>
    <t>钢筋混凝土</t>
    <phoneticPr fontId="256" type="noConversion"/>
  </si>
  <si>
    <t>京（2017）海不动产权第0056397号</t>
    <phoneticPr fontId="256" type="noConversion"/>
  </si>
  <si>
    <t>北京碧生源物业管理有限公司</t>
    <phoneticPr fontId="256" type="noConversion"/>
  </si>
  <si>
    <t>海淀区西四环北路160号-1层-1107</t>
  </si>
  <si>
    <t>110108005001GB00163F00010184</t>
  </si>
  <si>
    <t>京（2017）海不动产权第0056387号</t>
    <phoneticPr fontId="256" type="noConversion"/>
  </si>
  <si>
    <t>海淀区西四环北路160号-1层-1108</t>
  </si>
  <si>
    <t>110108005001GB00163F00010185</t>
  </si>
  <si>
    <t>京（2017）海不动产权第0056389号</t>
    <phoneticPr fontId="256" type="noConversion"/>
  </si>
  <si>
    <t>海淀区西四环北路160号-1层-1109</t>
  </si>
  <si>
    <t>110108005001GB00163F00010186</t>
  </si>
  <si>
    <t>京（2017）海不动产权第0056415号</t>
    <phoneticPr fontId="256" type="noConversion"/>
  </si>
  <si>
    <t>海淀区西四环北路160号-1层-1198</t>
    <phoneticPr fontId="256" type="noConversion"/>
  </si>
  <si>
    <t>110108005001GB00163F00010272</t>
    <phoneticPr fontId="256" type="noConversion"/>
  </si>
  <si>
    <t>京（2017）海不动产权第0058317号</t>
    <phoneticPr fontId="256" type="noConversion"/>
  </si>
  <si>
    <t>海淀区西四环北路160号-1层-1199</t>
  </si>
  <si>
    <t>110108005001GB00163F00010273</t>
  </si>
  <si>
    <t>京（2017）海不动产权第0056377号</t>
    <phoneticPr fontId="256" type="noConversion"/>
  </si>
  <si>
    <t>海淀区西四环北路160号-1层-1200</t>
  </si>
  <si>
    <t>110108005001GB00163F00010275</t>
    <phoneticPr fontId="256" type="noConversion"/>
  </si>
  <si>
    <t>京（2017）海不动产权第0056442号</t>
    <phoneticPr fontId="256" type="noConversion"/>
  </si>
  <si>
    <t>海淀区西四环北路160号-1层-1201</t>
  </si>
  <si>
    <t>110108005001GB00163F00010276</t>
  </si>
  <si>
    <t>京（2017）海不动产权第0056384号</t>
    <phoneticPr fontId="256" type="noConversion"/>
  </si>
  <si>
    <t>海淀区西四环北路160号-1层-1202</t>
  </si>
  <si>
    <t>110108005001GB00163F00010277</t>
  </si>
  <si>
    <t>车位</t>
    <phoneticPr fontId="256" type="noConversion"/>
  </si>
  <si>
    <t>京（2017）海不动产权第0057639号</t>
    <phoneticPr fontId="256" type="noConversion"/>
  </si>
  <si>
    <t>海淀区西四环北路160号-1层-1203</t>
  </si>
  <si>
    <t>110108005001GB00163F00010278</t>
  </si>
  <si>
    <t>京（2017）海不动产权第0057635号</t>
    <phoneticPr fontId="256" type="noConversion"/>
  </si>
  <si>
    <t>海淀区西四环北路160号-1层-1205</t>
  </si>
  <si>
    <t>110108005001GB00163F00010279</t>
  </si>
  <si>
    <t>京（2017）海不动产权第0057646号</t>
    <phoneticPr fontId="256" type="noConversion"/>
  </si>
  <si>
    <t>海淀区西四环北路160号-1层-1206</t>
  </si>
  <si>
    <t>110108005001GB00163F00010280</t>
  </si>
  <si>
    <t>京（2017）海不动产权第0057643号</t>
    <phoneticPr fontId="256" type="noConversion"/>
  </si>
  <si>
    <t>海淀区西四环北路160号-1层-1207</t>
    <phoneticPr fontId="256" type="noConversion"/>
  </si>
  <si>
    <t>110108005001GB00163F00010281</t>
    <phoneticPr fontId="256" type="noConversion"/>
  </si>
  <si>
    <t>京（2017）海不动产权第0057644号</t>
    <phoneticPr fontId="256" type="noConversion"/>
  </si>
  <si>
    <t>海淀区西四环北路160号-1层-1208</t>
  </si>
  <si>
    <t>110108005001GB00163F00010282</t>
  </si>
  <si>
    <t>京（2017）海不动产权第0056425号</t>
    <phoneticPr fontId="256" type="noConversion"/>
  </si>
  <si>
    <t>海淀区西四环北路160号-1层-1209</t>
  </si>
  <si>
    <t>110108005001GB00163F00010283</t>
  </si>
  <si>
    <t>京（2017）海不动产权第0056426号</t>
    <phoneticPr fontId="256" type="noConversion"/>
  </si>
  <si>
    <t>海淀区西四环北路160号-1层-1210</t>
  </si>
  <si>
    <t>110108005001GB00163F00010285</t>
    <phoneticPr fontId="256" type="noConversion"/>
  </si>
  <si>
    <t>京（2017）海不动产权第0056424号</t>
    <phoneticPr fontId="256" type="noConversion"/>
  </si>
  <si>
    <t>海淀区西四环北路160号-1层-1211</t>
  </si>
  <si>
    <t>110108005001GB00163F00010286</t>
  </si>
  <si>
    <t>京（2017）海不动产权第0056422号</t>
    <phoneticPr fontId="256" type="noConversion"/>
  </si>
  <si>
    <t>海淀区西四环北路160号-1层-1212</t>
  </si>
  <si>
    <t>110108005001GB00163F00010287</t>
  </si>
  <si>
    <t>京（2017）海不动产权第0056440号</t>
    <phoneticPr fontId="256" type="noConversion"/>
  </si>
  <si>
    <t>海淀区西四环北路160号-1层-1215</t>
    <phoneticPr fontId="256" type="noConversion"/>
  </si>
  <si>
    <t>110108005001GB00163F00010288</t>
  </si>
  <si>
    <t>京（2017）海不动产权第0057301号</t>
    <phoneticPr fontId="256" type="noConversion"/>
  </si>
  <si>
    <t>海淀区西四环北路160号-1层-1216</t>
  </si>
  <si>
    <t>110108005001GB00163F00010289</t>
  </si>
  <si>
    <t>京（2017）海不动产权第0057295号</t>
    <phoneticPr fontId="256" type="noConversion"/>
  </si>
  <si>
    <t>海淀区西四环北路160号-1层-1217</t>
  </si>
  <si>
    <t>110108005001GB00163F00010290</t>
  </si>
  <si>
    <t>合计</t>
    <phoneticPr fontId="256" type="noConversion"/>
  </si>
  <si>
    <t>地上</t>
  </si>
  <si>
    <t>是</t>
  </si>
  <si>
    <t>地下</t>
  </si>
  <si>
    <t>车库—办公</t>
  </si>
  <si>
    <t>商业</t>
    <phoneticPr fontId="8" type="noConversion"/>
  </si>
  <si>
    <t>办公</t>
    <phoneticPr fontId="8" type="noConversion"/>
  </si>
  <si>
    <t>地下车库</t>
    <phoneticPr fontId="8" type="noConversion"/>
  </si>
  <si>
    <t>车库</t>
  </si>
  <si>
    <t>关于资产支持专项计划
基础资产池未来现金流预测表
（除特别注明外，金额单位为人民币元）</t>
    <phoneticPr fontId="144" type="noConversion"/>
  </si>
  <si>
    <t>现金流预测</t>
    <phoneticPr fontId="144" type="noConversion"/>
  </si>
  <si>
    <t>2017年度</t>
    <phoneticPr fontId="144"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</si>
  <si>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</si>
  <si>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</si>
  <si>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</si>
  <si>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</si>
  <si>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</si>
  <si>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</si>
  <si>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</si>
  <si>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</si>
  <si>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</si>
  <si>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</si>
  <si>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</si>
  <si>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</si>
  <si>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</si>
  <si>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</si>
  <si>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</si>
  <si>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4" type="noConversion"/>
  </si>
  <si>
    <t>项目说明</t>
    <phoneticPr fontId="144" type="noConversion"/>
  </si>
  <si>
    <t>预测数</t>
    <phoneticPr fontId="144" type="noConversion"/>
  </si>
  <si>
    <t>人民币元</t>
    <phoneticPr fontId="144" type="noConversion"/>
  </si>
  <si>
    <t>一、基础资产现金流入</t>
    <phoneticPr fontId="144"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</si>
  <si>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7" type="noConversion"/>
  </si>
  <si>
    <t>办公-低区</t>
  </si>
  <si>
    <t>F3</t>
  </si>
  <si>
    <t>F4</t>
  </si>
  <si>
    <t>F5</t>
  </si>
  <si>
    <t>办公-中区</t>
    <phoneticPr fontId="144" type="noConversion"/>
  </si>
  <si>
    <t>F6</t>
  </si>
  <si>
    <t>F7</t>
  </si>
  <si>
    <t>F8</t>
  </si>
  <si>
    <t>办公-高区</t>
    <phoneticPr fontId="144"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</si>
  <si>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</si>
  <si>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</si>
  <si>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</si>
  <si>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7" type="noConversion"/>
  </si>
  <si>
    <t>物业管理费收入</t>
    <phoneticPr fontId="57" type="noConversion"/>
  </si>
  <si>
    <r>
      <rPr>
        <sz val="9"/>
        <color theme="1"/>
        <rFont val="微软雅黑"/>
        <family val="2"/>
        <charset val="134"/>
      </rPr>
      <t>商业</t>
    </r>
    <phoneticPr fontId="4" type="noConversion"/>
  </si>
  <si>
    <r>
      <rPr>
        <sz val="9"/>
        <color theme="1"/>
        <rFont val="微软雅黑"/>
        <family val="2"/>
        <charset val="134"/>
      </rPr>
      <t>写字楼</t>
    </r>
    <phoneticPr fontId="4" type="noConversion"/>
  </si>
  <si>
    <r>
      <rPr>
        <sz val="9"/>
        <color theme="1"/>
        <rFont val="微软雅黑"/>
        <family val="2"/>
        <charset val="134"/>
      </rPr>
      <t>车位</t>
    </r>
    <phoneticPr fontId="4"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</si>
  <si>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7" type="noConversion"/>
  </si>
  <si>
    <t>B4</t>
    <phoneticPr fontId="4" type="noConversion"/>
  </si>
  <si>
    <t>B3</t>
    <phoneticPr fontId="4" type="noConversion"/>
  </si>
  <si>
    <t>B2</t>
    <phoneticPr fontId="4" type="noConversion"/>
  </si>
  <si>
    <t>B1</t>
    <phoneticPr fontId="4" type="noConversion"/>
  </si>
  <si>
    <t>F1</t>
    <phoneticPr fontId="4" type="noConversion"/>
  </si>
  <si>
    <t>F2</t>
    <phoneticPr fontId="4" type="noConversion"/>
  </si>
  <si>
    <t>F3</t>
    <phoneticPr fontId="4" type="noConversion"/>
  </si>
  <si>
    <t>F4</t>
    <phoneticPr fontId="4" type="noConversion"/>
  </si>
  <si>
    <t>F5</t>
    <phoneticPr fontId="4" type="noConversion"/>
  </si>
  <si>
    <t>F6</t>
    <phoneticPr fontId="4" type="noConversion"/>
  </si>
  <si>
    <t>F7</t>
    <phoneticPr fontId="4" type="noConversion"/>
  </si>
  <si>
    <t>F8</t>
    <phoneticPr fontId="4" type="noConversion"/>
  </si>
  <si>
    <t>拟定出租率</t>
    <phoneticPr fontId="144" type="noConversion"/>
  </si>
  <si>
    <r>
      <rPr>
        <sz val="9"/>
        <color theme="0"/>
        <rFont val="微软雅黑"/>
        <family val="2"/>
        <charset val="134"/>
      </rPr>
      <t>其他收入收入</t>
    </r>
    <phoneticPr fontId="57" type="noConversion"/>
  </si>
  <si>
    <t>其他收入收入</t>
    <phoneticPr fontId="57" type="noConversion"/>
  </si>
  <si>
    <r>
      <t xml:space="preserve">      </t>
    </r>
    <r>
      <rPr>
        <b/>
        <sz val="9"/>
        <color theme="0"/>
        <rFont val="宋体"/>
        <family val="3"/>
        <charset val="134"/>
      </rPr>
      <t>减：基础资产现金流出</t>
    </r>
    <phoneticPr fontId="144" type="noConversion"/>
  </si>
  <si>
    <t xml:space="preserve">            税费</t>
  </si>
  <si>
    <t>增值税</t>
    <phoneticPr fontId="57" type="noConversion"/>
  </si>
  <si>
    <t>及附加</t>
    <phoneticPr fontId="57" type="noConversion"/>
  </si>
  <si>
    <t>增值税*12%</t>
  </si>
  <si>
    <t>印花税</t>
    <phoneticPr fontId="144" type="noConversion"/>
  </si>
  <si>
    <r>
      <t xml:space="preserve">            </t>
    </r>
    <r>
      <rPr>
        <b/>
        <sz val="9"/>
        <color theme="0"/>
        <rFont val="微软雅黑"/>
        <family val="2"/>
        <charset val="134"/>
      </rPr>
      <t>运营支出</t>
    </r>
    <phoneticPr fontId="144" type="noConversion"/>
  </si>
  <si>
    <r>
      <rPr>
        <sz val="9"/>
        <color theme="1"/>
        <rFont val="微软雅黑"/>
        <family val="2"/>
        <charset val="134"/>
      </rPr>
      <t>行政管理费用</t>
    </r>
    <phoneticPr fontId="4" type="noConversion"/>
  </si>
  <si>
    <r>
      <rPr>
        <sz val="9"/>
        <color theme="1"/>
        <rFont val="微软雅黑"/>
        <family val="2"/>
        <charset val="134"/>
      </rPr>
      <t>市场费用</t>
    </r>
    <phoneticPr fontId="4" type="noConversion"/>
  </si>
  <si>
    <r>
      <rPr>
        <sz val="9"/>
        <color theme="1"/>
        <rFont val="微软雅黑"/>
        <family val="2"/>
        <charset val="134"/>
      </rPr>
      <t>能源费用</t>
    </r>
    <phoneticPr fontId="4" type="noConversion"/>
  </si>
  <si>
    <r>
      <rPr>
        <sz val="9"/>
        <color theme="1"/>
        <rFont val="微软雅黑"/>
        <family val="2"/>
        <charset val="134"/>
      </rPr>
      <t>维护费用</t>
    </r>
    <phoneticPr fontId="4" type="noConversion"/>
  </si>
  <si>
    <r>
      <rPr>
        <sz val="9"/>
        <color theme="1"/>
        <rFont val="微软雅黑"/>
        <family val="2"/>
        <charset val="134"/>
      </rPr>
      <t>佣金</t>
    </r>
    <phoneticPr fontId="4" type="noConversion"/>
  </si>
  <si>
    <r>
      <t xml:space="preserve">            </t>
    </r>
    <r>
      <rPr>
        <b/>
        <sz val="9"/>
        <color theme="0"/>
        <rFont val="微软雅黑"/>
        <family val="2"/>
        <charset val="134"/>
      </rPr>
      <t>其他支出</t>
    </r>
    <phoneticPr fontId="144" type="noConversion"/>
  </si>
  <si>
    <t>固定资产维修提存费</t>
    <phoneticPr fontId="4" type="noConversion"/>
  </si>
  <si>
    <t>维保费</t>
  </si>
  <si>
    <r>
      <rPr>
        <sz val="9"/>
        <color theme="1"/>
        <rFont val="微软雅黑"/>
        <family val="2"/>
        <charset val="134"/>
      </rPr>
      <t>保险费</t>
    </r>
    <phoneticPr fontId="4" type="noConversion"/>
  </si>
  <si>
    <t>投保单</t>
  </si>
  <si>
    <r>
      <rPr>
        <sz val="9"/>
        <color theme="1"/>
        <rFont val="微软雅黑"/>
        <family val="2"/>
        <charset val="134"/>
      </rPr>
      <t>房产税</t>
    </r>
    <phoneticPr fontId="4" type="noConversion"/>
  </si>
  <si>
    <r>
      <rPr>
        <sz val="9"/>
        <color theme="1"/>
        <rFont val="微软雅黑"/>
        <family val="2"/>
        <charset val="134"/>
      </rPr>
      <t>土地税</t>
    </r>
    <phoneticPr fontId="4" type="noConversion"/>
  </si>
  <si>
    <t>二、基础资产经营性净现金流</t>
    <phoneticPr fontId="144" type="noConversion"/>
  </si>
  <si>
    <t>折现率</t>
    <phoneticPr fontId="256" type="noConversion"/>
  </si>
  <si>
    <t>折现年度</t>
    <phoneticPr fontId="256" type="noConversion"/>
  </si>
  <si>
    <t>序号</t>
    <phoneticPr fontId="144" type="noConversion"/>
  </si>
  <si>
    <t>楼层</t>
    <phoneticPr fontId="144" type="noConversion"/>
  </si>
  <si>
    <t>面积/平方米</t>
    <phoneticPr fontId="144" type="noConversion"/>
  </si>
  <si>
    <t>租户</t>
    <phoneticPr fontId="144" type="noConversion"/>
  </si>
  <si>
    <t>租赁期</t>
    <phoneticPr fontId="144" type="noConversion"/>
  </si>
  <si>
    <t>租金</t>
    <phoneticPr fontId="144" type="noConversion"/>
  </si>
  <si>
    <t>备注</t>
    <phoneticPr fontId="144" type="noConversion"/>
  </si>
  <si>
    <t>起</t>
    <phoneticPr fontId="144" type="noConversion"/>
  </si>
  <si>
    <t>止</t>
    <phoneticPr fontId="144" type="noConversion"/>
  </si>
  <si>
    <t>南洋商业银行（中国）有限公司北京分行</t>
    <phoneticPr fontId="144" type="noConversion"/>
  </si>
  <si>
    <t>2013-7-1至2016-6-30租金为9</t>
    <phoneticPr fontId="144" type="noConversion"/>
  </si>
  <si>
    <t>北京澳特舒尔保健品开发有限公司</t>
    <phoneticPr fontId="144" type="noConversion"/>
  </si>
  <si>
    <t>每年涨幅不低于5%</t>
    <phoneticPr fontId="144" type="noConversion"/>
  </si>
  <si>
    <t>中建交通建设集团有限公司</t>
    <phoneticPr fontId="144" type="noConversion"/>
  </si>
  <si>
    <t>2012-12-1至2016-11-30二层租金为7、六至八层为4.5；不包含物业费等</t>
    <phoneticPr fontId="144" type="noConversion"/>
  </si>
  <si>
    <t>北京继教网教育科技发展有限公司</t>
    <phoneticPr fontId="144" type="noConversion"/>
  </si>
  <si>
    <t>初始租金4.5，每两年调整一次（4.8、5.2）；不包含物业费等</t>
    <phoneticPr fontId="144" type="noConversion"/>
  </si>
  <si>
    <t>北京澳特舒尔保健品开发有限公司</t>
    <phoneticPr fontId="144" type="noConversion"/>
  </si>
  <si>
    <t>每年涨幅不低于5%</t>
    <phoneticPr fontId="144" type="noConversion"/>
  </si>
  <si>
    <r>
      <t>2</t>
    </r>
    <r>
      <rPr>
        <sz val="11"/>
        <color theme="1"/>
        <rFont val="宋体"/>
        <family val="3"/>
        <charset val="134"/>
        <scheme val="minor"/>
      </rPr>
      <t>2个</t>
    </r>
    <phoneticPr fontId="144" type="noConversion"/>
  </si>
  <si>
    <t>租金无增长</t>
    <phoneticPr fontId="144" type="noConversion"/>
  </si>
  <si>
    <t>押一</t>
  </si>
  <si>
    <t>按租金收入计税</t>
  </si>
  <si>
    <t>钢混</t>
  </si>
  <si>
    <t>非生产用房</t>
  </si>
  <si>
    <t>成新度</t>
  </si>
  <si>
    <t>收益法（办公）</t>
  </si>
  <si>
    <r>
      <t>XX</t>
    </r>
    <r>
      <rPr>
        <sz val="11"/>
        <color theme="9" tint="-0.249977111117893"/>
        <rFont val="宋体"/>
        <family val="3"/>
        <charset val="134"/>
      </rPr>
      <t>商圈，周边商业氛围，人流量</t>
    </r>
    <phoneticPr fontId="4"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</si>
  <si>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4" type="noConversion"/>
  </si>
  <si>
    <t>周边道路状况、公共交通通达情况、停车便捷程度（快速路西四环北路 六号线海淀五路居站 五路桥公交站  61路 79路 121路 地上停车位）</t>
    <phoneticPr fontId="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</si>
  <si>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4" type="noConversion"/>
  </si>
  <si>
    <t>收益法（汇总）</t>
  </si>
  <si>
    <t>项目局部</t>
  </si>
  <si>
    <t>国际财经中心</t>
    <phoneticPr fontId="4" type="noConversion"/>
  </si>
  <si>
    <t>售价</t>
  </si>
  <si>
    <t>正常</t>
  </si>
  <si>
    <t>40-50（含）</t>
  </si>
  <si>
    <t>较好</t>
  </si>
  <si>
    <t>七通</t>
  </si>
  <si>
    <t>一般</t>
  </si>
  <si>
    <t>精装修</t>
  </si>
  <si>
    <t>平面车位</t>
  </si>
  <si>
    <t>车库</t>
    <phoneticPr fontId="33" type="noConversion"/>
  </si>
  <si>
    <t>机械车位</t>
    <phoneticPr fontId="4" type="noConversion"/>
  </si>
  <si>
    <t>平面车位</t>
    <phoneticPr fontId="4" type="noConversion"/>
  </si>
  <si>
    <t>精装修</t>
    <phoneticPr fontId="4" type="noConversion"/>
  </si>
  <si>
    <t>好</t>
  </si>
  <si>
    <t>元/车位</t>
  </si>
  <si>
    <r>
      <rPr>
        <b/>
        <sz val="16"/>
        <rFont val="宋体"/>
        <family val="3"/>
        <charset val="134"/>
      </rPr>
      <t>─</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</si>
  <si>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</si>
  <si>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建筑面积</t>
    </r>
    <phoneticPr fontId="4" type="noConversion"/>
  </si>
  <si>
    <t>国海大厦</t>
    <phoneticPr fontId="4" type="noConversion"/>
  </si>
  <si>
    <t>新洲商务大厦</t>
    <phoneticPr fontId="4" type="noConversion"/>
  </si>
  <si>
    <t>复兴路42号</t>
    <phoneticPr fontId="4" type="noConversion"/>
  </si>
  <si>
    <t>100/</t>
    <phoneticPr fontId="4" type="noConversion"/>
  </si>
  <si>
    <r>
      <rPr>
        <sz val="11"/>
        <color indexed="8"/>
        <rFont val="宋体"/>
        <family val="3"/>
        <charset val="134"/>
      </rPr>
      <t>正常</t>
    </r>
    <phoneticPr fontId="4" type="noConversion"/>
  </si>
  <si>
    <t>商业</t>
    <phoneticPr fontId="4" type="noConversion"/>
  </si>
  <si>
    <r>
      <rPr>
        <sz val="11"/>
        <color rgb="FFFF0000"/>
        <rFont val="宋体"/>
        <family val="3"/>
        <charset val="134"/>
      </rPr>
      <t>土地使用年限（年）</t>
    </r>
    <phoneticPr fontId="4" type="noConversion"/>
  </si>
  <si>
    <t>30-40（含）</t>
  </si>
  <si>
    <t>20-30（含）</t>
  </si>
  <si>
    <t>剩余年限</t>
    <phoneticPr fontId="4" type="noConversion"/>
  </si>
  <si>
    <r>
      <rPr>
        <sz val="11"/>
        <rFont val="宋体"/>
        <family val="3"/>
        <charset val="134"/>
      </rPr>
      <t>国海广场竣工时间</t>
    </r>
    <r>
      <rPr>
        <sz val="11"/>
        <rFont val="Arial"/>
        <family val="2"/>
      </rPr>
      <t>2008</t>
    </r>
    <r>
      <rPr>
        <sz val="11"/>
        <rFont val="宋体"/>
        <family val="3"/>
        <charset val="134"/>
      </rPr>
      <t>年</t>
    </r>
    <phoneticPr fontId="4" type="noConversion"/>
  </si>
  <si>
    <r>
      <t>24</t>
    </r>
    <r>
      <rPr>
        <sz val="11"/>
        <rFont val="宋体"/>
        <family val="3"/>
        <charset val="134"/>
      </rPr>
      <t>（新洲商务大厦竣工时间</t>
    </r>
    <r>
      <rPr>
        <sz val="11"/>
        <rFont val="Arial"/>
        <family val="2"/>
      </rPr>
      <t>2000</t>
    </r>
    <r>
      <rPr>
        <sz val="11"/>
        <rFont val="宋体"/>
        <family val="3"/>
        <charset val="134"/>
      </rPr>
      <t>年）</t>
    </r>
    <phoneticPr fontId="4" type="noConversion"/>
  </si>
  <si>
    <r>
      <rPr>
        <sz val="11"/>
        <color indexed="8"/>
        <rFont val="宋体"/>
        <family val="3"/>
        <charset val="134"/>
      </rPr>
      <t>商业繁华度</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</si>
  <si>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</si>
  <si>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</si>
  <si>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t>单面临街</t>
  </si>
  <si>
    <r>
      <rPr>
        <sz val="11"/>
        <color indexed="8"/>
        <rFont val="宋体"/>
        <family val="3"/>
        <charset val="134"/>
      </rPr>
      <t>平面位置</t>
    </r>
    <r>
      <rPr>
        <sz val="11"/>
        <color indexed="8"/>
        <rFont val="Arial"/>
        <family val="2"/>
      </rPr>
      <t>/</t>
    </r>
    <r>
      <rPr>
        <sz val="11"/>
        <color indexed="8"/>
        <rFont val="宋体"/>
        <family val="3"/>
        <charset val="134"/>
      </rPr>
      <t>可视性</t>
    </r>
    <phoneticPr fontId="4" type="noConversion"/>
  </si>
  <si>
    <t>一般</t>
    <phoneticPr fontId="4" type="noConversion"/>
  </si>
  <si>
    <t>较好</t>
    <phoneticPr fontId="4" type="noConversion"/>
  </si>
  <si>
    <r>
      <rPr>
        <sz val="11"/>
        <color indexed="8"/>
        <rFont val="宋体"/>
        <family val="3"/>
        <charset val="134"/>
      </rPr>
      <t>人流量</t>
    </r>
    <phoneticPr fontId="4" type="noConversion"/>
  </si>
  <si>
    <t>较多</t>
  </si>
  <si>
    <r>
      <rPr>
        <sz val="11"/>
        <color indexed="8"/>
        <rFont val="宋体"/>
        <family val="3"/>
        <charset val="134"/>
      </rPr>
      <t>楼层</t>
    </r>
    <phoneticPr fontId="4" type="noConversion"/>
  </si>
  <si>
    <t>1、2层</t>
  </si>
  <si>
    <t>写字楼配套商业</t>
  </si>
  <si>
    <t>独立商业</t>
  </si>
  <si>
    <r>
      <rPr>
        <sz val="11"/>
        <color rgb="FFFF0000"/>
        <rFont val="宋体"/>
        <family val="3"/>
        <charset val="134"/>
      </rPr>
      <t>成新度</t>
    </r>
    <phoneticPr fontId="4" type="noConversion"/>
  </si>
  <si>
    <t>六通</t>
  </si>
  <si>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</si>
  <si>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</si>
  <si>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rFont val="宋体"/>
        <family val="3"/>
        <charset val="134"/>
      </rPr>
      <t>单套建筑面积</t>
    </r>
    <phoneticPr fontId="4" type="noConversion"/>
  </si>
  <si>
    <t>简装</t>
  </si>
  <si>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</si>
  <si>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</si>
  <si>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</si>
  <si>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</si>
  <si>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t>60-70</t>
    </r>
    <r>
      <rPr>
        <sz val="11"/>
        <rFont val="宋体"/>
        <family val="3"/>
        <charset val="134"/>
      </rPr>
      <t>（含）</t>
    </r>
    <phoneticPr fontId="4" type="noConversion"/>
  </si>
  <si>
    <r>
      <t>50-60</t>
    </r>
    <r>
      <rPr>
        <sz val="11"/>
        <rFont val="宋体"/>
        <family val="3"/>
        <charset val="134"/>
      </rPr>
      <t>（含）</t>
    </r>
    <phoneticPr fontId="4" type="noConversion"/>
  </si>
  <si>
    <r>
      <t>40-50</t>
    </r>
    <r>
      <rPr>
        <sz val="11"/>
        <rFont val="宋体"/>
        <family val="3"/>
        <charset val="134"/>
      </rPr>
      <t>（含）</t>
    </r>
    <phoneticPr fontId="4" type="noConversion"/>
  </si>
  <si>
    <r>
      <t>30-40</t>
    </r>
    <r>
      <rPr>
        <sz val="11"/>
        <rFont val="宋体"/>
        <family val="3"/>
        <charset val="134"/>
      </rPr>
      <t>（含）</t>
    </r>
    <phoneticPr fontId="4" type="noConversion"/>
  </si>
  <si>
    <r>
      <t>20-30</t>
    </r>
    <r>
      <rPr>
        <sz val="11"/>
        <rFont val="宋体"/>
        <family val="3"/>
        <charset val="134"/>
      </rPr>
      <t>（含）</t>
    </r>
    <phoneticPr fontId="4" type="noConversion"/>
  </si>
  <si>
    <r>
      <t>10-20</t>
    </r>
    <r>
      <rPr>
        <sz val="11"/>
        <rFont val="宋体"/>
        <family val="3"/>
        <charset val="134"/>
      </rPr>
      <t>（含）</t>
    </r>
    <phoneticPr fontId="4" type="noConversion"/>
  </si>
  <si>
    <r>
      <t>0-10</t>
    </r>
    <r>
      <rPr>
        <sz val="11"/>
        <rFont val="宋体"/>
        <family val="3"/>
        <charset val="134"/>
      </rPr>
      <t>（含）</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</si>
  <si>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</si>
  <si>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</si>
  <si>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</si>
  <si>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</si>
  <si>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</si>
  <si>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</si>
  <si>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</si>
  <si>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</si>
  <si>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</si>
  <si>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</si>
  <si>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</si>
  <si>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</si>
  <si>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</si>
  <si>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</si>
  <si>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</si>
  <si>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</si>
  <si>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临街状况</t>
    </r>
    <phoneticPr fontId="4" type="noConversion"/>
  </si>
  <si>
    <t>单面临街</t>
    <phoneticPr fontId="4" type="noConversion"/>
  </si>
  <si>
    <t>较差</t>
    <phoneticPr fontId="4" type="noConversion"/>
  </si>
  <si>
    <t>较多</t>
    <phoneticPr fontId="4" type="noConversion"/>
  </si>
  <si>
    <t>较少</t>
    <phoneticPr fontId="4"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</si>
  <si>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4" type="noConversion"/>
  </si>
  <si>
    <t>独立商业</t>
    <phoneticPr fontId="4" type="noConversion"/>
  </si>
  <si>
    <t>写字楼配套商业</t>
    <phoneticPr fontId="4" type="noConversion"/>
  </si>
  <si>
    <t>住宅配套商业</t>
    <phoneticPr fontId="4" type="noConversion"/>
  </si>
  <si>
    <r>
      <rPr>
        <sz val="11"/>
        <color indexed="8"/>
        <rFont val="宋体"/>
        <family val="3"/>
        <charset val="134"/>
      </rPr>
      <t>建筑结构</t>
    </r>
    <phoneticPr fontId="4" type="noConversion"/>
  </si>
  <si>
    <t>钢混</t>
    <phoneticPr fontId="4" type="noConversion"/>
  </si>
  <si>
    <r>
      <rPr>
        <sz val="11"/>
        <color indexed="8"/>
        <rFont val="宋体"/>
        <family val="3"/>
        <charset val="134"/>
      </rPr>
      <t>公共部分装修</t>
    </r>
    <phoneticPr fontId="4" type="noConversion"/>
  </si>
  <si>
    <t>精装修</t>
    <phoneticPr fontId="4" type="noConversion"/>
  </si>
  <si>
    <r>
      <rPr>
        <sz val="11"/>
        <color indexed="8"/>
        <rFont val="宋体"/>
        <family val="3"/>
        <charset val="134"/>
      </rPr>
      <t>成新度</t>
    </r>
    <phoneticPr fontId="4" type="noConversion"/>
  </si>
  <si>
    <r>
      <rPr>
        <sz val="11"/>
        <color indexed="8"/>
        <rFont val="宋体"/>
        <family val="3"/>
        <charset val="134"/>
      </rPr>
      <t>市政基础设施</t>
    </r>
    <phoneticPr fontId="4" type="noConversion"/>
  </si>
  <si>
    <t>六通</t>
    <phoneticPr fontId="4" type="noConversion"/>
  </si>
  <si>
    <r>
      <rPr>
        <sz val="11"/>
        <color indexed="8"/>
        <rFont val="宋体"/>
        <family val="3"/>
        <charset val="134"/>
      </rPr>
      <t>业态</t>
    </r>
    <phoneticPr fontId="4" type="noConversion"/>
  </si>
  <si>
    <t>可餐饮</t>
    <phoneticPr fontId="4" type="noConversion"/>
  </si>
  <si>
    <t>不可餐饮</t>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</si>
  <si>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</si>
  <si>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</si>
  <si>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</si>
  <si>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内部装修</t>
    </r>
    <phoneticPr fontId="4" type="noConversion"/>
  </si>
  <si>
    <t>简装</t>
    <phoneticPr fontId="4" type="noConversion"/>
  </si>
  <si>
    <t>国海广场竣工时间2008年</t>
  </si>
  <si>
    <t>24（新洲商务大厦竣工时间2000年）</t>
  </si>
  <si>
    <t>建成年代</t>
    <phoneticPr fontId="32" type="noConversion"/>
  </si>
  <si>
    <t>精装修</t>
    <phoneticPr fontId="32" type="noConversion"/>
  </si>
  <si>
    <t>六通</t>
    <phoneticPr fontId="32" type="noConversion"/>
  </si>
  <si>
    <r>
      <rPr>
        <sz val="11"/>
        <color rgb="FFFF0000"/>
        <rFont val="宋体"/>
        <family val="3"/>
        <charset val="134"/>
      </rPr>
      <t>成新度</t>
    </r>
    <phoneticPr fontId="32" type="noConversion"/>
  </si>
  <si>
    <r>
      <rPr>
        <sz val="11"/>
        <color rgb="FFFF0000"/>
        <rFont val="宋体"/>
        <family val="3"/>
        <charset val="134"/>
      </rPr>
      <t>土地使用年限（年）</t>
    </r>
    <phoneticPr fontId="4" type="noConversion"/>
  </si>
  <si>
    <t>商业</t>
    <phoneticPr fontId="32" type="noConversion"/>
  </si>
  <si>
    <t>一般</t>
    <phoneticPr fontId="32" type="noConversion"/>
  </si>
  <si>
    <t>嘉豪国际中心写字楼</t>
    <phoneticPr fontId="4" type="noConversion"/>
  </si>
  <si>
    <t>慧科大厦</t>
  </si>
  <si>
    <t>慧科大厦</t>
    <phoneticPr fontId="4" type="noConversion"/>
  </si>
  <si>
    <t>车道沟桥西南角</t>
    <phoneticPr fontId="4" type="noConversion"/>
  </si>
  <si>
    <t>五棵松路32号</t>
  </si>
  <si>
    <t>五棵松路32号</t>
    <phoneticPr fontId="4" type="noConversion"/>
  </si>
  <si>
    <t>2053-7-5 剩30+</t>
  </si>
  <si>
    <t>紫竹院路</t>
  </si>
  <si>
    <t>主干道</t>
  </si>
  <si>
    <t>乙</t>
  </si>
  <si>
    <t>专业</t>
  </si>
  <si>
    <t>西四环北路</t>
  </si>
  <si>
    <t>快速路</t>
  </si>
  <si>
    <t>甲</t>
  </si>
  <si>
    <t>建成年代</t>
    <phoneticPr fontId="33" type="noConversion"/>
  </si>
  <si>
    <t>办公</t>
    <phoneticPr fontId="33" type="noConversion"/>
  </si>
  <si>
    <t>快速路</t>
    <phoneticPr fontId="4" type="noConversion"/>
  </si>
  <si>
    <t>主干道</t>
    <phoneticPr fontId="4" type="noConversion"/>
  </si>
  <si>
    <t>次干道</t>
    <phoneticPr fontId="4" type="noConversion"/>
  </si>
  <si>
    <t>支路</t>
    <phoneticPr fontId="4" type="noConversion"/>
  </si>
  <si>
    <t>钢混</t>
    <phoneticPr fontId="33" type="noConversion"/>
  </si>
  <si>
    <t>精装修</t>
    <phoneticPr fontId="33" type="noConversion"/>
  </si>
  <si>
    <t>甲</t>
    <phoneticPr fontId="4" type="noConversion"/>
  </si>
  <si>
    <t>乙</t>
    <phoneticPr fontId="4" type="noConversion"/>
  </si>
  <si>
    <t>丙</t>
    <phoneticPr fontId="4" type="noConversion"/>
  </si>
  <si>
    <t>专业</t>
    <phoneticPr fontId="4" type="noConversion"/>
  </si>
  <si>
    <t>六通</t>
    <phoneticPr fontId="4" type="noConversion"/>
  </si>
  <si>
    <t>简装</t>
    <phoneticPr fontId="4" type="noConversion"/>
  </si>
  <si>
    <t>毛坯</t>
    <phoneticPr fontId="4" type="noConversion"/>
  </si>
  <si>
    <t>比较法-车位</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</si>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</sst>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 numFmtId="199" formatCode="_([$€-2]* #,##0.00_);_([$€-2]* \(#,##0.00\);_([$€-2]* &quot;-&quot;??_)"/>
    <numFmt numFmtId="200" formatCode="#,##0.00000;\-#,##0.00000"/>
    <numFmt numFmtId="201" formatCode="yyyy\ "/>
    <numFmt numFmtId="202" formatCode="\ &quot;第&quot;\ 0\ &quot;年&quot;\ "/>
    <numFmt numFmtId="203" formatCode="_ * #,##0_ ;_ * \-#,##0_ ;_ * &quot;-&quot;_ ;_ @_ "/>
    <numFmt numFmtId="204" formatCode="_ * #,##0_ ;_ * \-#,##0_ ;_ * &quot;-&quot;??_ ;_ @_ "/>
    <numFmt numFmtId="205" formatCode="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sz val="9"/>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97" fontId="1" fillId="0" borderId="0" applyFont="0" applyFill="0" applyBorder="0" applyAlignment="0" applyProtection="0">
      <alignment vertical="center"/>
    </xf>
    <xf numFmtId="198" fontId="1" fillId="0" borderId="0" applyFont="0" applyFill="0" applyBorder="0" applyAlignment="0" applyProtection="0"/>
    <xf numFmtId="0" fontId="1" fillId="0" borderId="0">
      <alignment vertical="center"/>
    </xf>
    <xf numFmtId="9" fontId="1" fillId="0" borderId="0" applyFont="0" applyFill="0" applyBorder="0" applyAlignment="0" applyProtection="0">
      <alignment vertical="center"/>
    </xf>
    <xf numFmtId="9" fontId="171" fillId="0" borderId="0" applyFont="0" applyFill="0" applyBorder="0" applyAlignment="0" applyProtection="0">
      <alignment vertical="center"/>
    </xf>
    <xf numFmtId="199" fontId="38" fillId="0" borderId="0"/>
    <xf numFmtId="0" fontId="38" fillId="0" borderId="0"/>
    <xf numFmtId="197" fontId="171" fillId="0" borderId="0" applyFont="0" applyFill="0" applyBorder="0" applyAlignment="0" applyProtection="0">
      <alignment vertical="center"/>
    </xf>
    <xf numFmtId="198" fontId="38" fillId="0" borderId="0" applyFont="0" applyFill="0" applyBorder="0" applyAlignment="0" applyProtection="0">
      <alignment vertical="center"/>
    </xf>
  </cellStyleXfs>
  <cellXfs count="37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 fillId="0" borderId="0" xfId="13" applyFont="1">
      <alignment vertical="center"/>
    </xf>
    <xf numFmtId="0" fontId="184" fillId="0" borderId="0" xfId="13" applyFont="1" applyAlignment="1">
      <alignment horizontal="left" vertical="center" wrapText="1"/>
    </xf>
    <xf numFmtId="0" fontId="184" fillId="0" borderId="0" xfId="13" applyFont="1">
      <alignment vertical="center"/>
    </xf>
    <xf numFmtId="0" fontId="1" fillId="0" borderId="0" xfId="13">
      <alignment vertical="center"/>
    </xf>
    <xf numFmtId="0" fontId="1" fillId="5" borderId="0" xfId="13" applyFill="1">
      <alignment vertical="center"/>
    </xf>
    <xf numFmtId="0" fontId="184" fillId="5" borderId="0" xfId="13" applyFont="1" applyFill="1" applyAlignment="1">
      <alignment horizontal="left" vertical="center" wrapText="1"/>
    </xf>
    <xf numFmtId="0" fontId="184" fillId="5" borderId="0" xfId="13" applyFont="1" applyFill="1">
      <alignment vertical="center"/>
    </xf>
    <xf numFmtId="177" fontId="81" fillId="0" borderId="1" xfId="1" applyNumberFormat="1" applyFont="1" applyFill="1" applyBorder="1" applyAlignment="1" applyProtection="1">
      <alignment vertical="center"/>
      <protection locked="0" hidden="1"/>
    </xf>
    <xf numFmtId="0" fontId="100" fillId="0" borderId="0" xfId="10">
      <alignment vertical="center"/>
    </xf>
    <xf numFmtId="37" fontId="257" fillId="17" borderId="0" xfId="15" applyNumberFormat="1" applyFont="1" applyFill="1" applyAlignment="1">
      <alignment vertical="center" wrapText="1"/>
    </xf>
    <xf numFmtId="37" fontId="257" fillId="17" borderId="0" xfId="15" applyNumberFormat="1" applyFont="1" applyFill="1" applyAlignment="1">
      <alignment horizontal="center" vertical="center"/>
    </xf>
    <xf numFmtId="200" fontId="257" fillId="17" borderId="0" xfId="15" applyNumberFormat="1" applyFont="1" applyFill="1" applyAlignment="1">
      <alignment vertical="center"/>
    </xf>
    <xf numFmtId="0" fontId="1" fillId="0" borderId="0" xfId="16">
      <alignment vertical="center"/>
    </xf>
    <xf numFmtId="14" fontId="258" fillId="18" borderId="156" xfId="14" applyNumberFormat="1" applyFont="1" applyFill="1" applyBorder="1" applyAlignment="1">
      <alignment horizontal="left" vertical="center"/>
    </xf>
    <xf numFmtId="9" fontId="259" fillId="18" borderId="0" xfId="17" applyFont="1" applyFill="1" applyAlignment="1">
      <alignment horizontal="center" vertical="center"/>
    </xf>
    <xf numFmtId="0" fontId="260" fillId="18" borderId="0" xfId="16" applyFont="1" applyFill="1" applyAlignment="1">
      <alignment vertical="center"/>
    </xf>
    <xf numFmtId="201" fontId="261" fillId="18" borderId="0" xfId="20" applyNumberFormat="1" applyFont="1" applyFill="1" applyBorder="1" applyAlignment="1">
      <alignment horizontal="center" vertical="center"/>
    </xf>
    <xf numFmtId="202" fontId="261" fillId="0" borderId="0" xfId="20" quotePrefix="1" applyNumberFormat="1" applyFont="1" applyFill="1" applyBorder="1" applyAlignment="1">
      <alignment horizontal="center" vertical="center"/>
    </xf>
    <xf numFmtId="14" fontId="4" fillId="18" borderId="156" xfId="14" applyNumberFormat="1" applyFont="1" applyFill="1" applyBorder="1" applyAlignment="1">
      <alignment horizontal="center" vertical="center"/>
    </xf>
    <xf numFmtId="14" fontId="261" fillId="18" borderId="0" xfId="22" quotePrefix="1" applyNumberFormat="1" applyFont="1" applyFill="1" applyBorder="1" applyAlignment="1">
      <alignment horizontal="center" vertical="center"/>
    </xf>
    <xf numFmtId="199" fontId="262" fillId="18" borderId="157" xfId="19" applyNumberFormat="1" applyFont="1" applyFill="1" applyBorder="1" applyAlignment="1">
      <alignment horizontal="left" vertical="center"/>
    </xf>
    <xf numFmtId="14" fontId="258" fillId="18" borderId="0" xfId="14" applyNumberFormat="1" applyFont="1" applyFill="1" applyBorder="1" applyAlignment="1">
      <alignment horizontal="center" vertical="center"/>
    </xf>
    <xf numFmtId="198" fontId="263" fillId="18" borderId="0" xfId="22" applyFont="1" applyFill="1" applyBorder="1" applyAlignment="1">
      <alignment horizontal="left" vertical="center"/>
    </xf>
    <xf numFmtId="198" fontId="264" fillId="18" borderId="0" xfId="22" applyFont="1" applyFill="1" applyBorder="1" applyAlignment="1">
      <alignment horizontal="center" vertical="center"/>
    </xf>
    <xf numFmtId="203" fontId="265" fillId="18" borderId="0" xfId="16" applyNumberFormat="1" applyFont="1" applyFill="1" applyAlignment="1">
      <alignment vertical="center"/>
    </xf>
    <xf numFmtId="197" fontId="1" fillId="0" borderId="0" xfId="21" applyFont="1">
      <alignment vertical="center"/>
    </xf>
    <xf numFmtId="198" fontId="261" fillId="18" borderId="0" xfId="22" applyFont="1" applyFill="1" applyBorder="1" applyAlignment="1">
      <alignment horizontal="left" vertical="center"/>
    </xf>
    <xf numFmtId="203" fontId="260" fillId="18" borderId="0" xfId="16" applyNumberFormat="1" applyFont="1" applyFill="1" applyAlignment="1">
      <alignment vertical="center"/>
    </xf>
    <xf numFmtId="0" fontId="264" fillId="18" borderId="0" xfId="12" applyFont="1" applyFill="1" applyAlignment="1">
      <alignment horizontal="right" vertical="center"/>
    </xf>
    <xf numFmtId="0" fontId="260" fillId="18" borderId="0" xfId="12" applyFont="1" applyFill="1" applyAlignment="1">
      <alignment horizontal="right" vertical="center"/>
    </xf>
    <xf numFmtId="9" fontId="260" fillId="18" borderId="0" xfId="18" applyFont="1" applyFill="1" applyAlignment="1">
      <alignment vertical="center"/>
    </xf>
    <xf numFmtId="199" fontId="267" fillId="18" borderId="157" xfId="19" applyNumberFormat="1" applyFont="1" applyFill="1" applyBorder="1" applyAlignment="1">
      <alignment horizontal="left" vertical="center"/>
    </xf>
    <xf numFmtId="203" fontId="268" fillId="18" borderId="0" xfId="16" applyNumberFormat="1" applyFont="1" applyFill="1" applyAlignment="1">
      <alignment vertical="center"/>
    </xf>
    <xf numFmtId="0" fontId="255" fillId="0" borderId="0" xfId="16" applyFont="1">
      <alignment vertical="center"/>
    </xf>
    <xf numFmtId="204" fontId="255" fillId="0" borderId="0" xfId="21" applyNumberFormat="1" applyFont="1">
      <alignment vertical="center"/>
    </xf>
    <xf numFmtId="198" fontId="261" fillId="18" borderId="0" xfId="22" applyFont="1" applyFill="1" applyBorder="1" applyAlignment="1">
      <alignment horizontal="right" vertical="center"/>
    </xf>
    <xf numFmtId="9" fontId="264" fillId="18" borderId="0" xfId="18" applyFont="1" applyFill="1" applyBorder="1" applyAlignment="1">
      <alignment horizontal="right" vertical="center"/>
    </xf>
    <xf numFmtId="183" fontId="264" fillId="18" borderId="0" xfId="22" applyNumberFormat="1" applyFont="1" applyFill="1" applyBorder="1" applyAlignment="1">
      <alignment horizontal="right" vertical="center"/>
    </xf>
    <xf numFmtId="0" fontId="260" fillId="18" borderId="0" xfId="16" applyFont="1" applyFill="1" applyAlignment="1">
      <alignment horizontal="center" vertical="center"/>
    </xf>
    <xf numFmtId="203" fontId="270" fillId="18" borderId="0" xfId="16" applyNumberFormat="1" applyFont="1" applyFill="1" applyAlignment="1">
      <alignment vertical="center"/>
    </xf>
    <xf numFmtId="0" fontId="264" fillId="18" borderId="0" xfId="16" applyFont="1" applyFill="1" applyAlignment="1">
      <alignment horizontal="right" vertical="center"/>
    </xf>
    <xf numFmtId="10" fontId="260" fillId="18" borderId="0" xfId="18" applyNumberFormat="1" applyFont="1" applyFill="1" applyAlignment="1">
      <alignment vertical="center"/>
    </xf>
    <xf numFmtId="0" fontId="1" fillId="0" borderId="0" xfId="16" applyFont="1">
      <alignment vertical="center"/>
    </xf>
    <xf numFmtId="9" fontId="1" fillId="0" borderId="0" xfId="16" applyNumberFormat="1" applyAlignment="1">
      <alignment horizontal="center" vertical="center"/>
    </xf>
    <xf numFmtId="205" fontId="1" fillId="0" borderId="0" xfId="16" applyNumberFormat="1">
      <alignment vertical="center"/>
    </xf>
    <xf numFmtId="0" fontId="1" fillId="0" borderId="0" xfId="16" applyAlignment="1">
      <alignment horizontal="center" vertical="center"/>
    </xf>
    <xf numFmtId="0" fontId="100" fillId="0" borderId="0" xfId="10" applyFont="1" applyAlignment="1">
      <alignment horizontal="left" vertical="center"/>
    </xf>
    <xf numFmtId="0" fontId="100" fillId="0" borderId="0" xfId="10" applyFont="1" applyAlignment="1">
      <alignment vertical="center"/>
    </xf>
    <xf numFmtId="0" fontId="100" fillId="0" borderId="0" xfId="10" applyFont="1" applyAlignment="1">
      <alignment vertical="center" wrapText="1"/>
    </xf>
    <xf numFmtId="57" fontId="100" fillId="0" borderId="0" xfId="10" applyNumberFormat="1" applyAlignment="1">
      <alignment horizontal="left" vertical="center"/>
    </xf>
    <xf numFmtId="0" fontId="100" fillId="0" borderId="0" xfId="10" applyAlignment="1">
      <alignment horizontal="left" vertical="center"/>
    </xf>
    <xf numFmtId="0" fontId="100" fillId="0" borderId="0" xfId="10" applyFont="1" applyAlignment="1">
      <alignment vertical="center"/>
    </xf>
    <xf numFmtId="0" fontId="100" fillId="0" borderId="0" xfId="10" applyFont="1" applyAlignment="1">
      <alignment horizontal="left" vertical="center" wrapText="1"/>
    </xf>
    <xf numFmtId="14" fontId="100" fillId="0" borderId="0" xfId="10" applyNumberFormat="1" applyAlignment="1">
      <alignment horizontal="left" vertical="center"/>
    </xf>
    <xf numFmtId="0" fontId="100" fillId="0" borderId="0" xfId="10" applyFill="1" applyAlignment="1">
      <alignment horizontal="left" vertical="center"/>
    </xf>
    <xf numFmtId="0" fontId="100" fillId="0" borderId="0" xfId="10" applyFill="1" applyAlignment="1">
      <alignment horizontal="left" vertical="center"/>
    </xf>
    <xf numFmtId="0" fontId="100" fillId="0" borderId="0" xfId="10" applyFont="1" applyFill="1" applyAlignment="1">
      <alignment horizontal="left" vertical="center"/>
    </xf>
    <xf numFmtId="14" fontId="100" fillId="0" borderId="0" xfId="10" applyNumberFormat="1" applyFill="1" applyAlignment="1">
      <alignment horizontal="left" vertical="center"/>
    </xf>
    <xf numFmtId="0" fontId="100" fillId="0" borderId="0" xfId="10" applyFont="1" applyFill="1" applyAlignment="1">
      <alignment horizontal="left" vertical="center" wrapText="1"/>
    </xf>
    <xf numFmtId="0" fontId="100" fillId="0" borderId="0" xfId="10" applyFill="1">
      <alignment vertical="center"/>
    </xf>
    <xf numFmtId="0" fontId="100" fillId="0" borderId="0" xfId="10" applyAlignment="1">
      <alignment horizontal="left" vertical="center"/>
    </xf>
    <xf numFmtId="0" fontId="100" fillId="0" borderId="0" xfId="10" applyFont="1" applyAlignment="1">
      <alignment horizontal="left" vertical="center"/>
    </xf>
    <xf numFmtId="14" fontId="100" fillId="0" borderId="0" xfId="10" applyNumberFormat="1" applyAlignment="1">
      <alignment horizontal="left" vertical="center"/>
    </xf>
    <xf numFmtId="14" fontId="100" fillId="0" borderId="0" xfId="10" applyNumberFormat="1" applyFont="1" applyAlignment="1">
      <alignment horizontal="left" vertical="center"/>
    </xf>
    <xf numFmtId="0" fontId="100" fillId="0" borderId="0" xfId="10" applyFont="1" applyAlignment="1">
      <alignment horizontal="center" vertical="center" wrapText="1"/>
    </xf>
    <xf numFmtId="0" fontId="100" fillId="0" borderId="0" xfId="10" applyFont="1" applyAlignment="1">
      <alignment horizontal="left" vertical="center" wrapText="1"/>
    </xf>
    <xf numFmtId="0" fontId="100" fillId="0" borderId="0" xfId="10" applyAlignment="1">
      <alignment horizontal="left" vertical="center" wrapText="1"/>
    </xf>
    <xf numFmtId="0" fontId="226" fillId="0" borderId="24" xfId="0" applyFont="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55" fillId="2" borderId="41" xfId="0" applyFont="1" applyFill="1" applyBorder="1" applyAlignment="1" applyProtection="1">
      <alignment horizontal="center" vertical="center" wrapText="1"/>
      <protection locked="0"/>
    </xf>
    <xf numFmtId="0" fontId="108" fillId="6" borderId="85" xfId="10" applyFont="1" applyFill="1" applyBorder="1" applyAlignment="1" applyProtection="1">
      <alignment vertical="center"/>
    </xf>
    <xf numFmtId="0" fontId="66" fillId="6" borderId="85" xfId="10" applyFont="1" applyFill="1" applyBorder="1" applyAlignment="1" applyProtection="1">
      <alignment horizontal="right" vertical="center"/>
    </xf>
    <xf numFmtId="0" fontId="66" fillId="6" borderId="88" xfId="10" applyFont="1" applyFill="1" applyBorder="1" applyAlignment="1" applyProtection="1">
      <alignment horizontal="center" vertical="center"/>
    </xf>
    <xf numFmtId="0" fontId="66" fillId="2" borderId="88" xfId="10" applyFont="1" applyFill="1" applyBorder="1" applyAlignment="1" applyProtection="1">
      <alignment vertical="center"/>
      <protection locked="0"/>
    </xf>
    <xf numFmtId="0" fontId="66" fillId="5" borderId="119" xfId="10" applyFont="1" applyFill="1" applyBorder="1" applyAlignment="1" applyProtection="1">
      <alignment vertical="center"/>
    </xf>
    <xf numFmtId="0" fontId="66" fillId="5" borderId="78" xfId="10" applyFont="1" applyFill="1" applyBorder="1" applyAlignment="1" applyProtection="1">
      <alignment horizontal="center" vertical="center"/>
      <protection locked="0"/>
    </xf>
    <xf numFmtId="0" fontId="69" fillId="6" borderId="88" xfId="10" applyFont="1" applyFill="1" applyBorder="1" applyAlignment="1" applyProtection="1">
      <alignment vertical="center"/>
    </xf>
    <xf numFmtId="0" fontId="66" fillId="6" borderId="88" xfId="10" applyFont="1" applyFill="1" applyBorder="1" applyAlignment="1" applyProtection="1">
      <alignment vertical="center"/>
    </xf>
    <xf numFmtId="189" fontId="66" fillId="6" borderId="88" xfId="10" applyNumberFormat="1" applyFont="1" applyFill="1" applyBorder="1" applyAlignment="1" applyProtection="1">
      <alignment horizontal="center" vertical="center"/>
    </xf>
    <xf numFmtId="181" fontId="66" fillId="6" borderId="88" xfId="10" applyNumberFormat="1" applyFont="1" applyFill="1" applyBorder="1" applyAlignment="1" applyProtection="1">
      <alignment vertical="center"/>
    </xf>
    <xf numFmtId="0" fontId="66" fillId="6" borderId="89"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7" fillId="6" borderId="87" xfId="10" applyFont="1" applyFill="1" applyBorder="1" applyAlignment="1" applyProtection="1">
      <alignment horizontal="center" vertical="center"/>
      <protection locked="0"/>
    </xf>
    <xf numFmtId="0" fontId="67" fillId="0" borderId="87" xfId="10" applyFont="1" applyFill="1" applyBorder="1" applyAlignment="1" applyProtection="1">
      <alignment horizontal="center" vertical="center"/>
      <protection locked="0"/>
    </xf>
    <xf numFmtId="0" fontId="61" fillId="6" borderId="2" xfId="10" applyFont="1" applyFill="1" applyBorder="1" applyAlignment="1" applyProtection="1">
      <alignment horizontal="right" vertical="center"/>
    </xf>
    <xf numFmtId="0" fontId="61" fillId="6" borderId="0" xfId="10" applyFont="1" applyFill="1" applyBorder="1" applyAlignment="1" applyProtection="1">
      <alignment vertical="center"/>
    </xf>
    <xf numFmtId="0" fontId="66" fillId="6" borderId="0" xfId="10" applyFont="1" applyFill="1" applyBorder="1" applyAlignment="1" applyProtection="1">
      <alignment vertical="center"/>
      <protection locked="0"/>
    </xf>
    <xf numFmtId="181" fontId="66" fillId="6" borderId="0" xfId="10" applyNumberFormat="1" applyFont="1" applyFill="1" applyBorder="1" applyAlignment="1" applyProtection="1">
      <alignment vertical="center"/>
      <protection locked="0"/>
    </xf>
    <xf numFmtId="0" fontId="66" fillId="6" borderId="0" xfId="10" applyFont="1" applyFill="1" applyBorder="1" applyAlignment="1" applyProtection="1">
      <alignment horizontal="center" vertical="center"/>
      <protection locked="0"/>
    </xf>
    <xf numFmtId="0" fontId="66" fillId="6" borderId="18" xfId="10" applyFont="1" applyFill="1" applyBorder="1" applyAlignment="1" applyProtection="1">
      <alignment horizontal="center" vertical="center"/>
      <protection locked="0"/>
    </xf>
    <xf numFmtId="0" fontId="67" fillId="6" borderId="0" xfId="10" applyFont="1" applyFill="1" applyBorder="1" applyAlignment="1" applyProtection="1">
      <alignment horizontal="center" vertical="center"/>
      <protection locked="0"/>
    </xf>
    <xf numFmtId="0" fontId="67" fillId="0" borderId="0" xfId="10" applyFont="1" applyFill="1" applyAlignment="1" applyProtection="1">
      <alignment horizontal="center" vertical="center"/>
      <protection locked="0"/>
    </xf>
    <xf numFmtId="186" fontId="61" fillId="6" borderId="13" xfId="10" applyNumberFormat="1" applyFont="1" applyFill="1" applyBorder="1" applyAlignment="1" applyProtection="1">
      <alignment horizontal="right" vertical="center"/>
    </xf>
    <xf numFmtId="0" fontId="61" fillId="6" borderId="13" xfId="10" applyFont="1" applyFill="1" applyBorder="1" applyAlignment="1" applyProtection="1">
      <alignment horizontal="center" vertical="center"/>
    </xf>
    <xf numFmtId="0" fontId="61" fillId="6" borderId="13" xfId="10" applyFont="1" applyFill="1" applyBorder="1" applyAlignment="1" applyProtection="1">
      <alignment horizontal="right" vertical="center"/>
    </xf>
    <xf numFmtId="0" fontId="67" fillId="6" borderId="0" xfId="10" applyFont="1" applyFill="1" applyAlignment="1" applyProtection="1">
      <alignment horizontal="center" vertical="center"/>
      <protection locked="0"/>
    </xf>
    <xf numFmtId="0" fontId="69" fillId="6" borderId="0" xfId="10" applyFont="1" applyFill="1" applyBorder="1" applyAlignment="1" applyProtection="1">
      <alignment vertical="center"/>
      <protection locked="0"/>
    </xf>
    <xf numFmtId="189" fontId="66" fillId="6" borderId="0" xfId="10" applyNumberFormat="1" applyFont="1" applyFill="1" applyBorder="1" applyAlignment="1" applyProtection="1">
      <alignment horizontal="center" vertical="center"/>
      <protection locked="0"/>
    </xf>
    <xf numFmtId="0" fontId="54" fillId="6" borderId="16" xfId="10" applyFont="1" applyFill="1" applyBorder="1" applyAlignment="1" applyProtection="1">
      <alignment vertical="center" wrapText="1"/>
    </xf>
    <xf numFmtId="0" fontId="54" fillId="6" borderId="19" xfId="10" applyFont="1" applyFill="1" applyBorder="1" applyAlignment="1" applyProtection="1">
      <alignment vertical="center" wrapText="1"/>
    </xf>
    <xf numFmtId="0" fontId="55" fillId="6" borderId="6" xfId="10" applyFont="1" applyFill="1" applyBorder="1" applyAlignment="1" applyProtection="1">
      <alignment horizontal="center" vertical="center" wrapText="1"/>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40" xfId="10" applyFont="1" applyFill="1" applyBorder="1" applyAlignment="1" applyProtection="1">
      <alignment horizontal="center" vertical="center" wrapText="1"/>
    </xf>
    <xf numFmtId="0" fontId="55" fillId="6" borderId="62" xfId="10" applyFont="1" applyFill="1" applyBorder="1" applyAlignment="1" applyProtection="1">
      <alignment horizontal="center" vertical="center" wrapText="1"/>
    </xf>
    <xf numFmtId="189" fontId="48" fillId="6" borderId="3"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vertical="center" wrapText="1"/>
      <protection locked="0"/>
    </xf>
    <xf numFmtId="0" fontId="55" fillId="6" borderId="0" xfId="10" applyFont="1" applyFill="1" applyBorder="1" applyAlignment="1" applyProtection="1">
      <alignment horizontal="center" vertical="center"/>
      <protection locked="0"/>
    </xf>
    <xf numFmtId="0" fontId="55" fillId="6" borderId="46" xfId="10" applyFont="1" applyFill="1" applyBorder="1" applyAlignment="1" applyProtection="1">
      <alignment horizontal="center" vertical="center" wrapText="1"/>
    </xf>
    <xf numFmtId="0" fontId="55" fillId="6" borderId="22" xfId="10" applyFont="1" applyFill="1" applyBorder="1" applyAlignment="1" applyProtection="1">
      <alignment horizontal="center" vertical="center" wrapText="1"/>
    </xf>
    <xf numFmtId="0" fontId="55" fillId="6" borderId="46" xfId="10" applyFont="1" applyFill="1" applyBorder="1" applyAlignment="1" applyProtection="1">
      <alignment horizontal="center" vertical="center"/>
    </xf>
    <xf numFmtId="0" fontId="55" fillId="6" borderId="22" xfId="10"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13" xfId="10" applyFont="1" applyFill="1" applyBorder="1" applyAlignment="1" applyProtection="1">
      <alignment horizontal="center" vertical="center"/>
    </xf>
    <xf numFmtId="0" fontId="55" fillId="0" borderId="0" xfId="10" applyFont="1" applyFill="1" applyAlignment="1" applyProtection="1">
      <alignment horizontal="center" vertical="center"/>
      <protection locked="0"/>
    </xf>
    <xf numFmtId="0" fontId="54" fillId="6" borderId="18"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26" fillId="0" borderId="3" xfId="10" applyFont="1" applyFill="1" applyBorder="1" applyAlignment="1" applyProtection="1">
      <alignment horizontal="center" vertical="center" wrapText="1"/>
      <protection locked="0"/>
    </xf>
    <xf numFmtId="0" fontId="179" fillId="0" borderId="5" xfId="10" applyFont="1" applyFill="1" applyBorder="1" applyAlignment="1" applyProtection="1">
      <alignment horizontal="center" vertical="center" wrapText="1"/>
      <protection locked="0"/>
    </xf>
    <xf numFmtId="0" fontId="226" fillId="0" borderId="6" xfId="10" applyFont="1" applyFill="1" applyBorder="1" applyAlignment="1" applyProtection="1">
      <alignment horizontal="center" vertical="center" wrapText="1"/>
      <protection locked="0"/>
    </xf>
    <xf numFmtId="0" fontId="179" fillId="0" borderId="10" xfId="10" applyFont="1" applyFill="1" applyBorder="1" applyAlignment="1" applyProtection="1">
      <alignment horizontal="center" vertical="center" wrapText="1"/>
      <protection locked="0"/>
    </xf>
    <xf numFmtId="0" fontId="226" fillId="0" borderId="23" xfId="10" applyFont="1" applyFill="1" applyBorder="1" applyAlignment="1" applyProtection="1">
      <alignment horizontal="center" vertical="center" wrapText="1"/>
      <protection locked="0"/>
    </xf>
    <xf numFmtId="0" fontId="55" fillId="6" borderId="5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4" fillId="6" borderId="42" xfId="10" applyFont="1" applyFill="1" applyBorder="1" applyAlignment="1" applyProtection="1">
      <alignment vertical="center" wrapText="1"/>
    </xf>
    <xf numFmtId="0" fontId="54" fillId="6" borderId="47" xfId="10" applyFont="1" applyFill="1" applyBorder="1" applyAlignment="1" applyProtection="1">
      <alignment vertical="center" wrapText="1"/>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55" fillId="6" borderId="4"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50" fillId="6" borderId="63" xfId="10" applyFont="1" applyFill="1" applyBorder="1" applyAlignment="1" applyProtection="1">
      <alignment vertical="center" wrapText="1"/>
    </xf>
    <xf numFmtId="0" fontId="50" fillId="6" borderId="64" xfId="10" applyFont="1" applyFill="1" applyBorder="1" applyAlignment="1" applyProtection="1">
      <alignment vertical="center" wrapText="1"/>
    </xf>
    <xf numFmtId="184" fontId="48" fillId="6" borderId="26" xfId="10" applyNumberFormat="1" applyFont="1" applyFill="1" applyBorder="1" applyAlignment="1" applyProtection="1">
      <alignment horizontal="center" vertical="center" wrapText="1"/>
    </xf>
    <xf numFmtId="0" fontId="48" fillId="6" borderId="67" xfId="10" applyNumberFormat="1" applyFont="1" applyFill="1" applyBorder="1" applyAlignment="1" applyProtection="1">
      <alignment horizontal="center" vertical="center" wrapText="1"/>
    </xf>
    <xf numFmtId="184" fontId="48" fillId="0" borderId="70"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184" fontId="48" fillId="0" borderId="26" xfId="10" applyNumberFormat="1" applyFont="1" applyFill="1" applyBorder="1" applyAlignment="1" applyProtection="1">
      <alignment horizontal="center" vertical="center" wrapText="1"/>
      <protection locked="0"/>
    </xf>
    <xf numFmtId="0" fontId="48" fillId="6" borderId="3" xfId="10" applyNumberFormat="1" applyFont="1" applyFill="1" applyBorder="1" applyAlignment="1" applyProtection="1">
      <alignment horizontal="center" vertical="center" wrapText="1"/>
    </xf>
    <xf numFmtId="181" fontId="48" fillId="6" borderId="0" xfId="10" applyNumberFormat="1" applyFont="1" applyFill="1" applyBorder="1" applyAlignment="1" applyProtection="1">
      <alignment horizontal="center" vertical="center" wrapText="1"/>
      <protection locked="0"/>
    </xf>
    <xf numFmtId="0" fontId="48" fillId="6" borderId="0" xfId="10" applyFont="1" applyFill="1" applyBorder="1" applyAlignment="1" applyProtection="1">
      <alignment horizontal="center" vertical="center"/>
      <protection locked="0"/>
    </xf>
    <xf numFmtId="0" fontId="48" fillId="6" borderId="5" xfId="10" applyFont="1" applyFill="1" applyBorder="1" applyAlignment="1" applyProtection="1">
      <alignment horizontal="center" vertical="center"/>
    </xf>
    <xf numFmtId="0" fontId="48" fillId="6" borderId="54" xfId="10" applyFont="1" applyFill="1" applyBorder="1" applyAlignment="1" applyProtection="1">
      <alignment horizontal="center" vertical="center"/>
    </xf>
    <xf numFmtId="188" fontId="48" fillId="6" borderId="5" xfId="10" applyNumberFormat="1"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0" borderId="0" xfId="10" applyFont="1" applyFill="1" applyAlignment="1" applyProtection="1">
      <alignment horizontal="center" vertical="center"/>
      <protection locked="0"/>
    </xf>
    <xf numFmtId="49" fontId="48" fillId="2" borderId="26"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28" xfId="10" applyFont="1" applyFill="1" applyBorder="1" applyAlignment="1" applyProtection="1">
      <alignment horizontal="center" vertical="center" wrapText="1"/>
    </xf>
    <xf numFmtId="0" fontId="138" fillId="0" borderId="51" xfId="10" applyNumberFormat="1" applyFont="1" applyFill="1" applyBorder="1" applyAlignment="1" applyProtection="1">
      <alignment horizontal="center" vertical="center" wrapText="1"/>
      <protection locked="0"/>
    </xf>
    <xf numFmtId="0" fontId="48" fillId="6" borderId="10" xfId="10" applyNumberFormat="1" applyFont="1" applyFill="1" applyBorder="1" applyAlignment="1" applyProtection="1">
      <alignment horizontal="center" vertical="center" wrapText="1"/>
    </xf>
    <xf numFmtId="49" fontId="48" fillId="2" borderId="30" xfId="10" applyNumberFormat="1" applyFont="1" applyFill="1" applyBorder="1" applyAlignment="1" applyProtection="1">
      <alignment horizontal="center" vertical="center" wrapText="1"/>
      <protection locked="0"/>
    </xf>
    <xf numFmtId="0" fontId="48" fillId="6" borderId="28" xfId="10" applyNumberFormat="1" applyFont="1" applyFill="1" applyBorder="1" applyAlignment="1" applyProtection="1">
      <alignment horizontal="center" vertical="center" wrapText="1"/>
    </xf>
    <xf numFmtId="49" fontId="48" fillId="2" borderId="6" xfId="10" applyNumberFormat="1" applyFont="1" applyFill="1" applyBorder="1" applyAlignment="1" applyProtection="1">
      <alignment horizontal="center" vertical="center" wrapText="1"/>
      <protection locked="0"/>
    </xf>
    <xf numFmtId="0" fontId="55" fillId="6" borderId="23"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xf>
    <xf numFmtId="0" fontId="70" fillId="6" borderId="14" xfId="10" applyFont="1" applyFill="1" applyBorder="1" applyAlignment="1" applyProtection="1">
      <alignment vertical="center" wrapText="1"/>
    </xf>
    <xf numFmtId="0" fontId="107" fillId="6" borderId="5" xfId="10" applyFont="1" applyFill="1" applyBorder="1" applyAlignment="1" applyProtection="1">
      <alignment horizontal="center" vertical="center" wrapText="1"/>
    </xf>
    <xf numFmtId="49" fontId="107" fillId="2" borderId="23" xfId="10" applyNumberFormat="1" applyFont="1" applyFill="1" applyBorder="1" applyAlignment="1" applyProtection="1">
      <alignment horizontal="center" vertical="center" wrapText="1"/>
      <protection locked="0"/>
    </xf>
    <xf numFmtId="0" fontId="107" fillId="6" borderId="24" xfId="10" applyNumberFormat="1" applyFont="1" applyFill="1" applyBorder="1" applyAlignment="1" applyProtection="1">
      <alignment horizontal="center" vertical="center" wrapText="1"/>
    </xf>
    <xf numFmtId="49" fontId="107" fillId="2" borderId="3" xfId="10" applyNumberFormat="1" applyFont="1" applyFill="1" applyBorder="1" applyAlignment="1" applyProtection="1">
      <alignment horizontal="center" vertical="center" wrapText="1"/>
      <protection locked="0"/>
    </xf>
    <xf numFmtId="0" fontId="107" fillId="6" borderId="5" xfId="10" applyNumberFormat="1" applyFont="1" applyFill="1" applyBorder="1" applyAlignment="1" applyProtection="1">
      <alignment horizontal="center" vertical="center" wrapText="1"/>
    </xf>
    <xf numFmtId="0" fontId="187" fillId="0" borderId="3" xfId="10" applyNumberFormat="1" applyFont="1" applyFill="1" applyBorder="1" applyAlignment="1" applyProtection="1">
      <alignment horizontal="center" vertical="center" wrapText="1"/>
      <protection locked="0"/>
    </xf>
    <xf numFmtId="181" fontId="71" fillId="6" borderId="0" xfId="10" applyNumberFormat="1" applyFont="1" applyFill="1" applyBorder="1" applyAlignment="1" applyProtection="1">
      <alignment horizontal="center" vertical="center" wrapText="1"/>
      <protection locked="0"/>
    </xf>
    <xf numFmtId="0" fontId="71" fillId="6" borderId="0"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0" fontId="54" fillId="6" borderId="14" xfId="10" applyFont="1" applyFill="1" applyBorder="1" applyAlignment="1" applyProtection="1">
      <alignment vertical="center" wrapText="1"/>
    </xf>
    <xf numFmtId="0" fontId="48" fillId="6" borderId="5" xfId="10" applyFont="1" applyFill="1" applyBorder="1" applyAlignment="1" applyProtection="1">
      <alignment horizontal="center" vertical="center" wrapText="1"/>
    </xf>
    <xf numFmtId="0" fontId="48" fillId="0" borderId="23"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0" fontId="48" fillId="0" borderId="3" xfId="10" applyNumberFormat="1" applyFont="1" applyFill="1" applyBorder="1" applyAlignment="1" applyProtection="1">
      <alignment horizontal="center" vertical="center" wrapText="1"/>
      <protection locked="0"/>
    </xf>
    <xf numFmtId="0" fontId="48" fillId="6" borderId="5" xfId="10" applyNumberFormat="1" applyFont="1" applyFill="1" applyBorder="1" applyAlignment="1" applyProtection="1">
      <alignment horizontal="center" vertical="center" wrapText="1"/>
    </xf>
    <xf numFmtId="0" fontId="62" fillId="0" borderId="3" xfId="10" applyNumberFormat="1" applyFont="1" applyFill="1" applyBorder="1" applyAlignment="1" applyProtection="1">
      <alignment horizontal="center" vertical="center" wrapText="1"/>
      <protection locked="0"/>
    </xf>
    <xf numFmtId="181" fontId="53" fillId="6" borderId="0"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wrapText="1"/>
    </xf>
    <xf numFmtId="0" fontId="138" fillId="0" borderId="46" xfId="10" applyFont="1" applyFill="1" applyBorder="1" applyAlignment="1" applyProtection="1">
      <alignment horizontal="center" vertical="center" wrapText="1"/>
      <protection locked="0"/>
    </xf>
    <xf numFmtId="0" fontId="48" fillId="0" borderId="41" xfId="10" applyNumberFormat="1"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0" fontId="55" fillId="0" borderId="37"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48" fillId="0" borderId="46" xfId="10" applyFont="1" applyFill="1" applyBorder="1" applyAlignment="1" applyProtection="1">
      <alignment horizontal="center" vertical="center" wrapText="1"/>
      <protection locked="0"/>
    </xf>
    <xf numFmtId="0" fontId="55" fillId="6" borderId="24" xfId="10" applyNumberFormat="1" applyFont="1" applyFill="1" applyBorder="1" applyAlignment="1" applyProtection="1">
      <alignment horizontal="center" vertical="center" wrapText="1"/>
    </xf>
    <xf numFmtId="181" fontId="72" fillId="6" borderId="0" xfId="10" applyNumberFormat="1"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48" fillId="0" borderId="33" xfId="10" applyFont="1" applyFill="1" applyBorder="1" applyAlignment="1" applyProtection="1">
      <alignment horizontal="center" vertical="center" wrapText="1"/>
      <protection locked="0"/>
    </xf>
    <xf numFmtId="0" fontId="55" fillId="0" borderId="38" xfId="10" applyNumberFormat="1" applyFont="1" applyFill="1" applyBorder="1" applyAlignment="1" applyProtection="1">
      <alignment horizontal="center" vertical="center" wrapText="1"/>
      <protection locked="0"/>
    </xf>
    <xf numFmtId="0" fontId="55" fillId="6" borderId="49" xfId="10" applyNumberFormat="1" applyFont="1" applyFill="1" applyBorder="1" applyAlignment="1" applyProtection="1">
      <alignment horizontal="center" vertical="center" wrapText="1"/>
    </xf>
    <xf numFmtId="0" fontId="55" fillId="6" borderId="33" xfId="10" applyNumberFormat="1"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6" borderId="29" xfId="10" applyFont="1" applyFill="1" applyBorder="1" applyAlignment="1" applyProtection="1">
      <alignment horizontal="center" vertical="center" wrapText="1"/>
    </xf>
    <xf numFmtId="49" fontId="55" fillId="6" borderId="40" xfId="10" applyNumberFormat="1" applyFont="1" applyFill="1" applyBorder="1" applyAlignment="1" applyProtection="1">
      <alignment horizontal="center" vertical="center" wrapText="1"/>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0" fontId="55" fillId="6" borderId="29" xfId="10" applyNumberFormat="1" applyFont="1" applyFill="1" applyBorder="1" applyAlignment="1" applyProtection="1">
      <alignment horizontal="center" vertical="center" wrapText="1"/>
    </xf>
    <xf numFmtId="49" fontId="55" fillId="0" borderId="40" xfId="10" applyNumberFormat="1" applyFont="1" applyFill="1" applyBorder="1" applyAlignment="1" applyProtection="1">
      <alignment horizontal="center" vertical="center" wrapText="1"/>
      <protection locked="0"/>
    </xf>
    <xf numFmtId="0" fontId="62" fillId="0" borderId="11" xfId="10" applyNumberFormat="1" applyFont="1" applyFill="1" applyBorder="1" applyAlignment="1" applyProtection="1">
      <alignment horizontal="center" vertical="center" wrapText="1"/>
      <protection locked="0"/>
    </xf>
    <xf numFmtId="0" fontId="55" fillId="6" borderId="11" xfId="10" applyFont="1" applyFill="1" applyBorder="1" applyAlignment="1" applyProtection="1">
      <alignment horizontal="center" vertical="center" wrapText="1"/>
    </xf>
    <xf numFmtId="0" fontId="55" fillId="6" borderId="1" xfId="10" applyFont="1" applyFill="1" applyBorder="1" applyAlignment="1" applyProtection="1">
      <alignment horizontal="center" vertical="center" wrapText="1"/>
    </xf>
    <xf numFmtId="188" fontId="55" fillId="6" borderId="5" xfId="10" applyNumberFormat="1"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0" fontId="55" fillId="6" borderId="13" xfId="10" applyFont="1" applyFill="1" applyBorder="1" applyAlignment="1" applyProtection="1">
      <alignment horizontal="center" vertical="center" wrapText="1"/>
    </xf>
    <xf numFmtId="0" fontId="55" fillId="6" borderId="1" xfId="10"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0" fontId="55" fillId="2" borderId="41" xfId="10" applyNumberFormat="1" applyFont="1" applyFill="1" applyBorder="1" applyAlignment="1" applyProtection="1">
      <alignment horizontal="center" vertical="center" wrapText="1"/>
      <protection locked="0"/>
    </xf>
    <xf numFmtId="0" fontId="55" fillId="6" borderId="8" xfId="10" applyNumberFormat="1" applyFont="1" applyFill="1" applyBorder="1" applyAlignment="1" applyProtection="1">
      <alignment horizontal="center" vertical="center" wrapText="1"/>
    </xf>
    <xf numFmtId="0" fontId="55" fillId="6" borderId="4" xfId="10" applyNumberFormat="1" applyFont="1" applyFill="1" applyBorder="1" applyAlignment="1" applyProtection="1">
      <alignment horizontal="center" vertical="center" wrapText="1"/>
    </xf>
    <xf numFmtId="0" fontId="55" fillId="6" borderId="53" xfId="10" applyNumberFormat="1" applyFont="1" applyFill="1" applyBorder="1" applyAlignment="1" applyProtection="1">
      <alignment horizontal="center" vertical="center" wrapText="1"/>
    </xf>
    <xf numFmtId="0" fontId="62" fillId="6" borderId="41" xfId="10" applyNumberFormat="1" applyFont="1" applyFill="1" applyBorder="1" applyAlignment="1" applyProtection="1">
      <alignment horizontal="center" vertical="center" wrapText="1"/>
    </xf>
    <xf numFmtId="0" fontId="55" fillId="6" borderId="14"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48" fillId="6" borderId="46" xfId="10" applyFont="1" applyFill="1" applyBorder="1" applyAlignment="1" applyProtection="1">
      <alignment horizontal="center" vertical="center" wrapText="1"/>
    </xf>
    <xf numFmtId="0" fontId="55" fillId="6" borderId="11" xfId="10" applyNumberFormat="1"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0" fontId="55" fillId="6" borderId="58" xfId="10" applyNumberFormat="1" applyFont="1" applyFill="1" applyBorder="1" applyAlignment="1" applyProtection="1">
      <alignment horizontal="center" vertical="center" wrapText="1"/>
    </xf>
    <xf numFmtId="49" fontId="55" fillId="0" borderId="14"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0" fontId="48" fillId="6" borderId="4" xfId="10" applyFont="1" applyFill="1" applyBorder="1" applyAlignment="1" applyProtection="1">
      <alignment horizontal="center" vertical="center" wrapText="1"/>
    </xf>
    <xf numFmtId="0" fontId="55" fillId="2" borderId="14" xfId="10" applyNumberFormat="1" applyFont="1" applyFill="1" applyBorder="1" applyAlignment="1" applyProtection="1">
      <alignment horizontal="center" vertical="center" wrapText="1"/>
      <protection locked="0"/>
    </xf>
    <xf numFmtId="49" fontId="99" fillId="2" borderId="35" xfId="10" applyNumberFormat="1" applyFont="1" applyFill="1" applyBorder="1" applyAlignment="1" applyProtection="1">
      <alignment horizontal="center" vertical="center" wrapText="1"/>
      <protection locked="0"/>
    </xf>
    <xf numFmtId="49" fontId="55" fillId="2" borderId="14"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46" xfId="10" applyNumberFormat="1" applyFont="1" applyFill="1" applyBorder="1" applyAlignment="1" applyProtection="1">
      <alignment horizontal="center" vertical="center" wrapText="1"/>
    </xf>
    <xf numFmtId="49" fontId="55" fillId="0" borderId="11" xfId="10" applyNumberFormat="1" applyFont="1" applyFill="1" applyBorder="1" applyAlignment="1" applyProtection="1">
      <alignment horizontal="center" vertical="center" wrapText="1"/>
      <protection locked="0"/>
    </xf>
    <xf numFmtId="49" fontId="55" fillId="2" borderId="7" xfId="10" applyNumberFormat="1" applyFont="1" applyFill="1" applyBorder="1" applyAlignment="1" applyProtection="1">
      <alignment horizontal="center" vertical="center" wrapText="1"/>
      <protection locked="0"/>
    </xf>
    <xf numFmtId="49" fontId="55" fillId="2" borderId="41" xfId="10" applyNumberFormat="1" applyFont="1" applyFill="1" applyBorder="1" applyAlignment="1" applyProtection="1">
      <alignment horizontal="center" vertical="center" wrapText="1"/>
      <protection locked="0"/>
    </xf>
    <xf numFmtId="0" fontId="48" fillId="6" borderId="58" xfId="10" applyFont="1" applyFill="1" applyBorder="1" applyAlignment="1" applyProtection="1">
      <alignment horizontal="center" vertical="center" wrapText="1"/>
    </xf>
    <xf numFmtId="0" fontId="62" fillId="6" borderId="14" xfId="10" applyNumberFormat="1" applyFont="1" applyFill="1" applyBorder="1" applyAlignment="1" applyProtection="1">
      <alignment horizontal="center" vertical="center" wrapText="1"/>
    </xf>
    <xf numFmtId="49" fontId="55" fillId="6" borderId="11" xfId="10" applyNumberFormat="1" applyFont="1" applyFill="1" applyBorder="1" applyAlignment="1" applyProtection="1">
      <alignment horizontal="center" vertical="center" wrapText="1"/>
    </xf>
    <xf numFmtId="0" fontId="55" fillId="2" borderId="37" xfId="10" applyNumberFormat="1" applyFont="1" applyFill="1" applyBorder="1" applyAlignment="1" applyProtection="1">
      <alignment horizontal="center" vertical="center" wrapText="1"/>
      <protection locked="0"/>
    </xf>
    <xf numFmtId="0" fontId="55" fillId="6" borderId="5" xfId="10" applyNumberFormat="1" applyFont="1" applyFill="1" applyBorder="1" applyAlignment="1" applyProtection="1">
      <alignment horizontal="center" vertical="center" wrapText="1"/>
    </xf>
    <xf numFmtId="0" fontId="48" fillId="0" borderId="5" xfId="10" applyFont="1" applyFill="1" applyBorder="1" applyAlignment="1" applyProtection="1">
      <alignment horizontal="center" vertical="center" wrapText="1"/>
      <protection locked="0"/>
    </xf>
    <xf numFmtId="0" fontId="99" fillId="0" borderId="37" xfId="10" applyNumberFormat="1" applyFont="1" applyFill="1" applyBorder="1" applyAlignment="1" applyProtection="1">
      <alignment horizontal="center" vertical="center" wrapText="1"/>
      <protection locked="0"/>
    </xf>
    <xf numFmtId="0" fontId="48" fillId="2" borderId="41" xfId="10" applyNumberFormat="1" applyFont="1" applyFill="1" applyBorder="1" applyAlignment="1" applyProtection="1">
      <alignment horizontal="center" vertical="center" wrapText="1"/>
      <protection locked="0"/>
    </xf>
    <xf numFmtId="0" fontId="48" fillId="6" borderId="8" xfId="10" applyNumberFormat="1" applyFont="1" applyFill="1" applyBorder="1" applyAlignment="1" applyProtection="1">
      <alignment horizontal="center" vertical="center" wrapText="1"/>
    </xf>
    <xf numFmtId="0" fontId="48" fillId="6" borderId="4" xfId="10" applyNumberFormat="1" applyFont="1" applyFill="1" applyBorder="1" applyAlignment="1" applyProtection="1">
      <alignment horizontal="center" vertical="center" wrapText="1"/>
    </xf>
    <xf numFmtId="0" fontId="55" fillId="2" borderId="6" xfId="10"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0" fontId="55" fillId="6" borderId="11"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73" fillId="6" borderId="14" xfId="10" applyFont="1" applyFill="1" applyBorder="1" applyAlignment="1" applyProtection="1">
      <alignment vertical="center" textRotation="255" wrapText="1"/>
    </xf>
    <xf numFmtId="0" fontId="48" fillId="0" borderId="37" xfId="10" applyNumberFormat="1" applyFont="1" applyFill="1" applyBorder="1" applyAlignment="1" applyProtection="1">
      <alignment horizontal="center" vertical="center" wrapText="1"/>
      <protection locked="0"/>
    </xf>
    <xf numFmtId="0" fontId="53" fillId="6" borderId="0" xfId="10" applyFont="1" applyFill="1" applyBorder="1" applyAlignment="1" applyProtection="1">
      <alignment horizontal="center" vertical="center"/>
      <protection locked="0"/>
    </xf>
    <xf numFmtId="0" fontId="55" fillId="6" borderId="14"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0" borderId="0" xfId="10" applyFont="1" applyFill="1" applyAlignment="1" applyProtection="1">
      <alignment horizontal="center" vertical="center"/>
      <protection locked="0"/>
    </xf>
    <xf numFmtId="0" fontId="54" fillId="6" borderId="14" xfId="10" applyFont="1" applyFill="1" applyBorder="1" applyAlignment="1" applyProtection="1">
      <alignment vertical="center" textRotation="255" wrapText="1"/>
    </xf>
    <xf numFmtId="0" fontId="55" fillId="2" borderId="23" xfId="10" applyFont="1" applyFill="1" applyBorder="1" applyAlignment="1" applyProtection="1">
      <alignment horizontal="center" vertical="center" wrapText="1"/>
      <protection locked="0"/>
    </xf>
    <xf numFmtId="49" fontId="55" fillId="2" borderId="23" xfId="10" applyNumberFormat="1" applyFont="1" applyFill="1" applyBorder="1" applyAlignment="1" applyProtection="1">
      <alignment horizontal="center" vertical="center" wrapText="1"/>
      <protection locked="0"/>
    </xf>
    <xf numFmtId="0" fontId="116" fillId="6" borderId="14" xfId="10" applyFont="1" applyFill="1" applyBorder="1" applyAlignment="1" applyProtection="1">
      <alignment vertical="center" textRotation="255" wrapText="1"/>
    </xf>
    <xf numFmtId="9" fontId="107" fillId="0" borderId="37" xfId="10" applyNumberFormat="1" applyFont="1" applyFill="1" applyBorder="1" applyAlignment="1" applyProtection="1">
      <alignment horizontal="center" vertical="center" wrapText="1"/>
      <protection locked="0"/>
    </xf>
    <xf numFmtId="181" fontId="107" fillId="6" borderId="0" xfId="10" applyNumberFormat="1" applyFont="1" applyFill="1" applyBorder="1" applyAlignment="1" applyProtection="1">
      <alignment horizontal="center" vertical="center" wrapText="1"/>
      <protection locked="0"/>
    </xf>
    <xf numFmtId="0" fontId="107" fillId="6" borderId="0" xfId="10" applyFont="1" applyFill="1" applyBorder="1" applyAlignment="1" applyProtection="1">
      <alignment horizontal="center" vertical="center"/>
      <protection locked="0"/>
    </xf>
    <xf numFmtId="0" fontId="107" fillId="6" borderId="1" xfId="10" applyFont="1" applyFill="1" applyBorder="1" applyAlignment="1" applyProtection="1">
      <alignment horizontal="center" vertical="center" wrapText="1"/>
    </xf>
    <xf numFmtId="188" fontId="107" fillId="6" borderId="5" xfId="10" applyNumberFormat="1" applyFont="1" applyFill="1" applyBorder="1" applyAlignment="1" applyProtection="1">
      <alignment horizontal="center" vertical="center"/>
    </xf>
    <xf numFmtId="49" fontId="107" fillId="6" borderId="3" xfId="10" applyNumberFormat="1" applyFont="1" applyFill="1" applyBorder="1" applyAlignment="1" applyProtection="1">
      <alignment horizontal="center" vertical="center"/>
    </xf>
    <xf numFmtId="0" fontId="107" fillId="6" borderId="15" xfId="10" applyFont="1" applyFill="1" applyBorder="1" applyAlignment="1" applyProtection="1">
      <alignment horizontal="center" vertical="center"/>
    </xf>
    <xf numFmtId="0" fontId="107" fillId="6" borderId="1" xfId="10" applyFont="1" applyFill="1" applyBorder="1" applyAlignment="1" applyProtection="1">
      <alignment horizontal="center" vertical="center"/>
    </xf>
    <xf numFmtId="0" fontId="107" fillId="6" borderId="1" xfId="10" applyNumberFormat="1" applyFont="1" applyFill="1" applyBorder="1" applyAlignment="1" applyProtection="1">
      <alignment horizontal="center" vertical="center"/>
    </xf>
    <xf numFmtId="0" fontId="107" fillId="0" borderId="0" xfId="10" applyFont="1" applyFill="1" applyAlignment="1" applyProtection="1">
      <alignment horizontal="center" vertical="center"/>
      <protection locked="0"/>
    </xf>
    <xf numFmtId="0" fontId="50" fillId="6" borderId="14" xfId="10" applyFont="1" applyFill="1" applyBorder="1" applyAlignment="1" applyProtection="1">
      <alignment vertical="center" textRotation="255" wrapText="1"/>
    </xf>
    <xf numFmtId="0" fontId="54" fillId="6" borderId="14" xfId="10" applyNumberFormat="1" applyFont="1" applyFill="1" applyBorder="1" applyAlignment="1" applyProtection="1">
      <alignment vertical="center" textRotation="255" wrapText="1"/>
    </xf>
    <xf numFmtId="0" fontId="55" fillId="6" borderId="0" xfId="10" applyNumberFormat="1"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protection locked="0"/>
    </xf>
    <xf numFmtId="0" fontId="55" fillId="6" borderId="1" xfId="10" applyNumberFormat="1" applyFont="1" applyFill="1" applyBorder="1" applyAlignment="1" applyProtection="1">
      <alignment horizontal="center" vertical="center" wrapText="1"/>
    </xf>
    <xf numFmtId="0" fontId="55" fillId="6" borderId="5" xfId="10" applyNumberFormat="1" applyFont="1" applyFill="1" applyBorder="1" applyAlignment="1" applyProtection="1">
      <alignment horizontal="center" vertical="center"/>
    </xf>
    <xf numFmtId="0" fontId="55" fillId="6" borderId="3" xfId="10" applyNumberFormat="1" applyFont="1" applyFill="1" applyBorder="1" applyAlignment="1" applyProtection="1">
      <alignment horizontal="center" vertical="center"/>
    </xf>
    <xf numFmtId="0" fontId="55" fillId="6" borderId="15" xfId="10" applyNumberFormat="1" applyFont="1" applyFill="1" applyBorder="1" applyAlignment="1" applyProtection="1">
      <alignment horizontal="center" vertical="center"/>
    </xf>
    <xf numFmtId="0" fontId="55" fillId="0" borderId="0" xfId="10" applyNumberFormat="1" applyFont="1" applyFill="1" applyAlignment="1" applyProtection="1">
      <alignment horizontal="center" vertical="center"/>
      <protection locked="0"/>
    </xf>
    <xf numFmtId="0" fontId="55" fillId="6" borderId="5" xfId="10" applyFont="1" applyFill="1" applyBorder="1" applyAlignment="1" applyProtection="1">
      <alignment horizontal="center" vertical="center" wrapText="1"/>
    </xf>
    <xf numFmtId="0" fontId="54" fillId="6" borderId="12" xfId="10" applyFont="1" applyFill="1" applyBorder="1" applyAlignment="1" applyProtection="1">
      <alignment vertical="center" textRotation="255" wrapText="1"/>
    </xf>
    <xf numFmtId="0" fontId="55" fillId="6" borderId="41" xfId="10" applyFont="1" applyFill="1" applyBorder="1" applyAlignment="1" applyProtection="1">
      <alignment horizontal="center" vertical="center" textRotation="255" wrapText="1"/>
    </xf>
    <xf numFmtId="0" fontId="55" fillId="6" borderId="2" xfId="10" applyFont="1" applyFill="1" applyBorder="1" applyAlignment="1" applyProtection="1">
      <alignment horizontal="center" vertical="center" textRotation="255" wrapText="1"/>
    </xf>
    <xf numFmtId="49" fontId="54" fillId="6" borderId="51" xfId="10" applyNumberFormat="1" applyFont="1" applyFill="1" applyBorder="1" applyAlignment="1" applyProtection="1">
      <alignment vertical="center"/>
    </xf>
    <xf numFmtId="49" fontId="54" fillId="6" borderId="20" xfId="10" applyNumberFormat="1" applyFont="1" applyFill="1" applyBorder="1" applyAlignment="1" applyProtection="1">
      <alignment vertical="center"/>
    </xf>
    <xf numFmtId="0" fontId="54" fillId="6" borderId="51" xfId="10" applyNumberFormat="1" applyFont="1" applyFill="1" applyBorder="1" applyAlignment="1" applyProtection="1">
      <alignment horizontal="right" vertical="center" wrapText="1"/>
    </xf>
    <xf numFmtId="0" fontId="54" fillId="6" borderId="21" xfId="10" applyNumberFormat="1" applyFont="1" applyFill="1" applyBorder="1" applyAlignment="1" applyProtection="1">
      <alignment vertical="center" wrapText="1"/>
    </xf>
    <xf numFmtId="0" fontId="74" fillId="3" borderId="20" xfId="10" applyNumberFormat="1" applyFont="1" applyFill="1" applyBorder="1" applyAlignment="1" applyProtection="1">
      <alignment vertical="center" wrapText="1"/>
      <protection locked="0"/>
    </xf>
    <xf numFmtId="0" fontId="74" fillId="6" borderId="20" xfId="10" applyNumberFormat="1" applyFont="1" applyFill="1" applyBorder="1" applyAlignment="1" applyProtection="1">
      <alignment vertical="center" wrapText="1"/>
    </xf>
    <xf numFmtId="0" fontId="74" fillId="3" borderId="51" xfId="10" applyNumberFormat="1" applyFont="1" applyFill="1" applyBorder="1" applyAlignment="1" applyProtection="1">
      <alignment vertical="center" wrapText="1"/>
      <protection locked="0"/>
    </xf>
    <xf numFmtId="0" fontId="74" fillId="6" borderId="21" xfId="10" applyNumberFormat="1" applyFont="1" applyFill="1" applyBorder="1" applyAlignment="1" applyProtection="1">
      <alignment vertical="center" wrapText="1"/>
    </xf>
    <xf numFmtId="189" fontId="55" fillId="6" borderId="3" xfId="10" applyNumberFormat="1" applyFont="1" applyFill="1" applyBorder="1" applyAlignment="1" applyProtection="1">
      <alignment horizontal="center" vertical="center"/>
    </xf>
    <xf numFmtId="181" fontId="55" fillId="6" borderId="0" xfId="10" applyNumberFormat="1" applyFont="1" applyFill="1" applyBorder="1" applyAlignment="1" applyProtection="1">
      <alignment vertical="center" wrapText="1"/>
      <protection locked="0"/>
    </xf>
    <xf numFmtId="0" fontId="55" fillId="6" borderId="0" xfId="10" applyFont="1" applyFill="1" applyAlignment="1" applyProtection="1">
      <alignment horizontal="center" vertical="center"/>
      <protection locked="0"/>
    </xf>
    <xf numFmtId="0" fontId="55" fillId="6" borderId="1" xfId="10" applyFont="1" applyFill="1" applyBorder="1" applyAlignment="1" applyProtection="1">
      <alignment horizontal="center" vertical="center" wrapText="1"/>
    </xf>
    <xf numFmtId="0" fontId="55" fillId="6" borderId="0" xfId="10" applyFont="1" applyFill="1" applyAlignment="1" applyProtection="1">
      <alignment horizontal="center" vertical="center"/>
    </xf>
    <xf numFmtId="0" fontId="55" fillId="6" borderId="2" xfId="10" applyFont="1" applyFill="1" applyBorder="1" applyAlignment="1" applyProtection="1">
      <alignment vertical="center" textRotation="255" wrapText="1"/>
    </xf>
    <xf numFmtId="49" fontId="54" fillId="6" borderId="38" xfId="10" applyNumberFormat="1" applyFont="1" applyFill="1" applyBorder="1" applyAlignment="1" applyProtection="1">
      <alignment vertical="center"/>
    </xf>
    <xf numFmtId="49" fontId="54" fillId="6" borderId="52" xfId="10" applyNumberFormat="1" applyFont="1" applyFill="1" applyBorder="1" applyAlignment="1" applyProtection="1">
      <alignment vertical="center"/>
    </xf>
    <xf numFmtId="0" fontId="54" fillId="6" borderId="38" xfId="10" applyNumberFormat="1" applyFont="1" applyFill="1" applyBorder="1" applyAlignment="1" applyProtection="1">
      <alignment vertical="center" wrapText="1"/>
    </xf>
    <xf numFmtId="0" fontId="54" fillId="6" borderId="68" xfId="10" applyNumberFormat="1" applyFont="1" applyFill="1" applyBorder="1" applyAlignment="1" applyProtection="1">
      <alignment vertical="center" wrapText="1"/>
    </xf>
    <xf numFmtId="0" fontId="54" fillId="6" borderId="52" xfId="10" applyNumberFormat="1" applyFont="1" applyFill="1" applyBorder="1" applyAlignment="1" applyProtection="1">
      <alignment vertical="center" wrapText="1"/>
    </xf>
    <xf numFmtId="189" fontId="55" fillId="6" borderId="3" xfId="10" applyNumberFormat="1" applyFont="1" applyFill="1" applyBorder="1" applyAlignment="1" applyProtection="1">
      <alignment horizontal="center" vertical="center" wrapText="1"/>
    </xf>
    <xf numFmtId="0" fontId="55" fillId="6" borderId="1" xfId="10" applyNumberFormat="1" applyFont="1" applyFill="1" applyBorder="1" applyAlignment="1" applyProtection="1">
      <alignment horizontal="center" vertical="center"/>
    </xf>
    <xf numFmtId="49" fontId="54" fillId="0" borderId="42" xfId="10" applyNumberFormat="1" applyFont="1" applyFill="1" applyBorder="1" applyAlignment="1" applyProtection="1">
      <alignment vertical="center"/>
      <protection locked="0"/>
    </xf>
    <xf numFmtId="49" fontId="54" fillId="0" borderId="43" xfId="10" applyNumberFormat="1" applyFont="1" applyFill="1" applyBorder="1" applyAlignment="1" applyProtection="1">
      <alignment vertical="center"/>
      <protection locked="0"/>
    </xf>
    <xf numFmtId="0" fontId="54" fillId="6" borderId="47" xfId="10" applyNumberFormat="1" applyFont="1" applyFill="1" applyBorder="1" applyAlignment="1" applyProtection="1">
      <alignment vertical="center" wrapText="1"/>
    </xf>
    <xf numFmtId="189" fontId="55" fillId="6" borderId="1" xfId="10" applyNumberFormat="1" applyFont="1" applyFill="1" applyBorder="1" applyAlignment="1" applyProtection="1">
      <alignment horizontal="center" vertical="center" wrapText="1"/>
    </xf>
    <xf numFmtId="0" fontId="55" fillId="6" borderId="5" xfId="10" applyFont="1" applyFill="1" applyBorder="1" applyAlignment="1" applyProtection="1">
      <alignment horizontal="center" vertical="center" wrapText="1"/>
    </xf>
    <xf numFmtId="0" fontId="55" fillId="6" borderId="3"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9" fontId="55" fillId="6" borderId="0" xfId="10" applyNumberFormat="1" applyFont="1" applyFill="1" applyAlignment="1" applyProtection="1">
      <alignment horizontal="center" vertical="center"/>
      <protection locked="0"/>
    </xf>
    <xf numFmtId="189" fontId="55" fillId="6" borderId="0" xfId="10" applyNumberFormat="1" applyFont="1" applyFill="1" applyAlignment="1" applyProtection="1">
      <alignment horizontal="center" vertical="center"/>
      <protection locked="0"/>
    </xf>
    <xf numFmtId="181" fontId="55" fillId="6" borderId="0" xfId="10" applyNumberFormat="1" applyFont="1" applyFill="1" applyAlignment="1" applyProtection="1">
      <alignment horizontal="center" vertical="center"/>
      <protection locked="0"/>
    </xf>
    <xf numFmtId="0" fontId="55" fillId="6" borderId="18" xfId="10" applyFont="1" applyFill="1" applyBorder="1" applyAlignment="1" applyProtection="1">
      <alignment horizontal="center" vertical="center"/>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181" fontId="55" fillId="6" borderId="5" xfId="10" applyNumberFormat="1" applyFont="1" applyFill="1" applyBorder="1" applyAlignment="1" applyProtection="1">
      <alignment horizontal="center" vertical="center"/>
    </xf>
    <xf numFmtId="181" fontId="55" fillId="6" borderId="3" xfId="10" applyNumberFormat="1" applyFont="1" applyFill="1" applyBorder="1" applyAlignment="1" applyProtection="1">
      <alignment vertical="center"/>
    </xf>
    <xf numFmtId="0" fontId="54" fillId="6" borderId="3" xfId="10" applyFont="1" applyFill="1" applyBorder="1" applyAlignment="1" applyProtection="1">
      <alignment horizontal="center" vertical="center" wrapText="1"/>
    </xf>
    <xf numFmtId="0" fontId="72" fillId="6" borderId="0" xfId="10" applyFont="1" applyFill="1" applyAlignment="1" applyProtection="1">
      <alignment horizontal="center" vertical="center"/>
      <protection locked="0"/>
    </xf>
    <xf numFmtId="189" fontId="72" fillId="6" borderId="0" xfId="10" applyNumberFormat="1" applyFont="1" applyFill="1" applyAlignment="1" applyProtection="1">
      <alignment horizontal="center" vertical="center"/>
      <protection locked="0"/>
    </xf>
    <xf numFmtId="181" fontId="72" fillId="6" borderId="0" xfId="10" applyNumberFormat="1" applyFont="1" applyFill="1" applyAlignment="1" applyProtection="1">
      <alignment horizontal="center" vertical="center"/>
      <protection locked="0"/>
    </xf>
    <xf numFmtId="0" fontId="72" fillId="6" borderId="18" xfId="10" applyFont="1" applyFill="1" applyBorder="1" applyAlignment="1" applyProtection="1">
      <alignment horizontal="center" vertical="center"/>
    </xf>
    <xf numFmtId="0" fontId="72" fillId="6" borderId="0" xfId="10" applyFont="1" applyFill="1" applyAlignment="1" applyProtection="1">
      <alignment horizontal="center" vertical="center"/>
    </xf>
    <xf numFmtId="0" fontId="72" fillId="0" borderId="0" xfId="10"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176" fontId="55" fillId="6" borderId="0" xfId="10" applyNumberFormat="1" applyFont="1" applyFill="1" applyAlignment="1" applyProtection="1">
      <alignment horizontal="center" vertical="center"/>
      <protection locked="0"/>
    </xf>
    <xf numFmtId="0" fontId="60" fillId="6" borderId="0" xfId="10" applyFont="1" applyFill="1" applyBorder="1" applyAlignment="1" applyProtection="1"/>
    <xf numFmtId="0" fontId="55" fillId="6" borderId="0" xfId="10" applyFont="1" applyFill="1" applyBorder="1" applyAlignment="1" applyProtection="1"/>
    <xf numFmtId="0" fontId="55" fillId="6" borderId="0" xfId="10" applyFont="1" applyFill="1" applyBorder="1" applyAlignment="1" applyProtection="1">
      <alignment horizontal="center"/>
    </xf>
    <xf numFmtId="189" fontId="55" fillId="6" borderId="0" xfId="10" applyNumberFormat="1" applyFont="1" applyFill="1" applyBorder="1" applyAlignment="1" applyProtection="1">
      <alignment horizontal="center"/>
    </xf>
    <xf numFmtId="181" fontId="55" fillId="6" borderId="0" xfId="10" applyNumberFormat="1" applyFont="1" applyFill="1" applyBorder="1" applyAlignment="1" applyProtection="1">
      <protection locked="0"/>
    </xf>
    <xf numFmtId="0" fontId="55" fillId="6" borderId="0" xfId="10" applyFont="1" applyFill="1" applyBorder="1" applyAlignment="1" applyProtection="1">
      <protection locked="0"/>
    </xf>
    <xf numFmtId="0" fontId="55" fillId="6" borderId="18" xfId="10" applyFont="1" applyFill="1" applyBorder="1" applyAlignment="1" applyProtection="1"/>
    <xf numFmtId="9" fontId="48" fillId="6" borderId="0" xfId="10" applyNumberFormat="1" applyFont="1" applyFill="1" applyBorder="1" applyAlignment="1" applyProtection="1">
      <alignment horizontal="center" vertical="center" wrapText="1"/>
    </xf>
    <xf numFmtId="0" fontId="50" fillId="6" borderId="16" xfId="10" applyNumberFormat="1" applyFont="1" applyFill="1" applyBorder="1" applyAlignment="1" applyProtection="1">
      <alignment vertical="center" wrapText="1"/>
    </xf>
    <xf numFmtId="0" fontId="50" fillId="6" borderId="39" xfId="10" applyNumberFormat="1" applyFont="1" applyFill="1" applyBorder="1" applyAlignment="1" applyProtection="1">
      <alignment vertical="center" wrapText="1"/>
    </xf>
    <xf numFmtId="190" fontId="48" fillId="6" borderId="30" xfId="10" applyNumberFormat="1" applyFont="1" applyFill="1" applyBorder="1" applyAlignment="1" applyProtection="1">
      <alignment horizontal="center" vertical="center" wrapText="1"/>
    </xf>
    <xf numFmtId="190" fontId="48" fillId="6" borderId="9" xfId="10" applyNumberFormat="1" applyFont="1" applyFill="1" applyBorder="1" applyAlignment="1" applyProtection="1">
      <alignment horizontal="center" vertical="center" wrapText="1"/>
    </xf>
    <xf numFmtId="49" fontId="48" fillId="0" borderId="18" xfId="10" applyNumberFormat="1" applyFont="1" applyFill="1" applyBorder="1" applyAlignment="1" applyProtection="1">
      <alignment horizontal="center" vertical="center"/>
      <protection locked="0"/>
    </xf>
    <xf numFmtId="49" fontId="48" fillId="0" borderId="0" xfId="10" applyNumberFormat="1" applyFont="1" applyFill="1" applyAlignment="1" applyProtection="1">
      <alignment horizontal="center" vertical="center"/>
      <protection locked="0"/>
    </xf>
    <xf numFmtId="0" fontId="50" fillId="6" borderId="18" xfId="10" applyNumberFormat="1" applyFont="1" applyFill="1" applyBorder="1" applyAlignment="1" applyProtection="1">
      <alignment vertical="center" wrapText="1"/>
    </xf>
    <xf numFmtId="0" fontId="50" fillId="6" borderId="35" xfId="10" applyNumberFormat="1" applyFont="1" applyFill="1" applyBorder="1" applyAlignment="1" applyProtection="1">
      <alignment vertical="center" wrapText="1"/>
    </xf>
    <xf numFmtId="0" fontId="55" fillId="6" borderId="13" xfId="10" applyNumberFormat="1" applyFont="1" applyFill="1" applyBorder="1" applyAlignment="1" applyProtection="1">
      <alignment horizontal="center" vertical="center" wrapText="1"/>
      <protection locked="0"/>
    </xf>
    <xf numFmtId="0" fontId="48" fillId="0" borderId="13" xfId="10" applyNumberFormat="1" applyFont="1" applyFill="1" applyBorder="1" applyAlignment="1" applyProtection="1">
      <alignment horizontal="center" vertical="center" wrapText="1"/>
      <protection locked="0"/>
    </xf>
    <xf numFmtId="0" fontId="48" fillId="0" borderId="46" xfId="10" applyNumberFormat="1" applyFont="1" applyFill="1" applyBorder="1" applyAlignment="1" applyProtection="1">
      <alignment horizontal="center" vertical="center" wrapText="1"/>
      <protection locked="0"/>
    </xf>
    <xf numFmtId="9" fontId="48" fillId="0" borderId="18" xfId="10" applyNumberFormat="1" applyFont="1" applyFill="1" applyBorder="1" applyAlignment="1" applyProtection="1">
      <alignment horizontal="center" vertical="center" wrapText="1"/>
      <protection locked="0"/>
    </xf>
    <xf numFmtId="0" fontId="50" fillId="6" borderId="42" xfId="10" applyNumberFormat="1" applyFont="1" applyFill="1" applyBorder="1" applyAlignment="1" applyProtection="1">
      <alignment vertical="center"/>
    </xf>
    <xf numFmtId="0" fontId="50" fillId="6" borderId="73" xfId="10" applyNumberFormat="1" applyFont="1" applyFill="1" applyBorder="1" applyAlignment="1" applyProtection="1">
      <alignment vertical="center" wrapText="1"/>
    </xf>
    <xf numFmtId="0" fontId="48" fillId="0" borderId="73"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5" xfId="10" applyNumberFormat="1" applyFont="1" applyFill="1" applyBorder="1" applyAlignment="1" applyProtection="1">
      <alignment horizontal="center" vertical="center" wrapText="1"/>
      <protection locked="0"/>
    </xf>
    <xf numFmtId="9" fontId="48" fillId="0" borderId="0" xfId="10" applyNumberFormat="1" applyFont="1" applyFill="1" applyBorder="1" applyAlignment="1" applyProtection="1">
      <alignment horizontal="center" vertical="center" wrapText="1"/>
      <protection locked="0"/>
    </xf>
    <xf numFmtId="0" fontId="50" fillId="6" borderId="58" xfId="10" applyNumberFormat="1" applyFont="1" applyFill="1" applyBorder="1" applyAlignment="1" applyProtection="1">
      <alignment vertical="center" wrapText="1"/>
    </xf>
    <xf numFmtId="0" fontId="48" fillId="6" borderId="7" xfId="10" applyNumberFormat="1" applyFont="1" applyFill="1" applyBorder="1" applyAlignment="1" applyProtection="1">
      <alignment horizontal="center" vertical="center" wrapText="1"/>
    </xf>
    <xf numFmtId="0" fontId="48" fillId="0" borderId="2"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8" xfId="10" applyNumberFormat="1" applyFont="1" applyFill="1" applyBorder="1" applyAlignment="1" applyProtection="1">
      <alignment horizontal="center" vertical="center" wrapText="1"/>
      <protection locked="0"/>
    </xf>
    <xf numFmtId="0" fontId="48" fillId="6" borderId="0" xfId="10" applyNumberFormat="1" applyFont="1" applyFill="1" applyBorder="1" applyAlignment="1" applyProtection="1">
      <alignment horizontal="center" vertical="center" wrapText="1"/>
      <protection locked="0"/>
    </xf>
    <xf numFmtId="0" fontId="105" fillId="0" borderId="18" xfId="10" applyFont="1" applyFill="1" applyBorder="1" applyAlignment="1" applyProtection="1">
      <alignment vertical="center"/>
      <protection locked="0"/>
    </xf>
    <xf numFmtId="0" fontId="48" fillId="0" borderId="22"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vertical="center" wrapText="1"/>
    </xf>
    <xf numFmtId="0" fontId="48" fillId="6" borderId="17"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55" fillId="0" borderId="9"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10" xfId="10" applyNumberFormat="1" applyFont="1" applyFill="1" applyBorder="1" applyAlignment="1" applyProtection="1">
      <alignment horizontal="center" vertical="center" wrapText="1"/>
      <protection locked="0"/>
    </xf>
    <xf numFmtId="0" fontId="72" fillId="6" borderId="0" xfId="10" applyNumberFormat="1" applyFont="1" applyFill="1" applyBorder="1" applyAlignment="1" applyProtection="1">
      <alignment horizontal="center" vertical="center" wrapText="1"/>
      <protection locked="0"/>
    </xf>
    <xf numFmtId="0" fontId="48" fillId="0" borderId="18" xfId="10"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vertical="center" wrapText="1"/>
    </xf>
    <xf numFmtId="0" fontId="53" fillId="6" borderId="77" xfId="10" applyNumberFormat="1" applyFont="1" applyFill="1" applyBorder="1" applyAlignment="1" applyProtection="1">
      <alignment horizontal="center" vertical="center" wrapText="1"/>
    </xf>
    <xf numFmtId="0" fontId="55" fillId="0" borderId="78" xfId="10" applyNumberFormat="1" applyFont="1" applyFill="1" applyBorder="1" applyAlignment="1" applyProtection="1">
      <alignment horizontal="center" vertical="center" wrapText="1"/>
      <protection locked="0"/>
    </xf>
    <xf numFmtId="0" fontId="55" fillId="0" borderId="79"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5" xfId="10" applyNumberFormat="1" applyFont="1" applyFill="1" applyBorder="1" applyAlignment="1" applyProtection="1">
      <alignment horizontal="center" vertical="center" wrapText="1"/>
    </xf>
    <xf numFmtId="0" fontId="48" fillId="6" borderId="77"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55" fillId="6" borderId="79" xfId="10" applyNumberFormat="1" applyFont="1" applyFill="1" applyBorder="1" applyAlignment="1" applyProtection="1">
      <alignment horizontal="center" vertical="center" wrapText="1"/>
    </xf>
    <xf numFmtId="0" fontId="48" fillId="6" borderId="15"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5" fillId="0" borderId="1"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left" vertical="center" wrapText="1"/>
      <protection locked="0"/>
    </xf>
    <xf numFmtId="0" fontId="72" fillId="0" borderId="2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0" fontId="48" fillId="0" borderId="44"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5"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18" xfId="10"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53" fillId="0" borderId="18" xfId="10" applyFont="1" applyFill="1" applyBorder="1" applyAlignment="1" applyProtection="1">
      <alignment horizontal="center" vertical="center"/>
      <protection locked="0"/>
    </xf>
    <xf numFmtId="9" fontId="53" fillId="0" borderId="0" xfId="10" applyNumberFormat="1" applyFont="1" applyFill="1" applyBorder="1" applyAlignment="1" applyProtection="1">
      <alignment horizontal="center" vertical="center"/>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18" xfId="10" applyFont="1" applyFill="1" applyBorder="1" applyAlignment="1" applyProtection="1">
      <alignment vertical="center" wrapText="1"/>
      <protection locked="0"/>
    </xf>
    <xf numFmtId="0" fontId="73" fillId="6" borderId="12" xfId="10" applyNumberFormat="1" applyFont="1" applyFill="1" applyBorder="1" applyAlignment="1" applyProtection="1">
      <alignment vertical="center" wrapText="1"/>
    </xf>
    <xf numFmtId="0" fontId="48" fillId="6" borderId="74" xfId="10" applyNumberFormat="1" applyFont="1" applyFill="1" applyBorder="1" applyAlignment="1" applyProtection="1">
      <alignment horizontal="center" vertical="center" wrapText="1"/>
    </xf>
    <xf numFmtId="0" fontId="48" fillId="0" borderId="32"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48" fillId="6" borderId="9"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10" xfId="10" applyNumberFormat="1" applyFont="1" applyFill="1" applyBorder="1" applyAlignment="1" applyProtection="1">
      <alignment horizontal="center" vertical="center" wrapText="1"/>
    </xf>
    <xf numFmtId="0" fontId="48" fillId="0" borderId="18" xfId="10" applyFont="1" applyFill="1" applyBorder="1" applyAlignment="1" applyProtection="1">
      <alignment vertical="center" wrapText="1"/>
      <protection locked="0"/>
    </xf>
    <xf numFmtId="0" fontId="48" fillId="6" borderId="44"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5" fillId="6" borderId="45" xfId="10" applyNumberFormat="1" applyFont="1" applyFill="1" applyBorder="1" applyAlignment="1" applyProtection="1">
      <alignment horizontal="center" vertical="center" wrapText="1"/>
    </xf>
    <xf numFmtId="0" fontId="50" fillId="6" borderId="14" xfId="10" applyNumberFormat="1" applyFont="1" applyFill="1" applyBorder="1" applyAlignment="1" applyProtection="1">
      <alignment vertical="center" wrapText="1"/>
    </xf>
    <xf numFmtId="0" fontId="138" fillId="0" borderId="44"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left" vertical="center" wrapText="1"/>
      <protection locked="0"/>
    </xf>
    <xf numFmtId="0" fontId="48" fillId="0" borderId="45" xfId="10" applyNumberFormat="1" applyFont="1" applyFill="1" applyBorder="1" applyAlignment="1" applyProtection="1">
      <alignment horizontal="center" vertical="center" wrapText="1"/>
      <protection locked="0"/>
    </xf>
    <xf numFmtId="0" fontId="48" fillId="6" borderId="78" xfId="10" applyNumberFormat="1" applyFont="1" applyFill="1" applyBorder="1" applyAlignment="1" applyProtection="1">
      <alignment horizontal="center" vertical="center" wrapText="1"/>
    </xf>
    <xf numFmtId="0" fontId="48" fillId="0" borderId="83" xfId="10" applyNumberFormat="1" applyFont="1" applyFill="1" applyBorder="1" applyAlignment="1" applyProtection="1">
      <alignment horizontal="center" vertical="center"/>
      <protection locked="0"/>
    </xf>
    <xf numFmtId="58" fontId="48"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5"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72" fillId="0" borderId="2" xfId="10" applyNumberFormat="1" applyFont="1" applyFill="1" applyBorder="1" applyAlignment="1" applyProtection="1">
      <alignment horizontal="center" vertical="center" wrapText="1"/>
      <protection locked="0"/>
    </xf>
    <xf numFmtId="0" fontId="72" fillId="0" borderId="2" xfId="10" applyNumberFormat="1" applyFont="1" applyFill="1" applyBorder="1" applyAlignment="1" applyProtection="1">
      <alignment horizontal="left" vertical="center" wrapText="1"/>
      <protection locked="0"/>
    </xf>
    <xf numFmtId="0" fontId="72" fillId="0" borderId="8" xfId="10" applyNumberFormat="1" applyFont="1" applyFill="1" applyBorder="1" applyAlignment="1" applyProtection="1">
      <alignment horizontal="center" vertical="center" wrapText="1"/>
      <protection locked="0"/>
    </xf>
    <xf numFmtId="0" fontId="54" fillId="6" borderId="12" xfId="10" applyNumberFormat="1" applyFont="1" applyFill="1" applyBorder="1" applyAlignment="1" applyProtection="1">
      <alignment vertical="center" wrapText="1"/>
    </xf>
    <xf numFmtId="0" fontId="55" fillId="0" borderId="32"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center" vertical="center" wrapText="1"/>
      <protection locked="0"/>
    </xf>
    <xf numFmtId="0" fontId="48" fillId="6" borderId="45" xfId="10" applyNumberFormat="1" applyFont="1" applyFill="1" applyBorder="1" applyAlignment="1" applyProtection="1">
      <alignment horizontal="center" vertical="center" wrapText="1"/>
    </xf>
    <xf numFmtId="0" fontId="73" fillId="6" borderId="14" xfId="10" applyNumberFormat="1" applyFont="1" applyFill="1" applyBorder="1" applyAlignment="1" applyProtection="1">
      <alignment vertical="center" textRotation="255" wrapText="1"/>
    </xf>
    <xf numFmtId="0" fontId="48" fillId="6" borderId="58" xfId="10" applyNumberFormat="1" applyFont="1" applyFill="1" applyBorder="1" applyAlignment="1" applyProtection="1">
      <alignment horizontal="center" vertical="center"/>
    </xf>
    <xf numFmtId="0" fontId="48" fillId="0" borderId="1"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24" xfId="10" applyNumberFormat="1" applyFont="1" applyFill="1" applyBorder="1" applyAlignment="1" applyProtection="1">
      <alignment horizontal="center" vertical="center" wrapText="1"/>
      <protection locked="0"/>
    </xf>
    <xf numFmtId="0" fontId="48" fillId="6" borderId="1" xfId="10" applyNumberFormat="1" applyFont="1" applyFill="1" applyBorder="1" applyAlignment="1" applyProtection="1">
      <alignment horizontal="center" vertical="center" wrapText="1"/>
    </xf>
    <xf numFmtId="0" fontId="55" fillId="0" borderId="15"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center" vertical="center" wrapText="1"/>
      <protection locked="0"/>
    </xf>
    <xf numFmtId="0" fontId="72" fillId="0" borderId="15" xfId="10" applyNumberFormat="1" applyFont="1" applyFill="1" applyBorder="1" applyAlignment="1" applyProtection="1">
      <alignment horizontal="left" vertical="center" wrapText="1"/>
      <protection locked="0"/>
    </xf>
    <xf numFmtId="0" fontId="72" fillId="0" borderId="53" xfId="10" applyNumberFormat="1" applyFont="1" applyFill="1" applyBorder="1" applyAlignment="1" applyProtection="1">
      <alignment horizontal="center" vertical="center" wrapText="1"/>
      <protection locked="0"/>
    </xf>
    <xf numFmtId="0" fontId="105" fillId="0" borderId="44" xfId="10" applyNumberFormat="1" applyFont="1" applyFill="1" applyBorder="1" applyAlignment="1" applyProtection="1">
      <alignment horizontal="center" vertical="center" wrapText="1"/>
      <protection locked="0"/>
    </xf>
    <xf numFmtId="189" fontId="55" fillId="0" borderId="0" xfId="10" applyNumberFormat="1" applyFont="1" applyFill="1" applyAlignment="1" applyProtection="1">
      <alignment horizontal="center" vertical="center"/>
      <protection locked="0"/>
    </xf>
    <xf numFmtId="181" fontId="55" fillId="0" borderId="0" xfId="10" applyNumberFormat="1" applyFont="1" applyFill="1" applyAlignment="1" applyProtection="1">
      <alignment horizontal="center" vertical="center"/>
      <protection locked="0"/>
    </xf>
    <xf numFmtId="0" fontId="55" fillId="0" borderId="18" xfId="10" applyFont="1" applyFill="1" applyBorder="1" applyAlignment="1" applyProtection="1">
      <alignment horizontal="center" vertical="center"/>
      <protection locked="0"/>
    </xf>
    <xf numFmtId="0" fontId="138" fillId="0" borderId="46" xfId="0" applyFont="1" applyFill="1" applyBorder="1" applyAlignment="1" applyProtection="1">
      <alignment horizontal="center" vertical="center" wrapText="1"/>
      <protection locked="0"/>
    </xf>
    <xf numFmtId="0" fontId="116" fillId="6" borderId="14" xfId="0" applyFont="1" applyFill="1" applyBorder="1" applyAlignment="1" applyProtection="1">
      <alignment vertical="center" textRotation="255" wrapText="1"/>
    </xf>
    <xf numFmtId="0" fontId="107" fillId="6" borderId="5" xfId="0" applyFont="1" applyFill="1" applyBorder="1" applyAlignment="1" applyProtection="1">
      <alignment horizontal="center" vertical="center" wrapText="1"/>
    </xf>
    <xf numFmtId="9" fontId="107" fillId="0" borderId="37" xfId="0" applyNumberFormat="1" applyFont="1" applyFill="1" applyBorder="1" applyAlignment="1" applyProtection="1">
      <alignment horizontal="center" vertical="center" wrapText="1"/>
      <protection locked="0"/>
    </xf>
    <xf numFmtId="0" fontId="107" fillId="6" borderId="24" xfId="0" applyNumberFormat="1" applyFont="1" applyFill="1" applyBorder="1" applyAlignment="1" applyProtection="1">
      <alignment horizontal="center" vertical="center" wrapText="1"/>
    </xf>
    <xf numFmtId="0" fontId="107" fillId="6" borderId="5" xfId="0" applyNumberFormat="1" applyFont="1" applyFill="1" applyBorder="1" applyAlignment="1" applyProtection="1">
      <alignment horizontal="center" vertical="center" wrapText="1"/>
    </xf>
    <xf numFmtId="0" fontId="187" fillId="0" borderId="3" xfId="0" applyNumberFormat="1" applyFont="1" applyFill="1" applyBorder="1" applyAlignment="1" applyProtection="1">
      <alignment horizontal="center" vertical="center" wrapText="1"/>
      <protection locked="0"/>
    </xf>
    <xf numFmtId="181" fontId="107" fillId="6" borderId="0" xfId="0" applyNumberFormat="1" applyFont="1" applyFill="1" applyBorder="1" applyAlignment="1" applyProtection="1">
      <alignment horizontal="center" vertical="center" wrapText="1"/>
      <protection locked="0"/>
    </xf>
    <xf numFmtId="0" fontId="107" fillId="6" borderId="0"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188" fontId="107" fillId="6" borderId="5" xfId="0" applyNumberFormat="1" applyFont="1" applyFill="1" applyBorder="1" applyAlignment="1" applyProtection="1">
      <alignment horizontal="center" vertical="center"/>
    </xf>
    <xf numFmtId="49" fontId="107" fillId="6" borderId="3" xfId="0" applyNumberFormat="1"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1" xfId="0" applyFont="1" applyFill="1" applyBorder="1" applyAlignment="1" applyProtection="1">
      <alignment horizontal="center" vertical="center"/>
    </xf>
    <xf numFmtId="0" fontId="107" fillId="6" borderId="1" xfId="0" applyNumberFormat="1" applyFont="1" applyFill="1" applyBorder="1" applyAlignment="1" applyProtection="1">
      <alignment horizontal="center" vertical="center"/>
    </xf>
    <xf numFmtId="0" fontId="107" fillId="0" borderId="0" xfId="0" applyFont="1" applyFill="1" applyAlignment="1" applyProtection="1">
      <alignment horizontal="center" vertical="center"/>
      <protection locked="0"/>
    </xf>
    <xf numFmtId="0" fontId="116" fillId="6" borderId="14" xfId="0" applyFont="1" applyFill="1" applyBorder="1" applyAlignment="1" applyProtection="1">
      <alignment vertical="center" wrapText="1"/>
    </xf>
    <xf numFmtId="49" fontId="107" fillId="2" borderId="23" xfId="0" applyNumberFormat="1" applyFont="1" applyFill="1" applyBorder="1" applyAlignment="1" applyProtection="1">
      <alignment horizontal="center" vertical="center" wrapText="1"/>
      <protection locked="0"/>
    </xf>
    <xf numFmtId="49" fontId="107" fillId="2" borderId="3"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cellXfs>
  <cellStyles count="23">
    <cellStyle name="Comma 2" xfId="14"/>
    <cellStyle name="Comma 30 2" xfId="15"/>
    <cellStyle name="Normal 3" xfId="16"/>
    <cellStyle name="Percent 2" xfId="17"/>
    <cellStyle name="百分比 2" xfId="18"/>
    <cellStyle name="常规" xfId="0" builtinId="0"/>
    <cellStyle name="常规 10" xfId="13"/>
    <cellStyle name="常规 16" xfId="10"/>
    <cellStyle name="常规 2" xfId="1"/>
    <cellStyle name="常规 2 2" xfId="8"/>
    <cellStyle name="常规 2 2 2" xfId="19"/>
    <cellStyle name="常规 2 3" xfId="20"/>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21"/>
    <cellStyle name="千位分隔 3 4" xfId="22"/>
  </cellStyles>
  <dxfs count="250">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887;&#29983;&#28304;/&#26368;&#32456;/&#29616;&#25151;&#65288;&#30887;&#29983;&#28304;&#22823;&#21414;&#65289;0422&#65288;&#20462;&#25913;&#32467;&#26524;&#349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元)"/>
      <sheetName val="假设开发法"/>
      <sheetName val="比较法-办公"/>
      <sheetName val="比较法-商业"/>
      <sheetName val="商业案例"/>
      <sheetName val="比较法-车位"/>
      <sheetName val="收益法（汇总）"/>
      <sheetName val="收益法（办公）"/>
      <sheetName val="收益法 (元)"/>
      <sheetName val="酒店收入计算"/>
      <sheetName val="比较法-住宅"/>
      <sheetName val="收益法（商业）"/>
      <sheetName val="收益法（车位）"/>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
      <sheetName val="成本法（废）"/>
      <sheetName val="区片价"/>
      <sheetName val="因素修正幅度"/>
      <sheetName val="存贷款利率"/>
      <sheetName val="区片价（范围）"/>
      <sheetName val="现金流预测审核报告"/>
      <sheetName val="租赁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收益法（办公）</v>
          </cell>
        </row>
        <row r="19">
          <cell r="A19" t="str">
            <v>宿舍</v>
          </cell>
          <cell r="B19" t="str">
            <v>收益法（商业）</v>
          </cell>
        </row>
        <row r="20">
          <cell r="A20" t="str">
            <v>食堂</v>
          </cell>
          <cell r="B20" t="str">
            <v>收益法（车位）</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2">
          <cell r="I2">
            <v>864.49</v>
          </cell>
        </row>
        <row r="3">
          <cell r="I3">
            <v>1239.8</v>
          </cell>
        </row>
        <row r="71">
          <cell r="I71">
            <v>108.66</v>
          </cell>
        </row>
        <row r="72">
          <cell r="I72">
            <v>107.66</v>
          </cell>
        </row>
        <row r="73">
          <cell r="I73">
            <v>107.33</v>
          </cell>
        </row>
        <row r="74">
          <cell r="I74">
            <v>101.71</v>
          </cell>
        </row>
        <row r="75">
          <cell r="I75">
            <v>55.77</v>
          </cell>
        </row>
        <row r="76">
          <cell r="I76">
            <v>77.069999999999993</v>
          </cell>
        </row>
        <row r="77">
          <cell r="I77">
            <v>74.77</v>
          </cell>
        </row>
        <row r="78">
          <cell r="I78">
            <v>74.77</v>
          </cell>
        </row>
        <row r="79">
          <cell r="I79">
            <v>74.77</v>
          </cell>
        </row>
        <row r="80">
          <cell r="I80">
            <v>74.77</v>
          </cell>
        </row>
        <row r="81">
          <cell r="I81">
            <v>74.36</v>
          </cell>
        </row>
        <row r="104">
          <cell r="I104">
            <v>8532.39</v>
          </cell>
        </row>
      </sheetData>
      <sheetData sheetId="14">
        <row r="3">
          <cell r="E3">
            <v>11628.210000000001</v>
          </cell>
        </row>
        <row r="17">
          <cell r="C17" t="str">
            <v>项目类型</v>
          </cell>
        </row>
        <row r="19">
          <cell r="C19" t="str">
            <v>办公</v>
          </cell>
          <cell r="E19">
            <v>8532.39</v>
          </cell>
        </row>
        <row r="20">
          <cell r="C20" t="str">
            <v>商业</v>
          </cell>
          <cell r="E20">
            <v>2104.29</v>
          </cell>
        </row>
        <row r="21">
          <cell r="C21" t="str">
            <v>车位</v>
          </cell>
          <cell r="E21">
            <v>991.5300000000002</v>
          </cell>
        </row>
        <row r="22">
          <cell r="E22">
            <v>0</v>
          </cell>
        </row>
        <row r="23">
          <cell r="E23">
            <v>0</v>
          </cell>
        </row>
        <row r="24">
          <cell r="E24">
            <v>0</v>
          </cell>
        </row>
        <row r="25">
          <cell r="E25">
            <v>0</v>
          </cell>
        </row>
        <row r="26">
          <cell r="E26">
            <v>0</v>
          </cell>
        </row>
        <row r="27">
          <cell r="C27" t="str">
            <v>小计</v>
          </cell>
          <cell r="E27">
            <v>11628.210000000001</v>
          </cell>
        </row>
        <row r="28">
          <cell r="C28" t="str">
            <v>设备及其他</v>
          </cell>
          <cell r="E28">
            <v>0</v>
          </cell>
        </row>
        <row r="29">
          <cell r="C29" t="str">
            <v>公共配套及物业（住宅）</v>
          </cell>
          <cell r="E29">
            <v>0</v>
          </cell>
        </row>
        <row r="30">
          <cell r="C30" t="str">
            <v>小计</v>
          </cell>
          <cell r="E30">
            <v>0</v>
          </cell>
        </row>
        <row r="31">
          <cell r="C31" t="str">
            <v>合计</v>
          </cell>
          <cell r="E31">
            <v>11628.210000000001</v>
          </cell>
        </row>
        <row r="32">
          <cell r="E32">
            <v>0</v>
          </cell>
        </row>
      </sheetData>
      <sheetData sheetId="15">
        <row r="2">
          <cell r="B2">
            <v>43185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4">
          <cell r="C4" t="str">
            <v>XX商圈，周边商业氛围，人流量</v>
          </cell>
        </row>
        <row r="6">
          <cell r="C6" t="str">
            <v>周边道路状况、公共交通通达情况、停车便捷程度（快速路西四环北路 六号线海淀五路居站 五路桥公交站  61路 79路 121路 地上停车位）</v>
          </cell>
        </row>
        <row r="7">
          <cell r="C7" t="str">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ell>
        </row>
      </sheetData>
      <sheetData sheetId="17" refreshError="1"/>
      <sheetData sheetId="18" refreshError="1"/>
      <sheetData sheetId="19" refreshError="1"/>
      <sheetData sheetId="20" refreshError="1"/>
      <sheetData sheetId="21">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cell r="C113" t="str">
            <v>甲</v>
          </cell>
          <cell r="D113" t="str">
            <v>乙</v>
          </cell>
          <cell r="E113" t="str">
            <v>丙</v>
          </cell>
        </row>
        <row r="115">
          <cell r="B115" t="str">
            <v>物业管理</v>
          </cell>
          <cell r="C115" t="str">
            <v>专业</v>
          </cell>
        </row>
        <row r="117">
          <cell r="B117" t="str">
            <v>市政基础设施</v>
          </cell>
          <cell r="C117" t="str">
            <v>六通</v>
          </cell>
        </row>
        <row r="119">
          <cell r="B119" t="str">
            <v>层高</v>
          </cell>
        </row>
        <row r="123">
          <cell r="B123" t="str">
            <v>内部装修</v>
          </cell>
          <cell r="C123" t="str">
            <v>简装</v>
          </cell>
          <cell r="D123" t="str">
            <v>毛坯</v>
          </cell>
        </row>
      </sheetData>
      <sheetData sheetId="22">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较多</v>
          </cell>
          <cell r="D90" t="str">
            <v>一般</v>
          </cell>
          <cell r="E90" t="str">
            <v>较少</v>
          </cell>
        </row>
        <row r="92">
          <cell r="B92" t="str">
            <v>楼层</v>
          </cell>
          <cell r="C92">
            <v>1</v>
          </cell>
          <cell r="D92">
            <v>2</v>
          </cell>
          <cell r="E92" t="str">
            <v>1、2层</v>
          </cell>
        </row>
        <row r="100">
          <cell r="B100" t="str">
            <v>商业类型</v>
          </cell>
          <cell r="C100" t="str">
            <v>独立商业</v>
          </cell>
          <cell r="D100" t="str">
            <v>写字楼配套商业</v>
          </cell>
          <cell r="E100" t="str">
            <v>住宅配套商业</v>
          </cell>
        </row>
        <row r="105">
          <cell r="B105" t="str">
            <v>建筑结构</v>
          </cell>
          <cell r="C105" t="str">
            <v>钢混</v>
          </cell>
        </row>
        <row r="107">
          <cell r="B107" t="str">
            <v>公共部分装修</v>
          </cell>
          <cell r="C107" t="str">
            <v>精装修</v>
          </cell>
        </row>
        <row r="112">
          <cell r="B112" t="str">
            <v>市政基础设施</v>
          </cell>
          <cell r="C112" t="str">
            <v>六通</v>
          </cell>
        </row>
        <row r="114">
          <cell r="B114" t="str">
            <v>业态</v>
          </cell>
          <cell r="C114" t="str">
            <v>可餐饮</v>
          </cell>
          <cell r="D114" t="str">
            <v>不可餐饮</v>
          </cell>
        </row>
        <row r="116">
          <cell r="B116" t="str">
            <v>层高</v>
          </cell>
        </row>
        <row r="120">
          <cell r="B120" t="str">
            <v>进深比</v>
          </cell>
        </row>
        <row r="122">
          <cell r="B122" t="str">
            <v>内部装修</v>
          </cell>
          <cell r="C122" t="str">
            <v>简装</v>
          </cell>
        </row>
      </sheetData>
      <sheetData sheetId="23" refreshError="1"/>
      <sheetData sheetId="24">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row>
        <row r="88">
          <cell r="B88" t="str">
            <v>物业等级</v>
          </cell>
        </row>
        <row r="93">
          <cell r="B93" t="str">
            <v>车位类型</v>
          </cell>
          <cell r="C93" t="str">
            <v>机械车位</v>
          </cell>
          <cell r="D93" t="str">
            <v>平面车位</v>
          </cell>
        </row>
        <row r="95">
          <cell r="B95" t="str">
            <v>是否直接入户</v>
          </cell>
        </row>
      </sheetData>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efreshError="1"/>
      <sheetData sheetId="31" refreshError="1"/>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refreshError="1"/>
      <sheetData sheetId="44" refreshError="1"/>
      <sheetData sheetId="45" refreshError="1"/>
      <sheetData sheetId="46" refreshError="1"/>
      <sheetData sheetId="47" refreshError="1"/>
      <sheetData sheetId="48"/>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北京市海淀区西四环北路160号房地产抵押价值预评估</v>
      </c>
    </row>
    <row r="3" spans="1:2" s="1591" customFormat="1">
      <c r="A3" s="1589" t="s">
        <v>1221</v>
      </c>
      <c r="B3" s="1590" t="str">
        <f>'预评函-封皮'!B40</f>
        <v>昆仑信托有限责任公司</v>
      </c>
    </row>
    <row r="4" spans="1:2" s="1591" customFormat="1">
      <c r="A4" s="1589" t="s">
        <v>1222</v>
      </c>
      <c r="B4" s="1590" t="str">
        <f ca="1">'预评函-封皮'!B46</f>
        <v>郑燚（注册号：1120070131)、王鹏（注册号：1120050019)</v>
      </c>
    </row>
    <row r="5" spans="1:2" s="1585" customFormat="1" ht="15" thickBot="1">
      <c r="A5" s="1592" t="s">
        <v>1223</v>
      </c>
      <c r="B5" s="1593" t="str">
        <f>'预评函-封皮'!B49</f>
        <v>康正预评字2018-1-0214-P01DYGJ3号</v>
      </c>
    </row>
    <row r="6" spans="1:2" s="1588" customFormat="1" ht="15" thickTop="1">
      <c r="A6" s="1586" t="s">
        <v>1224</v>
      </c>
      <c r="B6" s="1587" t="str">
        <f>'预评函-1'!A4</f>
        <v>受贵公司委托，我公司对北京市海淀区西四环北路160号房地产抵押价值进行了预评估。</v>
      </c>
    </row>
    <row r="7" spans="1:2" s="1591" customFormat="1">
      <c r="A7" s="1589" t="s">
        <v>1264</v>
      </c>
      <c r="B7" s="1590" t="str">
        <f>'预评函-1'!A7</f>
        <v>估价对象为北京市海淀区西四环北路160号房地产，为北京碧生源物业管理有限公司所有。根据，估价对象（分摊）出让国有建设用地使用权面积为0平方米，建筑面积为11628.21平方米。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海淀区西四环北路160号房地产,属北京碧生源物业管理有限公司开发建设的办公项目，该项目尚在开发建设中。根据，估价对象（分摊）出让国有建设用地使用权面积为0平方米，规划建筑面积为11628.21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2018年3月26日（评估专业人员实地查勘之日）</v>
      </c>
    </row>
    <row r="13" spans="1:2" s="1591" customFormat="1">
      <c r="A13" s="1589" t="s">
        <v>1227</v>
      </c>
      <c r="B13" s="1590" t="str">
        <f>'预评函-1'!A18</f>
        <v>本次估价的“房地产价值”是指在正常市场情况下，在价值时点2018年3月26日，估价对象规划用途为商业、办公及地下车库，土地取得方式为出让，出让国有建设用地使用权剩余土地使用年限为商业31.2年、办公及地下车库41.2年，假定未设立法定优先受偿款下的房地产市场价值。</v>
      </c>
    </row>
    <row r="14" spans="1:2" s="1591" customFormat="1">
      <c r="A14" s="1589" t="s">
        <v>1228</v>
      </c>
      <c r="B14" s="1590" t="str">
        <f>'预评函-1'!A19</f>
        <v>其中，“出让国有建设用地使用权价值”是指估价对象用途为商业、办公及地下车库，实际开发程度为宗地红线外“七通”（即通路、通电、通讯、通上水、通下水、通热、）、红线内场地平整条件下，剩余土地使用年限为商业31.2年、办公及地下车库41.2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本次评估采用的主估价方法为基准地价系数修正法和收益法。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43077</v>
      </c>
    </row>
    <row r="21" spans="1:2" s="1591" customFormat="1">
      <c r="A21" s="1589" t="s">
        <v>1235</v>
      </c>
      <c r="B21" s="1590">
        <f ca="1">'预评函-2'!D7</f>
        <v>37045</v>
      </c>
    </row>
    <row r="22" spans="1:2" s="1591" customFormat="1">
      <c r="A22" s="1589" t="s">
        <v>1236</v>
      </c>
      <c r="B22" s="1590" t="str">
        <f ca="1">'预评函-2'!D6</f>
        <v>肆亿叁仟零柒拾柒万元整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43077</v>
      </c>
    </row>
    <row r="31" spans="1:2" s="1591" customFormat="1">
      <c r="A31" s="1589" t="s">
        <v>1274</v>
      </c>
      <c r="B31" s="1590">
        <f ca="1">'预评函-2'!D15</f>
        <v>37045</v>
      </c>
    </row>
    <row r="32" spans="1:2" s="1591" customFormat="1">
      <c r="A32" s="1589" t="s">
        <v>1241</v>
      </c>
      <c r="B32" s="1590" t="str">
        <f ca="1">'预评函-2'!D14</f>
        <v>肆亿叁仟零柒拾柒万元整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北京市海淀区西四环北路160号房地产</v>
      </c>
    </row>
    <row r="42" spans="1:2" s="1591" customFormat="1">
      <c r="A42" s="1589" t="s">
        <v>1288</v>
      </c>
      <c r="B42" s="1590" t="str">
        <f>'预评函-3'!B2</f>
        <v>建筑面积</v>
      </c>
    </row>
    <row r="43" spans="1:2" s="1591" customFormat="1">
      <c r="A43" s="1589" t="s">
        <v>1289</v>
      </c>
      <c r="B43" s="1590">
        <f>'预评函-3'!B4</f>
        <v>11628.210000000001</v>
      </c>
    </row>
    <row r="44" spans="1:2" s="1591" customFormat="1">
      <c r="A44" s="1589" t="s">
        <v>1273</v>
      </c>
      <c r="B44" s="1590" t="str">
        <f>'预评函-3'!C2</f>
        <v>(分摊)土地面积</v>
      </c>
    </row>
    <row r="45" spans="1:2" s="1591" customFormat="1">
      <c r="A45" s="1589" t="s">
        <v>1245</v>
      </c>
      <c r="B45" s="1590">
        <f>'预评函-3'!C4</f>
        <v>0</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郑燚</v>
      </c>
    </row>
    <row r="71" spans="1:2">
      <c r="A71" s="1589" t="s">
        <v>1261</v>
      </c>
      <c r="B71" s="1590">
        <f ca="1">'预评函-4'!B4</f>
        <v>1120070131</v>
      </c>
    </row>
    <row r="72" spans="1:2">
      <c r="A72" s="1589" t="s">
        <v>1262</v>
      </c>
      <c r="B72" s="1598" t="str">
        <f>'预评函-4'!A5</f>
        <v>王鹏</v>
      </c>
    </row>
    <row r="73" spans="1:2" s="1585" customFormat="1" ht="15" thickBot="1">
      <c r="A73" s="1592" t="s">
        <v>1263</v>
      </c>
      <c r="B73" s="1593">
        <f ca="1">'预评函-4'!B5</f>
        <v>1120050019</v>
      </c>
    </row>
    <row r="74" spans="1:2" ht="15" thickTop="1">
      <c r="A74" s="1582" t="s">
        <v>1299</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3037</v>
      </c>
      <c r="C18" s="2013"/>
    </row>
    <row r="19" spans="1:3">
      <c r="A19" s="2012" t="s">
        <v>1768</v>
      </c>
      <c r="B19" s="2012" t="s">
        <v>3038</v>
      </c>
      <c r="C19" s="2013"/>
    </row>
    <row r="20" spans="1:3">
      <c r="A20" s="2012" t="s">
        <v>1769</v>
      </c>
      <c r="B20" s="2012" t="s">
        <v>3039</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0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办公及地下车库土地取得方式为出让，出让国有建设用地使用权剩余土地使用年限为XX年(多用途剩余年限尾数不同时，可只体现小数点后一位)，假定未设立法定优先受偿款下的房地产市场价值。</v>
      </c>
    </row>
    <row r="54" spans="1:4">
      <c r="A54" s="3002"/>
      <c r="B54" s="2020" t="s">
        <v>864</v>
      </c>
      <c r="C54" s="2017" t="s">
        <v>1281</v>
      </c>
    </row>
    <row r="55" spans="1:4">
      <c r="A55" s="3002"/>
      <c r="B55" s="2020" t="s">
        <v>865</v>
      </c>
      <c r="C55" s="2017" t="s">
        <v>1282</v>
      </c>
    </row>
    <row r="56" spans="1:4">
      <c r="A56" s="3002"/>
      <c r="B56" s="2020" t="s">
        <v>866</v>
      </c>
      <c r="C56" s="2017" t="s">
        <v>1286</v>
      </c>
    </row>
    <row r="57" spans="1:4">
      <c r="A57" s="3002"/>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003" t="str">
        <f>IF(B10="北京市","北京市",C10)&amp;F10&amp;IF('结果表（办公）'!G1="在建","出让国有建设用地使用权及在建建筑物",IF('结果表（办公）'!G1="土地","出让国有建设用地使用权",))&amp;B9&amp;"预评估"</f>
        <v>北京市海淀区西四环北路160号房地产抵押价值预评估</v>
      </c>
      <c r="C1" s="3004"/>
      <c r="D1" s="3004"/>
      <c r="E1" s="3004"/>
      <c r="F1" s="3004"/>
      <c r="G1" s="3004"/>
      <c r="H1" s="3004"/>
      <c r="I1" s="3005"/>
      <c r="J1" s="2024"/>
      <c r="K1" s="2025"/>
      <c r="L1" s="2026"/>
      <c r="M1" s="2026"/>
      <c r="N1" s="2027"/>
      <c r="O1" s="2028"/>
      <c r="P1" s="2027"/>
      <c r="Q1" s="2027"/>
      <c r="R1" s="2027"/>
      <c r="S1" s="2029" t="str">
        <f>IF(B10="北京市","北京市",C10)&amp;F10&amp;IF('结果表（办公）'!G1="在建","出让国有建设用地使用权及在建建筑物房地产抵押价值",IF('结果表（办公）'!G1="土地","出让国有建设用地使用权抵押价值",B9))</f>
        <v>北京市海淀区西四环北路160号房地产抵押价值</v>
      </c>
    </row>
    <row r="2" spans="1:19" ht="18" customHeight="1">
      <c r="A2" s="2024" t="s">
        <v>1777</v>
      </c>
      <c r="B2" s="1037" t="s">
        <v>3040</v>
      </c>
      <c r="C2" s="2031"/>
      <c r="D2" s="2024"/>
      <c r="E2" s="2032"/>
      <c r="F2" s="2032"/>
      <c r="G2" s="2024"/>
      <c r="H2" s="2024"/>
      <c r="I2" s="2024"/>
      <c r="J2" s="2024"/>
      <c r="K2" s="2025"/>
      <c r="L2" s="2026"/>
      <c r="M2" s="2026"/>
      <c r="N2" s="2027"/>
      <c r="O2" s="2028"/>
      <c r="P2" s="2027"/>
      <c r="Q2" s="2027"/>
      <c r="R2" s="2027"/>
      <c r="S2" s="2029" t="str">
        <f>IF(B10="北京市","北京市",C10)&amp;F10&amp;IF('结果表（办公）'!G1="在建","出让国有建设用地使用权及在建建筑物房地产",IF('结果表（办公）'!G1="土地","出让国有建设用地使用权","房地产"))</f>
        <v>北京市海淀区西四环北路160号房地产</v>
      </c>
    </row>
    <row r="3" spans="1:19" ht="18" customHeight="1">
      <c r="A3" s="2033" t="s">
        <v>1778</v>
      </c>
      <c r="B3" s="2034">
        <v>43185</v>
      </c>
      <c r="C3" s="2035" t="s">
        <v>1779</v>
      </c>
      <c r="D3" s="2034">
        <f>B3</f>
        <v>43185</v>
      </c>
      <c r="E3" s="2024"/>
      <c r="F3" s="2024"/>
      <c r="G3" s="2024"/>
      <c r="H3" s="2024"/>
      <c r="I3" s="2024"/>
      <c r="J3" s="2024"/>
      <c r="K3" s="2025"/>
      <c r="L3" s="2026"/>
      <c r="M3" s="2026"/>
      <c r="N3" s="2027"/>
      <c r="O3" s="2028"/>
      <c r="P3" s="2027"/>
      <c r="Q3" s="2027"/>
      <c r="R3" s="2027"/>
      <c r="S3" s="2029"/>
    </row>
    <row r="4" spans="1:19" ht="18" customHeight="1" thickBot="1">
      <c r="A4" s="2036" t="s">
        <v>1780</v>
      </c>
      <c r="B4" s="2037" t="s">
        <v>3041</v>
      </c>
      <c r="C4" s="1035">
        <f ca="1">SUMIF(注册房地产估价师,B4,估价师及机构信息!B3:B24)</f>
        <v>1120070131</v>
      </c>
      <c r="D4" s="2037" t="s">
        <v>3042</v>
      </c>
      <c r="E4" s="1036">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1781</v>
      </c>
      <c r="B5" s="2043" t="str">
        <f>B6</f>
        <v>昆仑信托有限责任公司</v>
      </c>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3283" t="s">
        <v>3043</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1783</v>
      </c>
      <c r="B7" s="2050" t="str">
        <f>C11</f>
        <v>北京碧生源物业管理有限公司</v>
      </c>
      <c r="C7" s="2047"/>
      <c r="D7" s="2048"/>
      <c r="E7" s="2032"/>
      <c r="F7" s="2040"/>
      <c r="G7" s="2040"/>
      <c r="H7" s="2040"/>
      <c r="I7" s="2040"/>
      <c r="J7" s="2040"/>
      <c r="K7" s="2051"/>
      <c r="L7" s="2026"/>
      <c r="M7" s="2026"/>
      <c r="N7" s="2027"/>
      <c r="O7" s="2028"/>
      <c r="P7" s="2027"/>
      <c r="Q7" s="2027"/>
      <c r="R7" s="2027"/>
    </row>
    <row r="8" spans="1:19" ht="18" customHeight="1">
      <c r="A8" s="2046" t="s">
        <v>1784</v>
      </c>
      <c r="B8" s="2052" t="s">
        <v>3044</v>
      </c>
      <c r="C8" s="2053"/>
      <c r="D8" s="3006" t="s">
        <v>1785</v>
      </c>
      <c r="E8" s="2054" t="s">
        <v>3045</v>
      </c>
      <c r="F8" s="2055"/>
      <c r="G8" s="2024"/>
      <c r="H8" s="2024"/>
      <c r="I8" s="2024"/>
      <c r="J8" s="2040"/>
      <c r="K8" s="2041"/>
      <c r="L8" s="2026"/>
      <c r="M8" s="2026"/>
      <c r="N8" s="2027"/>
      <c r="O8" s="2028"/>
      <c r="P8" s="2027"/>
      <c r="Q8" s="2027"/>
      <c r="R8" s="2027"/>
    </row>
    <row r="9" spans="1:19" ht="18" customHeight="1" thickBot="1">
      <c r="A9" s="2038" t="s">
        <v>1786</v>
      </c>
      <c r="B9" s="2056" t="s">
        <v>3045</v>
      </c>
      <c r="C9" s="2057"/>
      <c r="D9" s="3007"/>
      <c r="E9" s="2056" t="s">
        <v>70</v>
      </c>
      <c r="F9" s="2058"/>
      <c r="G9" s="2059"/>
      <c r="H9" s="2059"/>
      <c r="I9" s="2059"/>
      <c r="J9" s="2040"/>
      <c r="K9" s="2051"/>
      <c r="L9" s="2026"/>
      <c r="M9" s="2026"/>
      <c r="N9" s="2027"/>
      <c r="O9" s="2028"/>
      <c r="P9" s="2027"/>
      <c r="Q9" s="2027"/>
      <c r="R9" s="2027"/>
    </row>
    <row r="10" spans="1:19" ht="18" customHeight="1" thickTop="1">
      <c r="A10" s="2060" t="s">
        <v>1787</v>
      </c>
      <c r="B10" s="2061" t="s">
        <v>3046</v>
      </c>
      <c r="C10" s="2062"/>
      <c r="D10" s="2045"/>
      <c r="E10" s="2063" t="s">
        <v>1788</v>
      </c>
      <c r="F10" s="2940" t="s">
        <v>3050</v>
      </c>
      <c r="G10" s="2064"/>
      <c r="H10" s="2065"/>
      <c r="I10" s="2045"/>
      <c r="J10" s="2040"/>
      <c r="K10" s="2051"/>
      <c r="L10" s="2026"/>
      <c r="M10" s="2026"/>
      <c r="N10" s="2027"/>
      <c r="O10" s="2028"/>
      <c r="P10" s="2027"/>
      <c r="Q10" s="2027"/>
      <c r="R10" s="2027"/>
    </row>
    <row r="11" spans="1:19" ht="18" customHeight="1">
      <c r="A11" s="2066" t="s">
        <v>1789</v>
      </c>
      <c r="B11" s="2067" t="s">
        <v>3047</v>
      </c>
      <c r="C11" s="3284" t="s">
        <v>3049</v>
      </c>
      <c r="D11" s="2068"/>
      <c r="E11" s="2040"/>
      <c r="F11" s="2040"/>
      <c r="G11" s="2040"/>
      <c r="H11" s="2040"/>
      <c r="I11" s="2040"/>
      <c r="J11" s="2040"/>
      <c r="K11" s="2051"/>
      <c r="L11" s="2026"/>
      <c r="M11" s="2026"/>
      <c r="N11" s="2027"/>
      <c r="O11" s="2028"/>
      <c r="P11" s="2027"/>
      <c r="Q11" s="2027"/>
      <c r="R11" s="2027"/>
    </row>
    <row r="12" spans="1:19" ht="18" customHeight="1">
      <c r="A12" s="2069" t="s">
        <v>1790</v>
      </c>
      <c r="B12" s="2067" t="s">
        <v>3048</v>
      </c>
      <c r="C12" s="2070" t="s">
        <v>1791</v>
      </c>
      <c r="D12" s="2071" t="s">
        <v>1792</v>
      </c>
      <c r="E12" s="2071" t="s">
        <v>1793</v>
      </c>
      <c r="F12" s="2071" t="s">
        <v>1794</v>
      </c>
      <c r="G12" s="2071" t="s">
        <v>1795</v>
      </c>
      <c r="H12" s="2071" t="s">
        <v>1796</v>
      </c>
      <c r="I12" s="2071" t="s">
        <v>1797</v>
      </c>
      <c r="J12" s="2040"/>
      <c r="K12" s="2051"/>
      <c r="L12" s="2026"/>
      <c r="M12" s="2026"/>
      <c r="N12" s="2027"/>
      <c r="O12" s="2028"/>
      <c r="P12" s="2027"/>
      <c r="Q12" s="2027"/>
      <c r="R12" s="2027"/>
    </row>
    <row r="13" spans="1:19" ht="18" customHeight="1">
      <c r="A13" s="2072"/>
      <c r="B13" s="2073"/>
      <c r="C13" s="2074" t="s">
        <v>1798</v>
      </c>
      <c r="D13" s="2075"/>
      <c r="E13" s="2075">
        <v>54584</v>
      </c>
      <c r="F13" s="2075">
        <v>58236</v>
      </c>
      <c r="G13" s="2075">
        <v>58236</v>
      </c>
      <c r="H13" s="2075"/>
      <c r="I13" s="1045"/>
      <c r="J13" s="2040"/>
      <c r="K13" s="2051"/>
      <c r="L13" s="2026"/>
      <c r="M13" s="2026"/>
      <c r="N13" s="2027"/>
      <c r="O13" s="2028"/>
      <c r="P13" s="2027"/>
      <c r="Q13" s="2027"/>
      <c r="R13" s="2027"/>
    </row>
    <row r="14" spans="1:19" ht="18" customHeight="1">
      <c r="A14" s="2072"/>
      <c r="B14" s="2073"/>
      <c r="C14" s="2074" t="s">
        <v>1799</v>
      </c>
      <c r="D14" s="1048"/>
      <c r="E14" s="1048">
        <v>40</v>
      </c>
      <c r="F14" s="1048">
        <v>50</v>
      </c>
      <c r="G14" s="1048">
        <v>50</v>
      </c>
      <c r="H14" s="1048"/>
      <c r="I14" s="1048"/>
      <c r="J14" s="2040"/>
      <c r="K14" s="2076"/>
      <c r="L14" s="2026"/>
      <c r="M14" s="2026"/>
      <c r="N14" s="2027"/>
      <c r="O14" s="2028"/>
      <c r="P14" s="2027"/>
      <c r="Q14" s="2027"/>
      <c r="R14" s="2027"/>
    </row>
    <row r="15" spans="1:19" ht="18" customHeight="1">
      <c r="A15" s="2060"/>
      <c r="B15" s="2077"/>
      <c r="C15" s="2074" t="s">
        <v>1800</v>
      </c>
      <c r="D15" s="1047" t="str">
        <f>IF(B12="出让",IF(D13="","",ROUNDDOWN(MIN((D13-$D$3)/365,D14),2)),D14)</f>
        <v/>
      </c>
      <c r="E15" s="1047">
        <f>IF(B12="出让",IF(E13="","",ROUNDDOWN(MIN((E13-$D$3)/365,E14),2)),E14)</f>
        <v>31.23</v>
      </c>
      <c r="F15" s="1047">
        <f>IF(B12="出让",IF(F13="","",ROUNDDOWN(MIN((F13-$D$3)/365,F14),2)),F14)</f>
        <v>41.23</v>
      </c>
      <c r="G15" s="1047">
        <f>IF(B12="出让",IF(G13="","",ROUNDDOWN(MIN((G13-$D$3)/365,G14),2)),G14)</f>
        <v>41.23</v>
      </c>
      <c r="H15" s="1047" t="str">
        <f>IF(B12="出让",IF(H13="","",ROUNDDOWN(MIN((H13-$D$3)/365,H14),2)),H14)</f>
        <v/>
      </c>
      <c r="I15" s="1047" t="str">
        <f>IF(B12="出让",IF(I13="","",ROUNDDOWN(MIN((I13-$D$3)/365,I14),2)),I14)</f>
        <v/>
      </c>
      <c r="J15" s="2040"/>
      <c r="K15" s="2078"/>
      <c r="L15" s="2079"/>
      <c r="M15" s="2079"/>
      <c r="N15" s="2080"/>
      <c r="O15" s="2079"/>
      <c r="P15" s="2080"/>
      <c r="Q15" s="2027"/>
      <c r="R15" s="2027"/>
    </row>
    <row r="16" spans="1:19" ht="30.75" customHeight="1">
      <c r="A16" s="2063" t="s">
        <v>1801</v>
      </c>
      <c r="B16" s="3285" t="s">
        <v>3052</v>
      </c>
      <c r="C16" s="3013"/>
      <c r="D16" s="3014"/>
      <c r="E16" s="2081" t="s">
        <v>1802</v>
      </c>
      <c r="F16" s="3015" t="s">
        <v>3053</v>
      </c>
      <c r="G16" s="3016"/>
      <c r="H16" s="3016"/>
      <c r="I16" s="3017"/>
      <c r="J16" s="2027"/>
      <c r="K16" s="2078"/>
      <c r="L16" s="2079"/>
      <c r="M16" s="2079"/>
      <c r="N16" s="2080"/>
      <c r="O16" s="2079"/>
      <c r="P16" s="2080"/>
      <c r="Q16" s="2027"/>
      <c r="R16" s="2027"/>
    </row>
    <row r="17" spans="1:22" ht="18" customHeight="1">
      <c r="A17" s="2082" t="s">
        <v>1803</v>
      </c>
      <c r="B17" s="2033" t="s">
        <v>1804</v>
      </c>
      <c r="C17" s="1052">
        <f>'数据-汇总表'!E3</f>
        <v>11628.210000000001</v>
      </c>
      <c r="D17" s="2083" t="s">
        <v>1805</v>
      </c>
      <c r="E17" s="3018" t="s">
        <v>3051</v>
      </c>
      <c r="F17" s="3019"/>
      <c r="G17" s="3019"/>
      <c r="H17" s="3019"/>
      <c r="I17" s="3020"/>
      <c r="J17" s="2027"/>
      <c r="K17" s="2084"/>
      <c r="L17" s="2079"/>
      <c r="M17" s="2079"/>
      <c r="N17" s="2080"/>
      <c r="O17" s="2079"/>
      <c r="P17" s="2080"/>
      <c r="Q17" s="2027"/>
      <c r="R17" s="2027"/>
      <c r="S17" s="2027"/>
      <c r="T17" s="2027"/>
      <c r="U17" s="2027"/>
      <c r="V17" s="2027"/>
    </row>
    <row r="18" spans="1:22" ht="36" customHeight="1" thickBot="1">
      <c r="A18" s="2085" t="s">
        <v>1806</v>
      </c>
      <c r="B18" s="2036" t="s">
        <v>1807</v>
      </c>
      <c r="C18" s="1442">
        <f>'数据-汇总表'!D3</f>
        <v>0</v>
      </c>
      <c r="D18" s="2086" t="s">
        <v>1805</v>
      </c>
      <c r="E18" s="3021"/>
      <c r="F18" s="3022"/>
      <c r="G18" s="3022"/>
      <c r="H18" s="3022"/>
      <c r="I18" s="3023"/>
      <c r="J18" s="2027"/>
      <c r="K18" s="2084"/>
      <c r="L18" s="2079"/>
      <c r="M18" s="2079"/>
      <c r="N18" s="2080"/>
      <c r="O18" s="2079"/>
      <c r="P18" s="2080"/>
      <c r="Q18" s="2027"/>
      <c r="R18" s="2027"/>
      <c r="S18" s="2027"/>
      <c r="T18" s="2027"/>
      <c r="U18" s="2027"/>
      <c r="V18" s="2027"/>
    </row>
    <row r="19" spans="1:22" ht="37.5" customHeight="1" thickTop="1" thickBot="1">
      <c r="A19" s="373" t="s">
        <v>1808</v>
      </c>
      <c r="B19" s="352" t="s">
        <v>1809</v>
      </c>
      <c r="C19" s="2087" t="s">
        <v>70</v>
      </c>
      <c r="D19" s="2088" t="s">
        <v>1810</v>
      </c>
      <c r="E19" s="2089" t="s">
        <v>70</v>
      </c>
      <c r="F19" s="2090" t="str">
        <f>IF(AND(C19="是",E19="否"),"是否提供他项权证或相关说明","")</f>
        <v/>
      </c>
      <c r="G19" s="2091"/>
      <c r="H19" s="2040"/>
      <c r="I19" s="2040"/>
      <c r="J19" s="2040"/>
      <c r="K19" s="2051"/>
      <c r="L19" s="2026"/>
      <c r="M19" s="2026"/>
      <c r="N19" s="2080"/>
      <c r="O19" s="2079"/>
      <c r="P19" s="2080"/>
      <c r="Q19" s="2027"/>
      <c r="R19" s="2027"/>
      <c r="S19" s="2027"/>
      <c r="T19" s="2027"/>
      <c r="U19" s="2027"/>
      <c r="V19" s="2027"/>
    </row>
    <row r="20" spans="1:22" ht="18" customHeight="1">
      <c r="A20" s="2092" t="s">
        <v>1811</v>
      </c>
      <c r="B20" s="3009" t="s">
        <v>1812</v>
      </c>
      <c r="C20" s="3010"/>
      <c r="D20" s="3011" t="s">
        <v>1813</v>
      </c>
      <c r="E20" s="3012"/>
      <c r="F20" s="2093" t="s">
        <v>1814</v>
      </c>
      <c r="G20" s="2040"/>
      <c r="H20" s="2040"/>
      <c r="I20" s="2040"/>
      <c r="J20" s="2040"/>
      <c r="K20" s="3008" t="s">
        <v>1815</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0"/>
      <c r="O20" s="2079"/>
      <c r="P20" s="2080"/>
      <c r="Q20" s="2027"/>
      <c r="R20" s="2027"/>
      <c r="S20" s="2027"/>
      <c r="T20" s="2027"/>
      <c r="U20" s="2027"/>
      <c r="V20" s="2027"/>
    </row>
    <row r="21" spans="1:22" ht="24.75" customHeight="1">
      <c r="A21" s="2092"/>
      <c r="B21" s="2094"/>
      <c r="C21" s="2095"/>
      <c r="D21" s="2096"/>
      <c r="E21" s="2097"/>
      <c r="F21" s="2098"/>
      <c r="G21" s="2040"/>
      <c r="H21" s="2040"/>
      <c r="I21" s="2040"/>
      <c r="J21" s="2040"/>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3054</v>
      </c>
      <c r="C22" s="2095" t="s">
        <v>1816</v>
      </c>
      <c r="D22" s="2024"/>
      <c r="E22" s="2024"/>
      <c r="F22" s="2100"/>
      <c r="G22" s="2040"/>
      <c r="H22" s="2040"/>
      <c r="I22" s="2040"/>
      <c r="J22" s="2040"/>
      <c r="K22" s="3008"/>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3" t="s">
        <v>1818</v>
      </c>
      <c r="C23" s="2102"/>
      <c r="D23" s="2103" t="s">
        <v>1818</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1819</v>
      </c>
      <c r="C24" s="2107"/>
      <c r="D24" s="2101" t="s">
        <v>1819</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1820</v>
      </c>
      <c r="C25" s="2107"/>
      <c r="D25" s="2101" t="s">
        <v>1820</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025" t="s">
        <v>1823</v>
      </c>
      <c r="B27" s="2060" t="s">
        <v>1824</v>
      </c>
      <c r="C27" s="2115" t="s">
        <v>3055</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25"/>
      <c r="B28" s="2033" t="s">
        <v>1825</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25"/>
      <c r="B29" s="2033" t="s">
        <v>1826</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26"/>
      <c r="B30" s="2033" t="s">
        <v>1827</v>
      </c>
      <c r="C30" s="3027"/>
      <c r="D30" s="3028"/>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29" t="s">
        <v>1828</v>
      </c>
      <c r="B31" s="2122" t="s">
        <v>3056</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30"/>
      <c r="B32" s="2122"/>
      <c r="C32" s="2123" t="str">
        <f>IF(B32="现房","成新及维护状况是否正常",IF(B32="在建","工程状态是否正常",IF(B32="土地","是否闲置","-")))</f>
        <v>-</v>
      </c>
      <c r="D32" s="2124"/>
      <c r="E32" s="2125"/>
      <c r="F32" s="2040"/>
      <c r="G32" s="2040"/>
      <c r="H32" s="2040"/>
      <c r="I32" s="2040"/>
      <c r="J32" s="2040"/>
      <c r="K32" s="2051"/>
      <c r="L32" s="2026"/>
      <c r="M32" s="2026"/>
      <c r="N32" s="2027"/>
      <c r="O32" s="2028"/>
      <c r="P32" s="2027"/>
      <c r="Q32" s="2027"/>
      <c r="R32" s="2027"/>
      <c r="S32" s="2027"/>
      <c r="T32" s="2027"/>
      <c r="U32" s="2027"/>
      <c r="V32" s="2027"/>
    </row>
    <row r="33" spans="1:22" ht="18" customHeight="1">
      <c r="A33" s="3030"/>
      <c r="B33" s="2126"/>
      <c r="C33" s="2066" t="str">
        <f>IF(B33="现房","成新及维护状况是否正常",IF(B33="在建","工程状态是否正常",IF(B33="土地","是否闲置","-")))</f>
        <v>-</v>
      </c>
      <c r="D33" s="2127"/>
      <c r="E33" s="2128"/>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1829</v>
      </c>
      <c r="B34" s="2129" t="s">
        <v>3057</v>
      </c>
      <c r="C34" s="2129" t="s">
        <v>3058</v>
      </c>
      <c r="D34" s="2129" t="s">
        <v>3059</v>
      </c>
      <c r="E34" s="2129" t="s">
        <v>3060</v>
      </c>
      <c r="F34" s="2129" t="s">
        <v>3061</v>
      </c>
      <c r="G34" s="2129" t="s">
        <v>3062</v>
      </c>
      <c r="H34" s="2129"/>
      <c r="I34" s="2040"/>
      <c r="J34" s="2040"/>
      <c r="K34" s="1793">
        <f>COUNTIF(B34:H34,"——")</f>
        <v>0</v>
      </c>
      <c r="L34" s="2070" t="s">
        <v>1830</v>
      </c>
      <c r="M34" s="2070" t="s">
        <v>1831</v>
      </c>
      <c r="N34" s="2070" t="s">
        <v>1832</v>
      </c>
      <c r="O34" s="2070" t="s">
        <v>1833</v>
      </c>
      <c r="P34" s="2070" t="s">
        <v>1834</v>
      </c>
      <c r="Q34" s="2070" t="s">
        <v>1835</v>
      </c>
      <c r="R34" s="2070" t="s">
        <v>1836</v>
      </c>
      <c r="S34" s="3024" t="s">
        <v>1837</v>
      </c>
      <c r="T34" s="2130" t="str">
        <f>NUMBERSTRING(7-K34,1)&amp;"通"</f>
        <v>七通</v>
      </c>
      <c r="U34" s="2027"/>
      <c r="V34" s="2027"/>
    </row>
    <row r="35" spans="1:22" ht="18" customHeight="1">
      <c r="A35" s="2131"/>
      <c r="B35" s="3031" t="s">
        <v>1838</v>
      </c>
      <c r="C35" s="3031"/>
      <c r="D35" s="3031"/>
      <c r="E35" s="3031"/>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4"/>
      <c r="T35" s="48" t="str">
        <f>IF(T34="一通",L35,IF(T34="二通",M35,IF(T34="三通",N35,IF(T34="四通",O35,IF(T34="五通",P35,IF(T34="六通",Q35,R35))))))</f>
        <v>通路、通电、通讯、通上水、通下水、通热、</v>
      </c>
      <c r="U35" s="2027"/>
      <c r="V35" s="2027"/>
    </row>
    <row r="36" spans="1:22" ht="18" customHeight="1">
      <c r="A36" s="2133"/>
      <c r="B36" s="2132" t="s">
        <v>1839</v>
      </c>
      <c r="C36" s="2132" t="s">
        <v>1840</v>
      </c>
      <c r="D36" s="2132" t="s">
        <v>1841</v>
      </c>
      <c r="E36" s="2132" t="s">
        <v>1842</v>
      </c>
      <c r="F36" s="2134"/>
      <c r="G36" s="2040"/>
      <c r="H36" s="2040"/>
      <c r="I36" s="2040"/>
      <c r="J36" s="2040"/>
      <c r="K36" s="2051"/>
      <c r="L36" s="2026"/>
      <c r="M36" s="2026"/>
      <c r="N36" s="2027"/>
      <c r="O36" s="2028"/>
      <c r="P36" s="2027"/>
      <c r="Q36" s="2027"/>
      <c r="R36" s="2027"/>
      <c r="S36" s="2027"/>
      <c r="T36" s="2027"/>
      <c r="U36" s="2027"/>
      <c r="V36" s="2027"/>
    </row>
    <row r="37" spans="1:22" ht="18" customHeight="1">
      <c r="A37" s="2135" t="s">
        <v>1843</v>
      </c>
      <c r="B37" s="2136" t="s">
        <v>137</v>
      </c>
      <c r="C37" s="2136" t="s">
        <v>137</v>
      </c>
      <c r="D37" s="2136"/>
      <c r="E37" s="2136"/>
      <c r="F37" s="2134"/>
      <c r="G37" s="2040"/>
      <c r="H37" s="2040"/>
      <c r="I37" s="2040"/>
      <c r="J37" s="2040"/>
      <c r="K37" s="2051"/>
      <c r="L37" s="2026"/>
      <c r="M37" s="2026"/>
      <c r="N37" s="2027"/>
      <c r="O37" s="2028"/>
      <c r="P37" s="2027"/>
      <c r="Q37" s="2027"/>
      <c r="R37" s="2027"/>
      <c r="S37" s="2027"/>
      <c r="T37" s="2027"/>
      <c r="U37" s="2027"/>
      <c r="V37" s="2027"/>
    </row>
    <row r="38" spans="1:22" ht="18" customHeight="1" thickBot="1">
      <c r="A38" s="2137" t="s">
        <v>1844</v>
      </c>
      <c r="B38" s="2138" t="s">
        <v>239</v>
      </c>
      <c r="C38" s="2138" t="s">
        <v>228</v>
      </c>
      <c r="D38" s="2138"/>
      <c r="E38" s="2138"/>
      <c r="F38" s="2139"/>
      <c r="G38" s="2059"/>
      <c r="H38" s="2059"/>
      <c r="I38" s="2059"/>
      <c r="J38" s="2040"/>
      <c r="K38" s="2051"/>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3" t="s">
        <v>1848</v>
      </c>
      <c r="C42" s="1793" t="s">
        <v>1849</v>
      </c>
      <c r="D42" s="1793" t="s">
        <v>1850</v>
      </c>
      <c r="E42" s="1793" t="s">
        <v>1851</v>
      </c>
      <c r="F42" s="1793" t="s">
        <v>1852</v>
      </c>
      <c r="G42" s="1793" t="s">
        <v>1853</v>
      </c>
      <c r="H42" s="1793" t="s">
        <v>1854</v>
      </c>
      <c r="I42" s="1793" t="s">
        <v>1855</v>
      </c>
      <c r="J42" s="2148" t="s">
        <v>1856</v>
      </c>
      <c r="K42" s="2071" t="s">
        <v>1857</v>
      </c>
      <c r="L42" s="2071" t="s">
        <v>1858</v>
      </c>
      <c r="M42" s="2071" t="s">
        <v>1859</v>
      </c>
      <c r="N42" s="1793" t="s">
        <v>1860</v>
      </c>
      <c r="O42" s="1793" t="s">
        <v>1861</v>
      </c>
      <c r="P42" s="1793" t="s">
        <v>1862</v>
      </c>
      <c r="Q42" s="2070" t="s">
        <v>1863</v>
      </c>
      <c r="R42" s="2070" t="s">
        <v>1864</v>
      </c>
      <c r="S42" s="2027"/>
      <c r="T42" s="2027"/>
      <c r="U42" s="2027"/>
      <c r="V42" s="2027"/>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1870</v>
      </c>
      <c r="AZ2" s="1268"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11628.210000000001</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1"/>
      <c r="C5" s="1801"/>
      <c r="D5" s="1804"/>
      <c r="E5" s="16" t="s">
        <v>1</v>
      </c>
      <c r="F5" s="16">
        <f>SUM(F13:F587)</f>
        <v>0</v>
      </c>
      <c r="G5" s="16">
        <f>SUM(G13:G587)</f>
        <v>11628.210000000001</v>
      </c>
      <c r="H5" s="16">
        <f t="shared" ref="H5:AT5" si="0">SUM(H13:H656)</f>
        <v>11628.210000000001</v>
      </c>
      <c r="I5" s="16">
        <f t="shared" si="0"/>
        <v>2104.29</v>
      </c>
      <c r="J5" s="16">
        <f t="shared" si="0"/>
        <v>0</v>
      </c>
      <c r="K5" s="16">
        <f t="shared" si="0"/>
        <v>8532.39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11628.210000000001</v>
      </c>
      <c r="BA5" s="18">
        <f t="shared" si="1"/>
        <v>11628.210000000001</v>
      </c>
      <c r="BB5" s="18">
        <f t="shared" si="1"/>
        <v>2104.29</v>
      </c>
      <c r="BC5" s="18">
        <f t="shared" si="1"/>
        <v>8532.39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1883</v>
      </c>
      <c r="AV7" s="23" t="s">
        <v>1884</v>
      </c>
      <c r="AW7" s="2162" t="s">
        <v>1885</v>
      </c>
      <c r="AX7" s="23" t="s">
        <v>1878</v>
      </c>
      <c r="AY7" s="1801"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6"/>
      <c r="K8" s="1816"/>
      <c r="L8" s="1816"/>
      <c r="M8" s="1816"/>
      <c r="N8" s="1816"/>
      <c r="O8" s="1816"/>
      <c r="P8" s="1816"/>
      <c r="Q8" s="1816"/>
      <c r="R8" s="1816"/>
      <c r="S8" s="1816"/>
      <c r="T8" s="1816"/>
      <c r="U8" s="1816"/>
      <c r="V8" s="2182"/>
      <c r="W8" s="1816"/>
      <c r="X8" s="1816"/>
      <c r="Y8" s="1816"/>
      <c r="Z8" s="1816"/>
      <c r="AA8" s="2182"/>
      <c r="AB8" s="2183"/>
      <c r="AC8" s="979" t="s">
        <v>1889</v>
      </c>
      <c r="AD8" s="2184"/>
      <c r="AE8" s="2176"/>
      <c r="AF8" s="1816"/>
      <c r="AG8" s="1816"/>
      <c r="AH8" s="1816"/>
      <c r="AI8" s="1816"/>
      <c r="AJ8" s="1816"/>
      <c r="AK8" s="1816"/>
      <c r="AL8" s="1816"/>
      <c r="AM8" s="1816"/>
      <c r="AN8" s="1816"/>
      <c r="AO8" s="1816"/>
      <c r="AP8" s="1816"/>
      <c r="AQ8" s="1816"/>
      <c r="AR8" s="1816"/>
      <c r="AS8" s="1816"/>
      <c r="AT8" s="1290" t="s">
        <v>1890</v>
      </c>
      <c r="AU8" s="2178" t="s">
        <v>1891</v>
      </c>
      <c r="AV8" s="1290"/>
      <c r="AW8" s="2161"/>
      <c r="AX8" s="1290"/>
      <c r="AY8" s="2162"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0"/>
      <c r="H9" s="2186" t="s">
        <v>1894</v>
      </c>
      <c r="I9" s="2187" t="s">
        <v>3465</v>
      </c>
      <c r="J9" s="979"/>
      <c r="K9" s="2187" t="s">
        <v>3465</v>
      </c>
      <c r="L9" s="979"/>
      <c r="M9" s="2187" t="s">
        <v>3467</v>
      </c>
      <c r="N9" s="979"/>
      <c r="O9" s="2187"/>
      <c r="P9" s="979"/>
      <c r="Q9" s="2187"/>
      <c r="R9" s="979"/>
      <c r="S9" s="2187"/>
      <c r="T9" s="979"/>
      <c r="U9" s="2187"/>
      <c r="V9" s="979"/>
      <c r="W9" s="2187"/>
      <c r="X9" s="2188"/>
      <c r="Y9" s="2187"/>
      <c r="Z9" s="979"/>
      <c r="AA9" s="2187"/>
      <c r="AB9" s="979"/>
      <c r="AC9" s="2179"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89"/>
      <c r="AT9" s="2178"/>
      <c r="AU9" s="2178" t="s">
        <v>1897</v>
      </c>
      <c r="AV9" s="1290"/>
      <c r="AW9" s="2161"/>
      <c r="AX9" s="1290"/>
      <c r="AY9" s="28"/>
      <c r="AZ9" s="28" t="s">
        <v>1887</v>
      </c>
      <c r="BA9" s="2190" t="s">
        <v>1898</v>
      </c>
      <c r="BB9" s="2191"/>
      <c r="BC9" s="1336"/>
      <c r="BD9" s="1336"/>
      <c r="BE9" s="1336"/>
      <c r="BF9" s="1336"/>
      <c r="BG9" s="1336"/>
      <c r="BH9" s="1336"/>
      <c r="BI9" s="1336"/>
      <c r="BJ9" s="1336"/>
      <c r="BK9" s="2192"/>
      <c r="BL9" s="15" t="s">
        <v>1899</v>
      </c>
      <c r="BM9" s="1816"/>
      <c r="BN9" s="2181"/>
      <c r="BO9" s="1816"/>
      <c r="BP9" s="1816"/>
      <c r="BQ9" s="1816"/>
      <c r="BR9" s="1816"/>
      <c r="BS9" s="1816"/>
      <c r="BT9" s="26"/>
    </row>
    <row r="10" spans="1:72" s="2185" customFormat="1" ht="12.75">
      <c r="A10" s="2178"/>
      <c r="B10" s="2178"/>
      <c r="C10" s="2178"/>
      <c r="D10" s="2178"/>
      <c r="E10" s="2178"/>
      <c r="F10" s="2178"/>
      <c r="G10" s="1290"/>
      <c r="H10" s="28"/>
      <c r="I10" s="2187" t="s">
        <v>1377</v>
      </c>
      <c r="J10" s="979"/>
      <c r="K10" s="2193" t="s">
        <v>27</v>
      </c>
      <c r="L10" s="979"/>
      <c r="M10" s="2193" t="s">
        <v>3468</v>
      </c>
      <c r="N10" s="979"/>
      <c r="O10" s="2193"/>
      <c r="P10" s="979"/>
      <c r="Q10" s="2193"/>
      <c r="R10" s="979"/>
      <c r="S10" s="2193"/>
      <c r="T10" s="979"/>
      <c r="U10" s="2193"/>
      <c r="V10" s="979"/>
      <c r="W10" s="2193"/>
      <c r="X10" s="979"/>
      <c r="Y10" s="2193"/>
      <c r="Z10" s="979"/>
      <c r="AA10" s="2193"/>
      <c r="AB10" s="979"/>
      <c r="AC10" s="1290"/>
      <c r="AD10" s="15" t="s">
        <v>1900</v>
      </c>
      <c r="AE10" s="2194"/>
      <c r="AF10" s="15" t="s">
        <v>1900</v>
      </c>
      <c r="AG10" s="2194"/>
      <c r="AH10" s="15" t="s">
        <v>1901</v>
      </c>
      <c r="AI10" s="2194"/>
      <c r="AJ10" s="15" t="s">
        <v>1901</v>
      </c>
      <c r="AK10" s="2194"/>
      <c r="AL10" s="15" t="s">
        <v>1902</v>
      </c>
      <c r="AM10" s="1296"/>
      <c r="AN10" s="15" t="s">
        <v>1902</v>
      </c>
      <c r="AO10" s="1296"/>
      <c r="AP10" s="15" t="s">
        <v>1903</v>
      </c>
      <c r="AQ10" s="1296"/>
      <c r="AR10" s="15" t="s">
        <v>1903</v>
      </c>
      <c r="AS10" s="1296"/>
      <c r="AT10" s="2178"/>
      <c r="AU10" s="2178"/>
      <c r="AV10" s="1290"/>
      <c r="AW10" s="2161"/>
      <c r="AX10" s="1290"/>
      <c r="AY10" s="28"/>
      <c r="AZ10" s="28"/>
      <c r="BA10" s="2195" t="s">
        <v>1894</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0"/>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1904</v>
      </c>
      <c r="AE11" s="1817"/>
      <c r="AF11" s="2200" t="s">
        <v>1904</v>
      </c>
      <c r="AG11" s="1817"/>
      <c r="AH11" s="2200" t="s">
        <v>1905</v>
      </c>
      <c r="AI11" s="2201"/>
      <c r="AJ11" s="2200" t="s">
        <v>1905</v>
      </c>
      <c r="AK11" s="1817"/>
      <c r="AL11" s="1815"/>
      <c r="AM11" s="1817"/>
      <c r="AN11" s="1815"/>
      <c r="AO11" s="1817"/>
      <c r="AP11" s="1815"/>
      <c r="AQ11" s="1817"/>
      <c r="AR11" s="1815"/>
      <c r="AS11" s="1817"/>
      <c r="AT11" s="2161"/>
      <c r="AU11" s="2178"/>
      <c r="AV11" s="1290"/>
      <c r="AW11" s="2161"/>
      <c r="AX11" s="1290"/>
      <c r="AY11" s="28"/>
      <c r="AZ11" s="28"/>
      <c r="BA11" s="28"/>
      <c r="BB11" s="2183" t="str">
        <f>I10</f>
        <v>商业</v>
      </c>
      <c r="BC11" s="2183" t="str">
        <f>K10</f>
        <v>办公</v>
      </c>
      <c r="BD11" s="2183" t="str">
        <f>M10</f>
        <v>车库—办公</v>
      </c>
      <c r="BE11" s="2183">
        <f>O10</f>
        <v>0</v>
      </c>
      <c r="BF11" s="2183">
        <f>Q10</f>
        <v>0</v>
      </c>
      <c r="BG11" s="2183">
        <f>S10</f>
        <v>0</v>
      </c>
      <c r="BH11" s="2183">
        <f>U10</f>
        <v>0</v>
      </c>
      <c r="BI11" s="2183">
        <f>W10</f>
        <v>0</v>
      </c>
      <c r="BJ11" s="2183">
        <f>Y10</f>
        <v>0</v>
      </c>
      <c r="BK11" s="2183">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5"/>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c r="D13" s="2209" t="s">
        <v>3466</v>
      </c>
      <c r="E13" s="16">
        <f>IF($C$3="是",ROUND($A$3*G13/$B$3,2),ROUND($A$3*(G13-AT13)/$B$3,2))</f>
        <v>0</v>
      </c>
      <c r="F13" s="32"/>
      <c r="G13" s="33">
        <f>H13+AC13+AT13</f>
        <v>11628.210000000001</v>
      </c>
      <c r="H13" s="20">
        <f>SUMIF(I$12:AB$12,"总值",I13:AB13)</f>
        <v>11628.210000000001</v>
      </c>
      <c r="I13" s="2210">
        <f>抵押物清单!I4</f>
        <v>2104.29</v>
      </c>
      <c r="J13" s="2210"/>
      <c r="K13" s="2210">
        <f>抵押物清单!I104</f>
        <v>8532.39</v>
      </c>
      <c r="L13" s="2210"/>
      <c r="M13" s="2210">
        <f>抵押物清单!I128</f>
        <v>991.5300000000002</v>
      </c>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4">
        <f>ROUND($AY$6*AZ13/$AZ$5,2)</f>
        <v>0</v>
      </c>
      <c r="AZ13" s="16">
        <f>BA13+BL13</f>
        <v>11628.210000000001</v>
      </c>
      <c r="BA13" s="16">
        <f>SUM(BB13:BK13)</f>
        <v>11628.210000000001</v>
      </c>
      <c r="BB13" s="16">
        <f>IF($D13="是",I13-J13,0)</f>
        <v>2104.29</v>
      </c>
      <c r="BC13" s="16">
        <f>IF($D13="是",K13-L13,0)</f>
        <v>8532.39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1270"/>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18" workbookViewId="0">
      <selection activeCell="E108" sqref="E108"/>
    </sheetView>
  </sheetViews>
  <sheetFormatPr defaultColWidth="8.875" defaultRowHeight="16.5"/>
  <cols>
    <col min="1" max="1" width="8.875" style="3289"/>
    <col min="2" max="2" width="20.375" style="3287" customWidth="1"/>
    <col min="3" max="3" width="19.125" style="3287" customWidth="1"/>
    <col min="4" max="4" width="20.625" style="3287" customWidth="1"/>
    <col min="5" max="5" width="19.125" style="3287" customWidth="1"/>
    <col min="6" max="6" width="10.625" style="3287" customWidth="1"/>
    <col min="7" max="7" width="13.125" style="3287" customWidth="1"/>
    <col min="8" max="8" width="10.625" style="3287" customWidth="1"/>
    <col min="9" max="9" width="12.375" style="3287" customWidth="1"/>
    <col min="10" max="10" width="9.125" style="3288" bestFit="1" customWidth="1"/>
    <col min="11" max="11" width="10.625" style="3288" bestFit="1" customWidth="1"/>
    <col min="12" max="12" width="9.125" style="3288" bestFit="1" customWidth="1"/>
    <col min="13" max="16384" width="8.875" style="3289"/>
  </cols>
  <sheetData>
    <row r="1" spans="1:12" ht="36.75" customHeight="1">
      <c r="A1" s="3286" t="s">
        <v>3063</v>
      </c>
      <c r="B1" s="3287" t="s">
        <v>3064</v>
      </c>
      <c r="C1" s="3287" t="s">
        <v>3065</v>
      </c>
      <c r="D1" s="3287" t="s">
        <v>3066</v>
      </c>
      <c r="E1" s="3287" t="s">
        <v>3067</v>
      </c>
      <c r="F1" s="3287" t="s">
        <v>3068</v>
      </c>
      <c r="G1" s="3287" t="s">
        <v>3069</v>
      </c>
      <c r="H1" s="3287" t="s">
        <v>3070</v>
      </c>
      <c r="I1" s="3287" t="s">
        <v>3071</v>
      </c>
    </row>
    <row r="2" spans="1:12" ht="36.75" customHeight="1">
      <c r="A2" s="3289">
        <v>1</v>
      </c>
      <c r="B2" s="3287" t="s">
        <v>3072</v>
      </c>
      <c r="C2" s="3287" t="s">
        <v>3073</v>
      </c>
      <c r="D2" s="3287" t="s">
        <v>3074</v>
      </c>
      <c r="E2" s="3287" t="s">
        <v>3075</v>
      </c>
      <c r="F2" s="3287" t="s">
        <v>3076</v>
      </c>
      <c r="G2" s="3287" t="s">
        <v>3077</v>
      </c>
      <c r="H2" s="3287">
        <v>1</v>
      </c>
      <c r="I2" s="3287">
        <v>864.49</v>
      </c>
      <c r="J2" s="3288">
        <v>55000</v>
      </c>
      <c r="K2" s="3288">
        <f>I2*J2</f>
        <v>47546950</v>
      </c>
    </row>
    <row r="3" spans="1:12" ht="36.75" customHeight="1">
      <c r="A3" s="3289">
        <v>2</v>
      </c>
      <c r="B3" s="3287" t="s">
        <v>3078</v>
      </c>
      <c r="C3" s="3287" t="s">
        <v>3073</v>
      </c>
      <c r="D3" s="3287" t="s">
        <v>3079</v>
      </c>
      <c r="E3" s="3287" t="s">
        <v>3080</v>
      </c>
      <c r="F3" s="3287" t="s">
        <v>3076</v>
      </c>
      <c r="G3" s="3287" t="s">
        <v>3077</v>
      </c>
      <c r="H3" s="3287">
        <v>2</v>
      </c>
      <c r="I3" s="3287">
        <v>1239.8</v>
      </c>
      <c r="J3" s="3288">
        <v>42000</v>
      </c>
      <c r="K3" s="3288">
        <f>I3*J3</f>
        <v>52071600</v>
      </c>
    </row>
    <row r="4" spans="1:12" s="3290" customFormat="1" ht="36.75" customHeight="1">
      <c r="B4" s="3291" t="s">
        <v>3081</v>
      </c>
      <c r="C4" s="3291"/>
      <c r="D4" s="3291"/>
      <c r="E4" s="3291"/>
      <c r="F4" s="3291"/>
      <c r="G4" s="3291"/>
      <c r="H4" s="3291"/>
      <c r="I4" s="3291">
        <f>SUM(I2:I3)</f>
        <v>2104.29</v>
      </c>
      <c r="J4" s="3292"/>
      <c r="K4" s="3292"/>
      <c r="L4" s="3292"/>
    </row>
    <row r="5" spans="1:12" ht="36.75" customHeight="1">
      <c r="A5" s="3289">
        <v>3</v>
      </c>
      <c r="B5" s="3287" t="s">
        <v>3082</v>
      </c>
      <c r="C5" s="3287" t="s">
        <v>3073</v>
      </c>
      <c r="D5" s="3287" t="s">
        <v>3083</v>
      </c>
      <c r="E5" s="3287" t="s">
        <v>3084</v>
      </c>
      <c r="F5" s="3287" t="s">
        <v>3085</v>
      </c>
      <c r="G5" s="3287" t="s">
        <v>3077</v>
      </c>
      <c r="H5" s="3287">
        <v>3</v>
      </c>
      <c r="I5" s="3287">
        <v>115.61</v>
      </c>
      <c r="K5" s="3288">
        <f>K2+K3</f>
        <v>99618550</v>
      </c>
      <c r="L5" s="3288">
        <f>K5/(I2+I3)</f>
        <v>47340.694486026165</v>
      </c>
    </row>
    <row r="6" spans="1:12" ht="36.75" customHeight="1">
      <c r="A6" s="3289">
        <v>4</v>
      </c>
      <c r="B6" s="3287" t="s">
        <v>3086</v>
      </c>
      <c r="C6" s="3287" t="s">
        <v>3073</v>
      </c>
      <c r="D6" s="3287" t="s">
        <v>3087</v>
      </c>
      <c r="E6" s="3287" t="s">
        <v>3088</v>
      </c>
      <c r="F6" s="3287" t="s">
        <v>3085</v>
      </c>
      <c r="G6" s="3287" t="s">
        <v>3077</v>
      </c>
      <c r="H6" s="3287">
        <v>3</v>
      </c>
      <c r="I6" s="3287">
        <v>114.51</v>
      </c>
    </row>
    <row r="7" spans="1:12" ht="36.75" customHeight="1">
      <c r="A7" s="3289">
        <v>5</v>
      </c>
      <c r="B7" s="3287" t="s">
        <v>3089</v>
      </c>
      <c r="C7" s="3287" t="s">
        <v>3073</v>
      </c>
      <c r="D7" s="3287" t="s">
        <v>3090</v>
      </c>
      <c r="E7" s="3287" t="s">
        <v>3091</v>
      </c>
      <c r="F7" s="3287" t="s">
        <v>3085</v>
      </c>
      <c r="G7" s="3287" t="s">
        <v>3077</v>
      </c>
      <c r="H7" s="3287">
        <v>3</v>
      </c>
      <c r="I7" s="3287">
        <v>110.69</v>
      </c>
    </row>
    <row r="8" spans="1:12" ht="36.75" customHeight="1">
      <c r="A8" s="3289">
        <v>6</v>
      </c>
      <c r="B8" s="3287" t="s">
        <v>3092</v>
      </c>
      <c r="C8" s="3287" t="s">
        <v>3073</v>
      </c>
      <c r="D8" s="3287" t="s">
        <v>3093</v>
      </c>
      <c r="E8" s="3287" t="s">
        <v>3094</v>
      </c>
      <c r="F8" s="3287" t="s">
        <v>3085</v>
      </c>
      <c r="G8" s="3287" t="s">
        <v>3077</v>
      </c>
      <c r="H8" s="3287">
        <v>3</v>
      </c>
      <c r="I8" s="3287">
        <v>104.89</v>
      </c>
    </row>
    <row r="9" spans="1:12" ht="36.75" customHeight="1">
      <c r="A9" s="3289">
        <v>7</v>
      </c>
      <c r="B9" s="3287" t="s">
        <v>3095</v>
      </c>
      <c r="C9" s="3287" t="s">
        <v>3073</v>
      </c>
      <c r="D9" s="3287" t="s">
        <v>3096</v>
      </c>
      <c r="E9" s="3287" t="s">
        <v>3097</v>
      </c>
      <c r="F9" s="3287" t="s">
        <v>3085</v>
      </c>
      <c r="G9" s="3287" t="s">
        <v>3077</v>
      </c>
      <c r="H9" s="3287">
        <v>3</v>
      </c>
      <c r="I9" s="3287">
        <v>57.51</v>
      </c>
    </row>
    <row r="10" spans="1:12" ht="36.75" customHeight="1">
      <c r="A10" s="3289">
        <v>8</v>
      </c>
      <c r="B10" s="3287" t="s">
        <v>3098</v>
      </c>
      <c r="C10" s="3287" t="s">
        <v>3073</v>
      </c>
      <c r="D10" s="3287" t="s">
        <v>3099</v>
      </c>
      <c r="E10" s="3287" t="s">
        <v>3100</v>
      </c>
      <c r="F10" s="3287" t="s">
        <v>3085</v>
      </c>
      <c r="G10" s="3287" t="s">
        <v>3077</v>
      </c>
      <c r="H10" s="3287">
        <v>3</v>
      </c>
      <c r="I10" s="3287">
        <v>79.48</v>
      </c>
    </row>
    <row r="11" spans="1:12" ht="36.75" customHeight="1">
      <c r="A11" s="3289">
        <v>9</v>
      </c>
      <c r="B11" s="3287" t="s">
        <v>3101</v>
      </c>
      <c r="C11" s="3287" t="s">
        <v>3073</v>
      </c>
      <c r="D11" s="3287" t="s">
        <v>3102</v>
      </c>
      <c r="E11" s="3287" t="s">
        <v>3103</v>
      </c>
      <c r="F11" s="3287" t="s">
        <v>3085</v>
      </c>
      <c r="G11" s="3287" t="s">
        <v>3077</v>
      </c>
      <c r="H11" s="3287">
        <v>3</v>
      </c>
      <c r="I11" s="3287">
        <v>77.11</v>
      </c>
    </row>
    <row r="12" spans="1:12" ht="36.75" customHeight="1">
      <c r="A12" s="3289">
        <v>10</v>
      </c>
      <c r="B12" s="3287" t="s">
        <v>3104</v>
      </c>
      <c r="C12" s="3287" t="s">
        <v>3073</v>
      </c>
      <c r="D12" s="3287" t="s">
        <v>3105</v>
      </c>
      <c r="E12" s="3287" t="s">
        <v>3106</v>
      </c>
      <c r="F12" s="3287" t="s">
        <v>3085</v>
      </c>
      <c r="G12" s="3287" t="s">
        <v>3077</v>
      </c>
      <c r="H12" s="3287">
        <v>3</v>
      </c>
      <c r="I12" s="3287">
        <v>77.11</v>
      </c>
    </row>
    <row r="13" spans="1:12" ht="36.75" customHeight="1">
      <c r="A13" s="3289">
        <v>11</v>
      </c>
      <c r="B13" s="3287" t="s">
        <v>3107</v>
      </c>
      <c r="C13" s="3287" t="s">
        <v>3073</v>
      </c>
      <c r="D13" s="3287" t="s">
        <v>3108</v>
      </c>
      <c r="E13" s="3287" t="s">
        <v>3109</v>
      </c>
      <c r="F13" s="3287" t="s">
        <v>3085</v>
      </c>
      <c r="G13" s="3287" t="s">
        <v>3077</v>
      </c>
      <c r="H13" s="3287">
        <v>3</v>
      </c>
      <c r="I13" s="3287">
        <v>77.11</v>
      </c>
    </row>
    <row r="14" spans="1:12" ht="36.75" customHeight="1">
      <c r="A14" s="3289">
        <v>12</v>
      </c>
      <c r="B14" s="3287" t="s">
        <v>3110</v>
      </c>
      <c r="C14" s="3287" t="s">
        <v>3073</v>
      </c>
      <c r="D14" s="3287" t="s">
        <v>3111</v>
      </c>
      <c r="E14" s="3287" t="s">
        <v>3112</v>
      </c>
      <c r="F14" s="3287" t="s">
        <v>3085</v>
      </c>
      <c r="G14" s="3287" t="s">
        <v>3077</v>
      </c>
      <c r="H14" s="3287">
        <v>3</v>
      </c>
      <c r="I14" s="3287">
        <v>77.11</v>
      </c>
    </row>
    <row r="15" spans="1:12" ht="36.75" customHeight="1">
      <c r="A15" s="3289">
        <v>13</v>
      </c>
      <c r="B15" s="3287" t="s">
        <v>3113</v>
      </c>
      <c r="C15" s="3287" t="s">
        <v>3073</v>
      </c>
      <c r="D15" s="3287" t="s">
        <v>3114</v>
      </c>
      <c r="E15" s="3287" t="s">
        <v>3115</v>
      </c>
      <c r="F15" s="3287" t="s">
        <v>3085</v>
      </c>
      <c r="G15" s="3287" t="s">
        <v>3077</v>
      </c>
      <c r="H15" s="3287">
        <v>3</v>
      </c>
      <c r="I15" s="3287">
        <v>76.680000000000007</v>
      </c>
    </row>
    <row r="16" spans="1:12" ht="36.75" customHeight="1">
      <c r="A16" s="3289">
        <v>14</v>
      </c>
      <c r="B16" s="3287" t="s">
        <v>3116</v>
      </c>
      <c r="C16" s="3287" t="s">
        <v>3073</v>
      </c>
      <c r="D16" s="3287" t="s">
        <v>3117</v>
      </c>
      <c r="E16" s="3287" t="s">
        <v>3118</v>
      </c>
      <c r="F16" s="3287" t="s">
        <v>3085</v>
      </c>
      <c r="G16" s="3287" t="s">
        <v>3077</v>
      </c>
      <c r="H16" s="3287">
        <v>4</v>
      </c>
      <c r="I16" s="3287">
        <v>107.34</v>
      </c>
    </row>
    <row r="17" spans="1:9" ht="36.75" customHeight="1">
      <c r="A17" s="3289">
        <v>15</v>
      </c>
      <c r="B17" s="3287" t="s">
        <v>3119</v>
      </c>
      <c r="C17" s="3287" t="s">
        <v>3073</v>
      </c>
      <c r="D17" s="3287" t="s">
        <v>3120</v>
      </c>
      <c r="E17" s="3287" t="s">
        <v>3121</v>
      </c>
      <c r="F17" s="3287" t="s">
        <v>3085</v>
      </c>
      <c r="G17" s="3287" t="s">
        <v>3077</v>
      </c>
      <c r="H17" s="3287">
        <v>4</v>
      </c>
      <c r="I17" s="3287">
        <v>106.36</v>
      </c>
    </row>
    <row r="18" spans="1:9" ht="36.75" customHeight="1">
      <c r="A18" s="3289">
        <v>16</v>
      </c>
      <c r="B18" s="3287" t="s">
        <v>3122</v>
      </c>
      <c r="C18" s="3287" t="s">
        <v>3073</v>
      </c>
      <c r="D18" s="3287" t="s">
        <v>3123</v>
      </c>
      <c r="E18" s="3287" t="s">
        <v>3124</v>
      </c>
      <c r="F18" s="3287" t="s">
        <v>3085</v>
      </c>
      <c r="G18" s="3287" t="s">
        <v>3077</v>
      </c>
      <c r="H18" s="3287">
        <v>4</v>
      </c>
      <c r="I18" s="3287">
        <v>106.03</v>
      </c>
    </row>
    <row r="19" spans="1:9" ht="36.75" customHeight="1">
      <c r="A19" s="3289">
        <v>17</v>
      </c>
      <c r="B19" s="3287" t="s">
        <v>3125</v>
      </c>
      <c r="C19" s="3287" t="s">
        <v>3073</v>
      </c>
      <c r="D19" s="3287" t="s">
        <v>3126</v>
      </c>
      <c r="E19" s="3287" t="s">
        <v>3127</v>
      </c>
      <c r="F19" s="3287" t="s">
        <v>3085</v>
      </c>
      <c r="G19" s="3287" t="s">
        <v>3077</v>
      </c>
      <c r="H19" s="3287">
        <v>4</v>
      </c>
      <c r="I19" s="3287">
        <v>100.47</v>
      </c>
    </row>
    <row r="20" spans="1:9" ht="36.75" customHeight="1">
      <c r="A20" s="3289">
        <v>18</v>
      </c>
      <c r="B20" s="3287" t="s">
        <v>3128</v>
      </c>
      <c r="C20" s="3287" t="s">
        <v>3073</v>
      </c>
      <c r="D20" s="3287" t="s">
        <v>3129</v>
      </c>
      <c r="E20" s="3287" t="s">
        <v>3130</v>
      </c>
      <c r="F20" s="3287" t="s">
        <v>3085</v>
      </c>
      <c r="G20" s="3287" t="s">
        <v>3077</v>
      </c>
      <c r="H20" s="3287">
        <v>4</v>
      </c>
      <c r="I20" s="3287">
        <v>55.09</v>
      </c>
    </row>
    <row r="21" spans="1:9" ht="36.75" customHeight="1">
      <c r="A21" s="3289">
        <v>19</v>
      </c>
      <c r="B21" s="3287" t="s">
        <v>3131</v>
      </c>
      <c r="C21" s="3287" t="s">
        <v>3073</v>
      </c>
      <c r="D21" s="3287" t="s">
        <v>3132</v>
      </c>
      <c r="E21" s="3287" t="s">
        <v>3133</v>
      </c>
      <c r="F21" s="3287" t="s">
        <v>3085</v>
      </c>
      <c r="G21" s="3287" t="s">
        <v>3077</v>
      </c>
      <c r="H21" s="3287">
        <v>4</v>
      </c>
      <c r="I21" s="3287">
        <v>76.13</v>
      </c>
    </row>
    <row r="22" spans="1:9" ht="36.75" customHeight="1">
      <c r="A22" s="3289">
        <v>20</v>
      </c>
      <c r="B22" s="3287" t="s">
        <v>3134</v>
      </c>
      <c r="C22" s="3287" t="s">
        <v>3073</v>
      </c>
      <c r="D22" s="3287" t="s">
        <v>3135</v>
      </c>
      <c r="E22" s="3287" t="s">
        <v>3136</v>
      </c>
      <c r="F22" s="3287" t="s">
        <v>3137</v>
      </c>
      <c r="G22" s="3287" t="s">
        <v>3138</v>
      </c>
      <c r="H22" s="3287">
        <v>4</v>
      </c>
      <c r="I22" s="3287">
        <v>73.86</v>
      </c>
    </row>
    <row r="23" spans="1:9" ht="36.75" customHeight="1">
      <c r="A23" s="3289">
        <v>21</v>
      </c>
      <c r="B23" s="3287" t="s">
        <v>3139</v>
      </c>
      <c r="C23" s="3287" t="s">
        <v>3140</v>
      </c>
      <c r="D23" s="3287" t="s">
        <v>3141</v>
      </c>
      <c r="E23" s="3287" t="s">
        <v>3142</v>
      </c>
      <c r="F23" s="3287" t="s">
        <v>3137</v>
      </c>
      <c r="G23" s="3287" t="s">
        <v>3138</v>
      </c>
      <c r="H23" s="3287">
        <v>4</v>
      </c>
      <c r="I23" s="3287">
        <v>73.86</v>
      </c>
    </row>
    <row r="24" spans="1:9" ht="36.75" customHeight="1">
      <c r="A24" s="3289">
        <v>22</v>
      </c>
      <c r="B24" s="3287" t="s">
        <v>3143</v>
      </c>
      <c r="C24" s="3287" t="s">
        <v>3140</v>
      </c>
      <c r="D24" s="3287" t="s">
        <v>3144</v>
      </c>
      <c r="E24" s="3287" t="s">
        <v>3145</v>
      </c>
      <c r="F24" s="3287" t="s">
        <v>3137</v>
      </c>
      <c r="G24" s="3287" t="s">
        <v>3138</v>
      </c>
      <c r="H24" s="3287">
        <v>4</v>
      </c>
      <c r="I24" s="3287">
        <v>73.86</v>
      </c>
    </row>
    <row r="25" spans="1:9" ht="36.75" customHeight="1">
      <c r="A25" s="3289">
        <v>23</v>
      </c>
      <c r="B25" s="3287" t="s">
        <v>3146</v>
      </c>
      <c r="C25" s="3287" t="s">
        <v>3140</v>
      </c>
      <c r="D25" s="3287" t="s">
        <v>3147</v>
      </c>
      <c r="E25" s="3287" t="s">
        <v>3148</v>
      </c>
      <c r="F25" s="3287" t="s">
        <v>3137</v>
      </c>
      <c r="G25" s="3287" t="s">
        <v>3138</v>
      </c>
      <c r="H25" s="3287">
        <v>4</v>
      </c>
      <c r="I25" s="3287">
        <v>73.86</v>
      </c>
    </row>
    <row r="26" spans="1:9" ht="36.75" customHeight="1">
      <c r="A26" s="3289">
        <v>24</v>
      </c>
      <c r="B26" s="3287" t="s">
        <v>3149</v>
      </c>
      <c r="C26" s="3287" t="s">
        <v>3140</v>
      </c>
      <c r="D26" s="3287" t="s">
        <v>3150</v>
      </c>
      <c r="E26" s="3287" t="s">
        <v>3151</v>
      </c>
      <c r="F26" s="3287" t="s">
        <v>3137</v>
      </c>
      <c r="G26" s="3287" t="s">
        <v>3138</v>
      </c>
      <c r="H26" s="3287">
        <v>4</v>
      </c>
      <c r="I26" s="3287">
        <v>73.45</v>
      </c>
    </row>
    <row r="27" spans="1:9" ht="36.75" customHeight="1">
      <c r="A27" s="3289">
        <v>25</v>
      </c>
      <c r="B27" s="3287" t="s">
        <v>3152</v>
      </c>
      <c r="C27" s="3287" t="s">
        <v>3140</v>
      </c>
      <c r="D27" s="3287" t="s">
        <v>3153</v>
      </c>
      <c r="E27" s="3287" t="s">
        <v>3154</v>
      </c>
      <c r="F27" s="3287" t="s">
        <v>3137</v>
      </c>
      <c r="G27" s="3287" t="s">
        <v>3138</v>
      </c>
      <c r="H27" s="3287">
        <v>5</v>
      </c>
      <c r="I27" s="3287">
        <v>108.69</v>
      </c>
    </row>
    <row r="28" spans="1:9" ht="36.75" customHeight="1">
      <c r="A28" s="3289">
        <v>26</v>
      </c>
      <c r="B28" s="3287" t="s">
        <v>3155</v>
      </c>
      <c r="C28" s="3287" t="s">
        <v>3140</v>
      </c>
      <c r="D28" s="3287" t="s">
        <v>3156</v>
      </c>
      <c r="E28" s="3287" t="s">
        <v>3157</v>
      </c>
      <c r="F28" s="3287" t="s">
        <v>3137</v>
      </c>
      <c r="G28" s="3287" t="s">
        <v>3138</v>
      </c>
      <c r="H28" s="3287">
        <v>5</v>
      </c>
      <c r="I28" s="3287">
        <v>107.7</v>
      </c>
    </row>
    <row r="29" spans="1:9" ht="36.75" customHeight="1">
      <c r="A29" s="3289">
        <v>27</v>
      </c>
      <c r="B29" s="3287" t="s">
        <v>3158</v>
      </c>
      <c r="C29" s="3287" t="s">
        <v>3140</v>
      </c>
      <c r="D29" s="3287" t="s">
        <v>3159</v>
      </c>
      <c r="E29" s="3287" t="s">
        <v>3160</v>
      </c>
      <c r="F29" s="3287" t="s">
        <v>3137</v>
      </c>
      <c r="G29" s="3287" t="s">
        <v>3138</v>
      </c>
      <c r="H29" s="3287">
        <v>5</v>
      </c>
      <c r="I29" s="3287">
        <v>107.37</v>
      </c>
    </row>
    <row r="30" spans="1:9" ht="36.75" customHeight="1">
      <c r="A30" s="3289">
        <v>28</v>
      </c>
      <c r="B30" s="3287" t="s">
        <v>3161</v>
      </c>
      <c r="C30" s="3287" t="s">
        <v>3140</v>
      </c>
      <c r="D30" s="3287" t="s">
        <v>3162</v>
      </c>
      <c r="E30" s="3287" t="s">
        <v>3163</v>
      </c>
      <c r="F30" s="3287" t="s">
        <v>3137</v>
      </c>
      <c r="G30" s="3287" t="s">
        <v>3138</v>
      </c>
      <c r="H30" s="3287">
        <v>5</v>
      </c>
      <c r="I30" s="3287">
        <v>101.74</v>
      </c>
    </row>
    <row r="31" spans="1:9" ht="36.75" customHeight="1">
      <c r="A31" s="3289">
        <v>29</v>
      </c>
      <c r="B31" s="3287" t="s">
        <v>3164</v>
      </c>
      <c r="C31" s="3287" t="s">
        <v>3140</v>
      </c>
      <c r="D31" s="3287" t="s">
        <v>3165</v>
      </c>
      <c r="E31" s="3287" t="s">
        <v>3166</v>
      </c>
      <c r="F31" s="3287" t="s">
        <v>3137</v>
      </c>
      <c r="G31" s="3287" t="s">
        <v>3138</v>
      </c>
      <c r="H31" s="3287">
        <v>5</v>
      </c>
      <c r="I31" s="3287">
        <v>55.79</v>
      </c>
    </row>
    <row r="32" spans="1:9" ht="36.75" customHeight="1">
      <c r="A32" s="3289">
        <v>30</v>
      </c>
      <c r="B32" s="3287" t="s">
        <v>3167</v>
      </c>
      <c r="C32" s="3287" t="s">
        <v>3140</v>
      </c>
      <c r="D32" s="3287" t="s">
        <v>3168</v>
      </c>
      <c r="E32" s="3287" t="s">
        <v>3169</v>
      </c>
      <c r="F32" s="3287" t="s">
        <v>3170</v>
      </c>
      <c r="G32" s="3287" t="s">
        <v>3171</v>
      </c>
      <c r="H32" s="3287">
        <v>5</v>
      </c>
      <c r="I32" s="3287">
        <v>77.09</v>
      </c>
    </row>
    <row r="33" spans="1:9" ht="36.75" customHeight="1">
      <c r="A33" s="3289">
        <v>31</v>
      </c>
      <c r="B33" s="3287" t="s">
        <v>3172</v>
      </c>
      <c r="C33" s="3287" t="s">
        <v>3173</v>
      </c>
      <c r="D33" s="3287" t="s">
        <v>3174</v>
      </c>
      <c r="E33" s="3287" t="s">
        <v>3175</v>
      </c>
      <c r="F33" s="3287" t="s">
        <v>3170</v>
      </c>
      <c r="G33" s="3287" t="s">
        <v>3171</v>
      </c>
      <c r="H33" s="3287">
        <v>5</v>
      </c>
      <c r="I33" s="3287">
        <v>74.790000000000006</v>
      </c>
    </row>
    <row r="34" spans="1:9" ht="36.75" customHeight="1">
      <c r="A34" s="3289">
        <v>32</v>
      </c>
      <c r="B34" s="3287" t="s">
        <v>3176</v>
      </c>
      <c r="C34" s="3287" t="s">
        <v>3173</v>
      </c>
      <c r="D34" s="3287" t="s">
        <v>3177</v>
      </c>
      <c r="E34" s="3287" t="s">
        <v>3178</v>
      </c>
      <c r="F34" s="3287" t="s">
        <v>3179</v>
      </c>
      <c r="G34" s="3287" t="s">
        <v>3180</v>
      </c>
      <c r="H34" s="3287">
        <v>5</v>
      </c>
      <c r="I34" s="3287">
        <v>74.790000000000006</v>
      </c>
    </row>
    <row r="35" spans="1:9" ht="36.75" customHeight="1">
      <c r="A35" s="3289">
        <v>33</v>
      </c>
      <c r="B35" s="3287" t="s">
        <v>3181</v>
      </c>
      <c r="C35" s="3287" t="s">
        <v>3182</v>
      </c>
      <c r="D35" s="3287" t="s">
        <v>3183</v>
      </c>
      <c r="E35" s="3287" t="s">
        <v>3184</v>
      </c>
      <c r="F35" s="3287" t="s">
        <v>3179</v>
      </c>
      <c r="G35" s="3287" t="s">
        <v>3180</v>
      </c>
      <c r="H35" s="3287">
        <v>5</v>
      </c>
      <c r="I35" s="3287">
        <v>74.790000000000006</v>
      </c>
    </row>
    <row r="36" spans="1:9" ht="36.75" customHeight="1">
      <c r="A36" s="3289">
        <v>34</v>
      </c>
      <c r="B36" s="3287" t="s">
        <v>3185</v>
      </c>
      <c r="C36" s="3287" t="s">
        <v>3182</v>
      </c>
      <c r="D36" s="3287" t="s">
        <v>3186</v>
      </c>
      <c r="E36" s="3287" t="s">
        <v>3187</v>
      </c>
      <c r="F36" s="3287" t="s">
        <v>3179</v>
      </c>
      <c r="G36" s="3287" t="s">
        <v>3180</v>
      </c>
      <c r="H36" s="3287">
        <v>5</v>
      </c>
      <c r="I36" s="3287">
        <v>74.790000000000006</v>
      </c>
    </row>
    <row r="37" spans="1:9" ht="36.75" customHeight="1">
      <c r="A37" s="3289">
        <v>35</v>
      </c>
      <c r="B37" s="3287" t="s">
        <v>3188</v>
      </c>
      <c r="C37" s="3287" t="s">
        <v>3182</v>
      </c>
      <c r="D37" s="3287" t="s">
        <v>3189</v>
      </c>
      <c r="E37" s="3287" t="s">
        <v>3190</v>
      </c>
      <c r="F37" s="3287" t="s">
        <v>3179</v>
      </c>
      <c r="G37" s="3287" t="s">
        <v>3180</v>
      </c>
      <c r="H37" s="3287">
        <v>5</v>
      </c>
      <c r="I37" s="3287">
        <v>74.38</v>
      </c>
    </row>
    <row r="38" spans="1:9" ht="36.75" customHeight="1">
      <c r="A38" s="3289">
        <v>36</v>
      </c>
      <c r="B38" s="3287" t="s">
        <v>3191</v>
      </c>
      <c r="C38" s="3287" t="s">
        <v>3182</v>
      </c>
      <c r="D38" s="3287" t="s">
        <v>3192</v>
      </c>
      <c r="E38" s="3287" t="s">
        <v>3193</v>
      </c>
      <c r="F38" s="3287" t="s">
        <v>3179</v>
      </c>
      <c r="G38" s="3287" t="s">
        <v>3180</v>
      </c>
      <c r="H38" s="3287">
        <v>6</v>
      </c>
      <c r="I38" s="3287">
        <v>108.69</v>
      </c>
    </row>
    <row r="39" spans="1:9" ht="36.75" customHeight="1">
      <c r="A39" s="3289">
        <v>37</v>
      </c>
      <c r="B39" s="3287" t="s">
        <v>3194</v>
      </c>
      <c r="C39" s="3287" t="s">
        <v>3182</v>
      </c>
      <c r="D39" s="3287" t="s">
        <v>3195</v>
      </c>
      <c r="E39" s="3287" t="s">
        <v>3196</v>
      </c>
      <c r="F39" s="3287" t="s">
        <v>3179</v>
      </c>
      <c r="G39" s="3287" t="s">
        <v>3180</v>
      </c>
      <c r="H39" s="3287">
        <v>6</v>
      </c>
      <c r="I39" s="3287">
        <v>107.7</v>
      </c>
    </row>
    <row r="40" spans="1:9" ht="36.75" customHeight="1">
      <c r="A40" s="3289">
        <v>38</v>
      </c>
      <c r="B40" s="3287" t="s">
        <v>3197</v>
      </c>
      <c r="C40" s="3287" t="s">
        <v>3182</v>
      </c>
      <c r="D40" s="3287" t="s">
        <v>3198</v>
      </c>
      <c r="E40" s="3287" t="s">
        <v>3199</v>
      </c>
      <c r="F40" s="3287" t="s">
        <v>3179</v>
      </c>
      <c r="G40" s="3287" t="s">
        <v>3180</v>
      </c>
      <c r="H40" s="3287">
        <v>6</v>
      </c>
      <c r="I40" s="3287">
        <v>107.37</v>
      </c>
    </row>
    <row r="41" spans="1:9" ht="36.75" customHeight="1">
      <c r="A41" s="3289">
        <v>39</v>
      </c>
      <c r="B41" s="3287" t="s">
        <v>3200</v>
      </c>
      <c r="C41" s="3287" t="s">
        <v>3182</v>
      </c>
      <c r="D41" s="3287" t="s">
        <v>3201</v>
      </c>
      <c r="E41" s="3287" t="s">
        <v>3202</v>
      </c>
      <c r="F41" s="3287" t="s">
        <v>3179</v>
      </c>
      <c r="G41" s="3287" t="s">
        <v>3180</v>
      </c>
      <c r="H41" s="3287">
        <v>6</v>
      </c>
      <c r="I41" s="3287">
        <v>101.74</v>
      </c>
    </row>
    <row r="42" spans="1:9" ht="36.75" customHeight="1">
      <c r="A42" s="3289">
        <v>40</v>
      </c>
      <c r="B42" s="3287" t="s">
        <v>3203</v>
      </c>
      <c r="C42" s="3287" t="s">
        <v>3182</v>
      </c>
      <c r="D42" s="3287" t="s">
        <v>3204</v>
      </c>
      <c r="E42" s="3287" t="s">
        <v>3205</v>
      </c>
      <c r="F42" s="3287" t="s">
        <v>3179</v>
      </c>
      <c r="G42" s="3287" t="s">
        <v>3180</v>
      </c>
      <c r="H42" s="3287">
        <v>6</v>
      </c>
      <c r="I42" s="3287">
        <v>55.78</v>
      </c>
    </row>
    <row r="43" spans="1:9" ht="36.75" customHeight="1">
      <c r="A43" s="3289">
        <v>41</v>
      </c>
      <c r="B43" s="3287" t="s">
        <v>3206</v>
      </c>
      <c r="C43" s="3287" t="s">
        <v>3182</v>
      </c>
      <c r="D43" s="3287" t="s">
        <v>3207</v>
      </c>
      <c r="E43" s="3287" t="s">
        <v>3208</v>
      </c>
      <c r="F43" s="3287" t="s">
        <v>3179</v>
      </c>
      <c r="G43" s="3287" t="s">
        <v>3180</v>
      </c>
      <c r="H43" s="3287">
        <v>6</v>
      </c>
      <c r="I43" s="3287">
        <v>77.09</v>
      </c>
    </row>
    <row r="44" spans="1:9" ht="36.75" customHeight="1">
      <c r="A44" s="3289">
        <v>42</v>
      </c>
      <c r="B44" s="3287" t="s">
        <v>3209</v>
      </c>
      <c r="C44" s="3287" t="s">
        <v>3182</v>
      </c>
      <c r="D44" s="3287" t="s">
        <v>3210</v>
      </c>
      <c r="E44" s="3287" t="s">
        <v>3211</v>
      </c>
      <c r="F44" s="3287" t="s">
        <v>3179</v>
      </c>
      <c r="G44" s="3287" t="s">
        <v>3180</v>
      </c>
      <c r="H44" s="3287">
        <v>6</v>
      </c>
      <c r="I44" s="3287">
        <v>74.790000000000006</v>
      </c>
    </row>
    <row r="45" spans="1:9" ht="36.75" customHeight="1">
      <c r="A45" s="3289">
        <v>43</v>
      </c>
      <c r="B45" s="3287" t="s">
        <v>3212</v>
      </c>
      <c r="C45" s="3287" t="s">
        <v>3182</v>
      </c>
      <c r="D45" s="3287" t="s">
        <v>3213</v>
      </c>
      <c r="E45" s="3287" t="s">
        <v>3214</v>
      </c>
      <c r="F45" s="3287" t="s">
        <v>3137</v>
      </c>
      <c r="G45" s="3287" t="s">
        <v>3138</v>
      </c>
      <c r="H45" s="3287">
        <v>6</v>
      </c>
      <c r="I45" s="3287">
        <v>74.790000000000006</v>
      </c>
    </row>
    <row r="46" spans="1:9" ht="36.75" customHeight="1">
      <c r="A46" s="3289">
        <v>44</v>
      </c>
      <c r="B46" s="3287" t="s">
        <v>3215</v>
      </c>
      <c r="C46" s="3287" t="s">
        <v>3140</v>
      </c>
      <c r="D46" s="3287" t="s">
        <v>3216</v>
      </c>
      <c r="E46" s="3287" t="s">
        <v>3217</v>
      </c>
      <c r="F46" s="3287" t="s">
        <v>3137</v>
      </c>
      <c r="G46" s="3287" t="s">
        <v>3138</v>
      </c>
      <c r="H46" s="3287">
        <v>6</v>
      </c>
      <c r="I46" s="3287">
        <v>74.790000000000006</v>
      </c>
    </row>
    <row r="47" spans="1:9" ht="36.75" customHeight="1">
      <c r="A47" s="3289">
        <v>45</v>
      </c>
      <c r="B47" s="3287" t="s">
        <v>3218</v>
      </c>
      <c r="C47" s="3287" t="s">
        <v>3140</v>
      </c>
      <c r="D47" s="3287" t="s">
        <v>3219</v>
      </c>
      <c r="E47" s="3287" t="s">
        <v>3220</v>
      </c>
      <c r="F47" s="3287" t="s">
        <v>3137</v>
      </c>
      <c r="G47" s="3287" t="s">
        <v>3138</v>
      </c>
      <c r="H47" s="3287">
        <v>6</v>
      </c>
      <c r="I47" s="3287">
        <v>74.790000000000006</v>
      </c>
    </row>
    <row r="48" spans="1:9" ht="36.75" customHeight="1">
      <c r="A48" s="3289">
        <v>46</v>
      </c>
      <c r="B48" s="3287" t="s">
        <v>3221</v>
      </c>
      <c r="C48" s="3287" t="s">
        <v>3140</v>
      </c>
      <c r="D48" s="3287" t="s">
        <v>3222</v>
      </c>
      <c r="E48" s="3287" t="s">
        <v>3223</v>
      </c>
      <c r="F48" s="3287" t="s">
        <v>3137</v>
      </c>
      <c r="G48" s="3287" t="s">
        <v>3138</v>
      </c>
      <c r="H48" s="3287">
        <v>6</v>
      </c>
      <c r="I48" s="3287">
        <v>74.38</v>
      </c>
    </row>
    <row r="49" spans="1:9" ht="36.75" customHeight="1">
      <c r="A49" s="3289">
        <v>47</v>
      </c>
      <c r="B49" s="3287" t="s">
        <v>3224</v>
      </c>
      <c r="C49" s="3287" t="s">
        <v>3140</v>
      </c>
      <c r="D49" s="3287" t="s">
        <v>3225</v>
      </c>
      <c r="E49" s="3287" t="s">
        <v>3226</v>
      </c>
      <c r="F49" s="3287" t="s">
        <v>3137</v>
      </c>
      <c r="G49" s="3287" t="s">
        <v>3138</v>
      </c>
      <c r="H49" s="3287">
        <v>7</v>
      </c>
      <c r="I49" s="3287">
        <v>108.69</v>
      </c>
    </row>
    <row r="50" spans="1:9" ht="36.75" customHeight="1">
      <c r="A50" s="3289">
        <v>48</v>
      </c>
      <c r="B50" s="3287" t="s">
        <v>3227</v>
      </c>
      <c r="C50" s="3287" t="s">
        <v>3140</v>
      </c>
      <c r="D50" s="3287" t="s">
        <v>3228</v>
      </c>
      <c r="E50" s="3287" t="s">
        <v>3229</v>
      </c>
      <c r="F50" s="3287" t="s">
        <v>3137</v>
      </c>
      <c r="G50" s="3287" t="s">
        <v>3138</v>
      </c>
      <c r="H50" s="3287">
        <v>7</v>
      </c>
      <c r="I50" s="3287">
        <v>107.7</v>
      </c>
    </row>
    <row r="51" spans="1:9" ht="36.75" customHeight="1">
      <c r="A51" s="3289">
        <v>49</v>
      </c>
      <c r="B51" s="3287" t="s">
        <v>3230</v>
      </c>
      <c r="C51" s="3287" t="s">
        <v>3140</v>
      </c>
      <c r="D51" s="3287" t="s">
        <v>3231</v>
      </c>
      <c r="E51" s="3287" t="s">
        <v>3232</v>
      </c>
      <c r="F51" s="3287" t="s">
        <v>3137</v>
      </c>
      <c r="G51" s="3287" t="s">
        <v>3138</v>
      </c>
      <c r="H51" s="3287">
        <v>7</v>
      </c>
      <c r="I51" s="3287">
        <v>107.37</v>
      </c>
    </row>
    <row r="52" spans="1:9" ht="36.75" customHeight="1">
      <c r="A52" s="3289">
        <v>50</v>
      </c>
      <c r="B52" s="3287" t="s">
        <v>3233</v>
      </c>
      <c r="C52" s="3287" t="s">
        <v>3140</v>
      </c>
      <c r="D52" s="3287" t="s">
        <v>3234</v>
      </c>
      <c r="E52" s="3287" t="s">
        <v>3235</v>
      </c>
      <c r="F52" s="3287" t="s">
        <v>3137</v>
      </c>
      <c r="G52" s="3287" t="s">
        <v>3138</v>
      </c>
      <c r="H52" s="3287">
        <v>7</v>
      </c>
      <c r="I52" s="3287">
        <v>101.74</v>
      </c>
    </row>
    <row r="53" spans="1:9" ht="36.75" customHeight="1">
      <c r="A53" s="3289">
        <v>51</v>
      </c>
      <c r="B53" s="3287" t="s">
        <v>3236</v>
      </c>
      <c r="C53" s="3287" t="s">
        <v>3140</v>
      </c>
      <c r="D53" s="3287" t="s">
        <v>3237</v>
      </c>
      <c r="E53" s="3287" t="s">
        <v>3238</v>
      </c>
      <c r="F53" s="3287" t="s">
        <v>3137</v>
      </c>
      <c r="G53" s="3287" t="s">
        <v>3138</v>
      </c>
      <c r="H53" s="3287">
        <v>7</v>
      </c>
      <c r="I53" s="3287">
        <v>55.78</v>
      </c>
    </row>
    <row r="54" spans="1:9" ht="36.75" customHeight="1">
      <c r="A54" s="3289">
        <v>52</v>
      </c>
      <c r="B54" s="3287" t="s">
        <v>3239</v>
      </c>
      <c r="C54" s="3287" t="s">
        <v>3140</v>
      </c>
      <c r="D54" s="3287" t="s">
        <v>3240</v>
      </c>
      <c r="E54" s="3287" t="s">
        <v>3241</v>
      </c>
      <c r="F54" s="3287" t="s">
        <v>3137</v>
      </c>
      <c r="G54" s="3287" t="s">
        <v>3138</v>
      </c>
      <c r="H54" s="3287">
        <v>7</v>
      </c>
      <c r="I54" s="3287">
        <v>77.09</v>
      </c>
    </row>
    <row r="55" spans="1:9" ht="36.75" customHeight="1">
      <c r="A55" s="3289">
        <v>53</v>
      </c>
      <c r="B55" s="3287" t="s">
        <v>3242</v>
      </c>
      <c r="C55" s="3287" t="s">
        <v>3140</v>
      </c>
      <c r="D55" s="3287" t="s">
        <v>3243</v>
      </c>
      <c r="E55" s="3287" t="s">
        <v>3244</v>
      </c>
      <c r="F55" s="3287" t="s">
        <v>3137</v>
      </c>
      <c r="G55" s="3287" t="s">
        <v>3138</v>
      </c>
      <c r="H55" s="3287">
        <v>7</v>
      </c>
      <c r="I55" s="3287">
        <v>74.790000000000006</v>
      </c>
    </row>
    <row r="56" spans="1:9" ht="36.75" customHeight="1">
      <c r="A56" s="3289">
        <v>54</v>
      </c>
      <c r="B56" s="3287" t="s">
        <v>3245</v>
      </c>
      <c r="C56" s="3287" t="s">
        <v>3140</v>
      </c>
      <c r="D56" s="3287" t="s">
        <v>3246</v>
      </c>
      <c r="E56" s="3287" t="s">
        <v>3247</v>
      </c>
      <c r="F56" s="3287" t="s">
        <v>3137</v>
      </c>
      <c r="G56" s="3287" t="s">
        <v>3138</v>
      </c>
      <c r="H56" s="3287">
        <v>7</v>
      </c>
      <c r="I56" s="3287">
        <v>74.790000000000006</v>
      </c>
    </row>
    <row r="57" spans="1:9" ht="36.75" customHeight="1">
      <c r="A57" s="3289">
        <v>55</v>
      </c>
      <c r="B57" s="3287" t="s">
        <v>3248</v>
      </c>
      <c r="C57" s="3287" t="s">
        <v>3140</v>
      </c>
      <c r="D57" s="3287" t="s">
        <v>3249</v>
      </c>
      <c r="E57" s="3287" t="s">
        <v>3250</v>
      </c>
      <c r="F57" s="3287" t="s">
        <v>3137</v>
      </c>
      <c r="G57" s="3287" t="s">
        <v>3138</v>
      </c>
      <c r="H57" s="3287">
        <v>7</v>
      </c>
      <c r="I57" s="3287">
        <v>74.790000000000006</v>
      </c>
    </row>
    <row r="58" spans="1:9" ht="36.75" customHeight="1">
      <c r="A58" s="3289">
        <v>56</v>
      </c>
      <c r="B58" s="3287" t="s">
        <v>3251</v>
      </c>
      <c r="C58" s="3287" t="s">
        <v>3140</v>
      </c>
      <c r="D58" s="3287" t="s">
        <v>3252</v>
      </c>
      <c r="E58" s="3287" t="s">
        <v>3253</v>
      </c>
      <c r="F58" s="3287" t="s">
        <v>3137</v>
      </c>
      <c r="G58" s="3287" t="s">
        <v>3138</v>
      </c>
      <c r="H58" s="3287">
        <v>7</v>
      </c>
      <c r="I58" s="3287">
        <v>74.790000000000006</v>
      </c>
    </row>
    <row r="59" spans="1:9" ht="36.75" customHeight="1">
      <c r="A59" s="3289">
        <v>57</v>
      </c>
      <c r="B59" s="3287" t="s">
        <v>3254</v>
      </c>
      <c r="C59" s="3287" t="s">
        <v>3140</v>
      </c>
      <c r="D59" s="3287" t="s">
        <v>3255</v>
      </c>
      <c r="E59" s="3287" t="s">
        <v>3256</v>
      </c>
      <c r="F59" s="3287" t="s">
        <v>3137</v>
      </c>
      <c r="G59" s="3287" t="s">
        <v>3138</v>
      </c>
      <c r="H59" s="3287">
        <v>7</v>
      </c>
      <c r="I59" s="3287">
        <v>74.38</v>
      </c>
    </row>
    <row r="60" spans="1:9" ht="36.75" customHeight="1">
      <c r="A60" s="3289">
        <v>58</v>
      </c>
      <c r="B60" s="3287" t="s">
        <v>3257</v>
      </c>
      <c r="C60" s="3287" t="s">
        <v>3140</v>
      </c>
      <c r="D60" s="3287" t="s">
        <v>3258</v>
      </c>
      <c r="E60" s="3287" t="s">
        <v>3259</v>
      </c>
      <c r="F60" s="3287" t="s">
        <v>3137</v>
      </c>
      <c r="G60" s="3287" t="s">
        <v>3138</v>
      </c>
      <c r="H60" s="3287">
        <v>8</v>
      </c>
      <c r="I60" s="3287">
        <v>108.69</v>
      </c>
    </row>
    <row r="61" spans="1:9" ht="36.75" customHeight="1">
      <c r="A61" s="3289">
        <v>59</v>
      </c>
      <c r="B61" s="3287" t="s">
        <v>3260</v>
      </c>
      <c r="C61" s="3287" t="s">
        <v>3140</v>
      </c>
      <c r="D61" s="3287" t="s">
        <v>3261</v>
      </c>
      <c r="E61" s="3287" t="s">
        <v>3262</v>
      </c>
      <c r="F61" s="3287" t="s">
        <v>3137</v>
      </c>
      <c r="G61" s="3287" t="s">
        <v>3138</v>
      </c>
      <c r="H61" s="3287">
        <v>8</v>
      </c>
      <c r="I61" s="3287">
        <v>107.7</v>
      </c>
    </row>
    <row r="62" spans="1:9" ht="36.75" customHeight="1">
      <c r="A62" s="3289">
        <v>60</v>
      </c>
      <c r="B62" s="3287" t="s">
        <v>3263</v>
      </c>
      <c r="C62" s="3287" t="s">
        <v>3140</v>
      </c>
      <c r="D62" s="3287" t="s">
        <v>3264</v>
      </c>
      <c r="E62" s="3287" t="s">
        <v>3265</v>
      </c>
      <c r="F62" s="3287" t="s">
        <v>3137</v>
      </c>
      <c r="G62" s="3287" t="s">
        <v>3138</v>
      </c>
      <c r="H62" s="3287">
        <v>8</v>
      </c>
      <c r="I62" s="3287">
        <v>107.37</v>
      </c>
    </row>
    <row r="63" spans="1:9" ht="36.75" customHeight="1">
      <c r="A63" s="3289">
        <v>61</v>
      </c>
      <c r="B63" s="3287" t="s">
        <v>3266</v>
      </c>
      <c r="C63" s="3287" t="s">
        <v>3140</v>
      </c>
      <c r="D63" s="3287" t="s">
        <v>3267</v>
      </c>
      <c r="E63" s="3287" t="s">
        <v>3268</v>
      </c>
      <c r="F63" s="3287" t="s">
        <v>3137</v>
      </c>
      <c r="G63" s="3287" t="s">
        <v>3138</v>
      </c>
      <c r="H63" s="3287">
        <v>8</v>
      </c>
      <c r="I63" s="3287">
        <v>101.74</v>
      </c>
    </row>
    <row r="64" spans="1:9" ht="36.75" customHeight="1">
      <c r="A64" s="3289">
        <v>62</v>
      </c>
      <c r="B64" s="3287" t="s">
        <v>3269</v>
      </c>
      <c r="C64" s="3287" t="s">
        <v>3140</v>
      </c>
      <c r="D64" s="3287" t="s">
        <v>3270</v>
      </c>
      <c r="E64" s="3287" t="s">
        <v>3271</v>
      </c>
      <c r="F64" s="3287" t="s">
        <v>3137</v>
      </c>
      <c r="G64" s="3287" t="s">
        <v>3138</v>
      </c>
      <c r="H64" s="3287">
        <v>8</v>
      </c>
      <c r="I64" s="3287">
        <v>55.78</v>
      </c>
    </row>
    <row r="65" spans="1:9" ht="36.75" customHeight="1">
      <c r="A65" s="3289">
        <v>63</v>
      </c>
      <c r="B65" s="3287" t="s">
        <v>3272</v>
      </c>
      <c r="C65" s="3287" t="s">
        <v>3140</v>
      </c>
      <c r="D65" s="3287" t="s">
        <v>3273</v>
      </c>
      <c r="E65" s="3287" t="s">
        <v>3274</v>
      </c>
      <c r="F65" s="3287" t="s">
        <v>3137</v>
      </c>
      <c r="G65" s="3287" t="s">
        <v>3138</v>
      </c>
      <c r="H65" s="3287">
        <v>8</v>
      </c>
      <c r="I65" s="3287">
        <v>77.09</v>
      </c>
    </row>
    <row r="66" spans="1:9" ht="36.75" customHeight="1">
      <c r="A66" s="3289">
        <v>64</v>
      </c>
      <c r="B66" s="3287" t="s">
        <v>3275</v>
      </c>
      <c r="C66" s="3287" t="s">
        <v>3140</v>
      </c>
      <c r="D66" s="3287" t="s">
        <v>3276</v>
      </c>
      <c r="E66" s="3287" t="s">
        <v>3277</v>
      </c>
      <c r="F66" s="3287" t="s">
        <v>3137</v>
      </c>
      <c r="G66" s="3287" t="s">
        <v>3138</v>
      </c>
      <c r="H66" s="3287">
        <v>8</v>
      </c>
      <c r="I66" s="3287">
        <v>74.790000000000006</v>
      </c>
    </row>
    <row r="67" spans="1:9" ht="36.75" customHeight="1">
      <c r="A67" s="3289">
        <v>65</v>
      </c>
      <c r="B67" s="3287" t="s">
        <v>3278</v>
      </c>
      <c r="C67" s="3287" t="s">
        <v>3140</v>
      </c>
      <c r="D67" s="3287" t="s">
        <v>3279</v>
      </c>
      <c r="E67" s="3287" t="s">
        <v>3280</v>
      </c>
      <c r="F67" s="3287" t="s">
        <v>3137</v>
      </c>
      <c r="G67" s="3287" t="s">
        <v>3138</v>
      </c>
      <c r="H67" s="3287">
        <v>8</v>
      </c>
      <c r="I67" s="3287">
        <v>74.790000000000006</v>
      </c>
    </row>
    <row r="68" spans="1:9" ht="36.75" customHeight="1">
      <c r="A68" s="3289">
        <v>66</v>
      </c>
      <c r="B68" s="3287" t="s">
        <v>3281</v>
      </c>
      <c r="C68" s="3287" t="s">
        <v>3140</v>
      </c>
      <c r="D68" s="3287" t="s">
        <v>3282</v>
      </c>
      <c r="E68" s="3287" t="s">
        <v>3283</v>
      </c>
      <c r="F68" s="3287" t="s">
        <v>3137</v>
      </c>
      <c r="G68" s="3287" t="s">
        <v>3138</v>
      </c>
      <c r="H68" s="3287">
        <v>8</v>
      </c>
      <c r="I68" s="3287">
        <v>74.790000000000006</v>
      </c>
    </row>
    <row r="69" spans="1:9" ht="36.75" customHeight="1">
      <c r="A69" s="3289">
        <v>67</v>
      </c>
      <c r="B69" s="3287" t="s">
        <v>3284</v>
      </c>
      <c r="C69" s="3287" t="s">
        <v>3140</v>
      </c>
      <c r="D69" s="3287" t="s">
        <v>3285</v>
      </c>
      <c r="E69" s="3287" t="s">
        <v>3286</v>
      </c>
      <c r="F69" s="3287" t="s">
        <v>3137</v>
      </c>
      <c r="G69" s="3287" t="s">
        <v>3138</v>
      </c>
      <c r="H69" s="3287">
        <v>8</v>
      </c>
      <c r="I69" s="3287">
        <v>74.790000000000006</v>
      </c>
    </row>
    <row r="70" spans="1:9" ht="36.75" customHeight="1">
      <c r="A70" s="3289">
        <v>68</v>
      </c>
      <c r="B70" s="3287" t="s">
        <v>3287</v>
      </c>
      <c r="C70" s="3287" t="s">
        <v>3140</v>
      </c>
      <c r="D70" s="3287" t="s">
        <v>3288</v>
      </c>
      <c r="E70" s="3287" t="s">
        <v>3289</v>
      </c>
      <c r="F70" s="3287" t="s">
        <v>3137</v>
      </c>
      <c r="G70" s="3287" t="s">
        <v>3138</v>
      </c>
      <c r="H70" s="3287">
        <v>8</v>
      </c>
      <c r="I70" s="3287">
        <v>74.38</v>
      </c>
    </row>
    <row r="71" spans="1:9" ht="36.75" customHeight="1">
      <c r="A71" s="3289">
        <v>69</v>
      </c>
      <c r="B71" s="3287" t="s">
        <v>3290</v>
      </c>
      <c r="C71" s="3287" t="s">
        <v>3140</v>
      </c>
      <c r="D71" s="3287" t="s">
        <v>3291</v>
      </c>
      <c r="E71" s="3287" t="s">
        <v>3292</v>
      </c>
      <c r="F71" s="3287" t="s">
        <v>3137</v>
      </c>
      <c r="G71" s="3287" t="s">
        <v>3138</v>
      </c>
      <c r="H71" s="3287">
        <v>9</v>
      </c>
      <c r="I71" s="3287">
        <v>108.66</v>
      </c>
    </row>
    <row r="72" spans="1:9" ht="36.75" customHeight="1">
      <c r="A72" s="3289">
        <v>70</v>
      </c>
      <c r="B72" s="3287" t="s">
        <v>3293</v>
      </c>
      <c r="C72" s="3287" t="s">
        <v>3140</v>
      </c>
      <c r="D72" s="3287" t="s">
        <v>3294</v>
      </c>
      <c r="E72" s="3287" t="s">
        <v>3295</v>
      </c>
      <c r="F72" s="3287" t="s">
        <v>3137</v>
      </c>
      <c r="G72" s="3287" t="s">
        <v>3138</v>
      </c>
      <c r="H72" s="3287">
        <v>9</v>
      </c>
      <c r="I72" s="3287">
        <v>107.66</v>
      </c>
    </row>
    <row r="73" spans="1:9" ht="36.75" customHeight="1">
      <c r="A73" s="3289">
        <v>71</v>
      </c>
      <c r="B73" s="3287" t="s">
        <v>3296</v>
      </c>
      <c r="C73" s="3287" t="s">
        <v>3140</v>
      </c>
      <c r="D73" s="3287" t="s">
        <v>3297</v>
      </c>
      <c r="E73" s="3287" t="s">
        <v>3298</v>
      </c>
      <c r="F73" s="3287" t="s">
        <v>3137</v>
      </c>
      <c r="G73" s="3287" t="s">
        <v>3138</v>
      </c>
      <c r="H73" s="3287">
        <v>9</v>
      </c>
      <c r="I73" s="3287">
        <v>107.33</v>
      </c>
    </row>
    <row r="74" spans="1:9" ht="36.75" customHeight="1">
      <c r="A74" s="3289">
        <v>72</v>
      </c>
      <c r="B74" s="3287" t="s">
        <v>3299</v>
      </c>
      <c r="C74" s="3287" t="s">
        <v>3140</v>
      </c>
      <c r="D74" s="3287" t="s">
        <v>3300</v>
      </c>
      <c r="E74" s="3287" t="s">
        <v>3301</v>
      </c>
      <c r="F74" s="3287" t="s">
        <v>3137</v>
      </c>
      <c r="G74" s="3287" t="s">
        <v>3138</v>
      </c>
      <c r="H74" s="3287">
        <v>9</v>
      </c>
      <c r="I74" s="3287">
        <v>101.71</v>
      </c>
    </row>
    <row r="75" spans="1:9" ht="36.75" customHeight="1">
      <c r="A75" s="3289">
        <v>73</v>
      </c>
      <c r="B75" s="3287" t="s">
        <v>3302</v>
      </c>
      <c r="C75" s="3287" t="s">
        <v>3140</v>
      </c>
      <c r="D75" s="3287" t="s">
        <v>3303</v>
      </c>
      <c r="E75" s="3287" t="s">
        <v>3304</v>
      </c>
      <c r="F75" s="3287" t="s">
        <v>3137</v>
      </c>
      <c r="G75" s="3287" t="s">
        <v>3138</v>
      </c>
      <c r="H75" s="3287">
        <v>9</v>
      </c>
      <c r="I75" s="3287">
        <v>55.77</v>
      </c>
    </row>
    <row r="76" spans="1:9" ht="36.75" customHeight="1">
      <c r="A76" s="3289">
        <v>74</v>
      </c>
      <c r="B76" s="3287" t="s">
        <v>3305</v>
      </c>
      <c r="C76" s="3287" t="s">
        <v>3140</v>
      </c>
      <c r="D76" s="3287" t="s">
        <v>3306</v>
      </c>
      <c r="E76" s="3287" t="s">
        <v>3307</v>
      </c>
      <c r="F76" s="3287" t="s">
        <v>3137</v>
      </c>
      <c r="G76" s="3287" t="s">
        <v>3138</v>
      </c>
      <c r="H76" s="3287">
        <v>9</v>
      </c>
      <c r="I76" s="3287">
        <v>77.069999999999993</v>
      </c>
    </row>
    <row r="77" spans="1:9" ht="36.75" customHeight="1">
      <c r="A77" s="3289">
        <v>75</v>
      </c>
      <c r="B77" s="3287" t="s">
        <v>3308</v>
      </c>
      <c r="C77" s="3287" t="s">
        <v>3140</v>
      </c>
      <c r="D77" s="3287" t="s">
        <v>3309</v>
      </c>
      <c r="E77" s="3287" t="s">
        <v>3310</v>
      </c>
      <c r="F77" s="3287" t="s">
        <v>3137</v>
      </c>
      <c r="G77" s="3287" t="s">
        <v>3138</v>
      </c>
      <c r="H77" s="3287">
        <v>9</v>
      </c>
      <c r="I77" s="3287">
        <v>74.77</v>
      </c>
    </row>
    <row r="78" spans="1:9" ht="36.75" customHeight="1">
      <c r="A78" s="3289">
        <v>76</v>
      </c>
      <c r="B78" s="3287" t="s">
        <v>3311</v>
      </c>
      <c r="C78" s="3287" t="s">
        <v>3140</v>
      </c>
      <c r="D78" s="3287" t="s">
        <v>3312</v>
      </c>
      <c r="E78" s="3287" t="s">
        <v>3313</v>
      </c>
      <c r="F78" s="3287" t="s">
        <v>3137</v>
      </c>
      <c r="G78" s="3287" t="s">
        <v>3138</v>
      </c>
      <c r="H78" s="3287">
        <v>9</v>
      </c>
      <c r="I78" s="3287">
        <v>74.77</v>
      </c>
    </row>
    <row r="79" spans="1:9" ht="36.75" customHeight="1">
      <c r="A79" s="3289">
        <v>77</v>
      </c>
      <c r="B79" s="3287" t="s">
        <v>3314</v>
      </c>
      <c r="C79" s="3287" t="s">
        <v>3140</v>
      </c>
      <c r="D79" s="3287" t="s">
        <v>3315</v>
      </c>
      <c r="E79" s="3287" t="s">
        <v>3316</v>
      </c>
      <c r="F79" s="3287" t="s">
        <v>3137</v>
      </c>
      <c r="G79" s="3287" t="s">
        <v>3138</v>
      </c>
      <c r="H79" s="3287">
        <v>9</v>
      </c>
      <c r="I79" s="3287">
        <v>74.77</v>
      </c>
    </row>
    <row r="80" spans="1:9" ht="36.75" customHeight="1">
      <c r="A80" s="3289">
        <v>78</v>
      </c>
      <c r="B80" s="3287" t="s">
        <v>3317</v>
      </c>
      <c r="C80" s="3287" t="s">
        <v>3140</v>
      </c>
      <c r="D80" s="3287" t="s">
        <v>3318</v>
      </c>
      <c r="E80" s="3287" t="s">
        <v>3319</v>
      </c>
      <c r="F80" s="3287" t="s">
        <v>3137</v>
      </c>
      <c r="G80" s="3287" t="s">
        <v>3138</v>
      </c>
      <c r="H80" s="3287">
        <v>9</v>
      </c>
      <c r="I80" s="3287">
        <v>74.77</v>
      </c>
    </row>
    <row r="81" spans="1:9" ht="36.75" customHeight="1">
      <c r="A81" s="3289">
        <v>79</v>
      </c>
      <c r="B81" s="3287" t="s">
        <v>3320</v>
      </c>
      <c r="C81" s="3287" t="s">
        <v>3140</v>
      </c>
      <c r="D81" s="3287" t="s">
        <v>3321</v>
      </c>
      <c r="E81" s="3287" t="s">
        <v>3322</v>
      </c>
      <c r="F81" s="3287" t="s">
        <v>3137</v>
      </c>
      <c r="G81" s="3287" t="s">
        <v>3138</v>
      </c>
      <c r="H81" s="3287">
        <v>9</v>
      </c>
      <c r="I81" s="3287">
        <v>74.36</v>
      </c>
    </row>
    <row r="82" spans="1:9" ht="36.75" customHeight="1">
      <c r="A82" s="3289">
        <v>80</v>
      </c>
      <c r="B82" s="3287" t="s">
        <v>3323</v>
      </c>
      <c r="C82" s="3287" t="s">
        <v>3140</v>
      </c>
      <c r="D82" s="3287" t="s">
        <v>3324</v>
      </c>
      <c r="E82" s="3287" t="s">
        <v>3325</v>
      </c>
      <c r="F82" s="3287" t="s">
        <v>3137</v>
      </c>
      <c r="G82" s="3287" t="s">
        <v>3138</v>
      </c>
      <c r="H82" s="3287">
        <v>10</v>
      </c>
      <c r="I82" s="3287">
        <v>124.97</v>
      </c>
    </row>
    <row r="83" spans="1:9" ht="36.75" customHeight="1">
      <c r="A83" s="3289">
        <v>81</v>
      </c>
      <c r="B83" s="3287" t="s">
        <v>3326</v>
      </c>
      <c r="C83" s="3287" t="s">
        <v>3140</v>
      </c>
      <c r="D83" s="3287" t="s">
        <v>3327</v>
      </c>
      <c r="E83" s="3287" t="s">
        <v>3328</v>
      </c>
      <c r="F83" s="3287" t="s">
        <v>3137</v>
      </c>
      <c r="G83" s="3287" t="s">
        <v>3138</v>
      </c>
      <c r="H83" s="3287">
        <v>10</v>
      </c>
      <c r="I83" s="3287">
        <v>101.7</v>
      </c>
    </row>
    <row r="84" spans="1:9" ht="36.75" customHeight="1">
      <c r="A84" s="3289">
        <v>82</v>
      </c>
      <c r="B84" s="3287" t="s">
        <v>3329</v>
      </c>
      <c r="C84" s="3287" t="s">
        <v>3140</v>
      </c>
      <c r="D84" s="3287" t="s">
        <v>3330</v>
      </c>
      <c r="E84" s="3287" t="s">
        <v>3331</v>
      </c>
      <c r="F84" s="3287" t="s">
        <v>3137</v>
      </c>
      <c r="G84" s="3287" t="s">
        <v>3138</v>
      </c>
      <c r="H84" s="3287">
        <v>10</v>
      </c>
      <c r="I84" s="3287">
        <v>101.38</v>
      </c>
    </row>
    <row r="85" spans="1:9" ht="36.75" customHeight="1">
      <c r="A85" s="3289">
        <v>83</v>
      </c>
      <c r="B85" s="3287" t="s">
        <v>3332</v>
      </c>
      <c r="C85" s="3287" t="s">
        <v>3182</v>
      </c>
      <c r="D85" s="3287" t="s">
        <v>3333</v>
      </c>
      <c r="E85" s="3287" t="s">
        <v>3334</v>
      </c>
      <c r="F85" s="3287" t="s">
        <v>3179</v>
      </c>
      <c r="G85" s="3287" t="s">
        <v>3180</v>
      </c>
      <c r="H85" s="3287">
        <v>10</v>
      </c>
      <c r="I85" s="3287">
        <v>96.07</v>
      </c>
    </row>
    <row r="86" spans="1:9" ht="36.75" customHeight="1">
      <c r="A86" s="3289">
        <v>84</v>
      </c>
      <c r="B86" s="3287" t="s">
        <v>3335</v>
      </c>
      <c r="C86" s="3287" t="s">
        <v>3182</v>
      </c>
      <c r="D86" s="3287" t="s">
        <v>3336</v>
      </c>
      <c r="E86" s="3287" t="s">
        <v>3337</v>
      </c>
      <c r="F86" s="3287" t="s">
        <v>3179</v>
      </c>
      <c r="G86" s="3287" t="s">
        <v>3180</v>
      </c>
      <c r="H86" s="3287">
        <v>10</v>
      </c>
      <c r="I86" s="3287">
        <v>98.62</v>
      </c>
    </row>
    <row r="87" spans="1:9" ht="36.75" customHeight="1">
      <c r="A87" s="3289">
        <v>85</v>
      </c>
      <c r="B87" s="3287" t="s">
        <v>3338</v>
      </c>
      <c r="C87" s="3287" t="s">
        <v>3182</v>
      </c>
      <c r="D87" s="3287" t="s">
        <v>3339</v>
      </c>
      <c r="E87" s="3287" t="s">
        <v>3340</v>
      </c>
      <c r="F87" s="3287" t="s">
        <v>3179</v>
      </c>
      <c r="G87" s="3287" t="s">
        <v>3180</v>
      </c>
      <c r="H87" s="3287">
        <v>10</v>
      </c>
      <c r="I87" s="3287">
        <v>112.58</v>
      </c>
    </row>
    <row r="88" spans="1:9" ht="36.75" customHeight="1">
      <c r="A88" s="3289">
        <v>86</v>
      </c>
      <c r="B88" s="3287" t="s">
        <v>3341</v>
      </c>
      <c r="C88" s="3287" t="s">
        <v>3182</v>
      </c>
      <c r="D88" s="3287" t="s">
        <v>3342</v>
      </c>
      <c r="E88" s="3287" t="s">
        <v>3343</v>
      </c>
      <c r="F88" s="3287" t="s">
        <v>3179</v>
      </c>
      <c r="G88" s="3287" t="s">
        <v>3180</v>
      </c>
      <c r="H88" s="3287">
        <v>10</v>
      </c>
      <c r="I88" s="3287">
        <v>70.62</v>
      </c>
    </row>
    <row r="89" spans="1:9" ht="36.75" customHeight="1">
      <c r="A89" s="3289">
        <v>87</v>
      </c>
      <c r="B89" s="3287" t="s">
        <v>3344</v>
      </c>
      <c r="C89" s="3287" t="s">
        <v>3140</v>
      </c>
      <c r="D89" s="3287" t="s">
        <v>3345</v>
      </c>
      <c r="E89" s="3287" t="s">
        <v>3346</v>
      </c>
      <c r="F89" s="3287" t="s">
        <v>3137</v>
      </c>
      <c r="G89" s="3287" t="s">
        <v>3138</v>
      </c>
      <c r="H89" s="3287">
        <v>10</v>
      </c>
      <c r="I89" s="3287">
        <v>70.62</v>
      </c>
    </row>
    <row r="90" spans="1:9" ht="36.75" customHeight="1">
      <c r="A90" s="3289">
        <v>88</v>
      </c>
      <c r="B90" s="3287" t="s">
        <v>3347</v>
      </c>
      <c r="C90" s="3287" t="s">
        <v>3140</v>
      </c>
      <c r="D90" s="3287" t="s">
        <v>3348</v>
      </c>
      <c r="E90" s="3287" t="s">
        <v>3349</v>
      </c>
      <c r="F90" s="3287" t="s">
        <v>3137</v>
      </c>
      <c r="G90" s="3287" t="s">
        <v>3138</v>
      </c>
      <c r="H90" s="3287">
        <v>10</v>
      </c>
      <c r="I90" s="3287">
        <v>70.62</v>
      </c>
    </row>
    <row r="91" spans="1:9" ht="36.75" customHeight="1">
      <c r="A91" s="3289">
        <v>89</v>
      </c>
      <c r="B91" s="3287" t="s">
        <v>3350</v>
      </c>
      <c r="C91" s="3287" t="s">
        <v>3140</v>
      </c>
      <c r="D91" s="3287" t="s">
        <v>3351</v>
      </c>
      <c r="E91" s="3287" t="s">
        <v>3352</v>
      </c>
      <c r="F91" s="3287" t="s">
        <v>3137</v>
      </c>
      <c r="G91" s="3287" t="s">
        <v>3138</v>
      </c>
      <c r="H91" s="3287">
        <v>10</v>
      </c>
      <c r="I91" s="3287">
        <v>70.62</v>
      </c>
    </row>
    <row r="92" spans="1:9" ht="36.75" customHeight="1">
      <c r="A92" s="3289">
        <v>90</v>
      </c>
      <c r="B92" s="3287" t="s">
        <v>3353</v>
      </c>
      <c r="C92" s="3287" t="s">
        <v>3140</v>
      </c>
      <c r="D92" s="3287" t="s">
        <v>3354</v>
      </c>
      <c r="E92" s="3287" t="s">
        <v>3355</v>
      </c>
      <c r="F92" s="3287" t="s">
        <v>3137</v>
      </c>
      <c r="G92" s="3287" t="s">
        <v>3138</v>
      </c>
      <c r="H92" s="3287">
        <v>10</v>
      </c>
      <c r="I92" s="3287">
        <v>72.95</v>
      </c>
    </row>
    <row r="93" spans="1:9" ht="36.75" customHeight="1">
      <c r="A93" s="3289">
        <v>91</v>
      </c>
      <c r="B93" s="3287" t="s">
        <v>3356</v>
      </c>
      <c r="C93" s="3287" t="s">
        <v>3140</v>
      </c>
      <c r="D93" s="3287" t="s">
        <v>3357</v>
      </c>
      <c r="E93" s="3287" t="s">
        <v>3358</v>
      </c>
      <c r="F93" s="3287" t="s">
        <v>3137</v>
      </c>
      <c r="G93" s="3287" t="s">
        <v>3138</v>
      </c>
      <c r="H93" s="3287">
        <v>11</v>
      </c>
      <c r="I93" s="3287">
        <v>127.62</v>
      </c>
    </row>
    <row r="94" spans="1:9" ht="36.75" customHeight="1">
      <c r="A94" s="3289">
        <v>92</v>
      </c>
      <c r="B94" s="3287" t="s">
        <v>3359</v>
      </c>
      <c r="C94" s="3287" t="s">
        <v>3140</v>
      </c>
      <c r="D94" s="3287" t="s">
        <v>3360</v>
      </c>
      <c r="E94" s="3287" t="s">
        <v>3361</v>
      </c>
      <c r="F94" s="3287" t="s">
        <v>3137</v>
      </c>
      <c r="G94" s="3287" t="s">
        <v>3138</v>
      </c>
      <c r="H94" s="3287">
        <v>11</v>
      </c>
      <c r="I94" s="3287">
        <v>101.79</v>
      </c>
    </row>
    <row r="95" spans="1:9" ht="36.75" customHeight="1">
      <c r="A95" s="3289">
        <v>93</v>
      </c>
      <c r="B95" s="3287" t="s">
        <v>3362</v>
      </c>
      <c r="C95" s="3287" t="s">
        <v>3140</v>
      </c>
      <c r="D95" s="3287" t="s">
        <v>3363</v>
      </c>
      <c r="E95" s="3287" t="s">
        <v>3364</v>
      </c>
      <c r="F95" s="3287" t="s">
        <v>3137</v>
      </c>
      <c r="G95" s="3287" t="s">
        <v>3138</v>
      </c>
      <c r="H95" s="3287">
        <v>11</v>
      </c>
      <c r="I95" s="3287">
        <v>101.48</v>
      </c>
    </row>
    <row r="96" spans="1:9" ht="36.75" customHeight="1">
      <c r="A96" s="3289">
        <v>94</v>
      </c>
      <c r="B96" s="3287" t="s">
        <v>3365</v>
      </c>
      <c r="C96" s="3287" t="s">
        <v>3140</v>
      </c>
      <c r="D96" s="3287" t="s">
        <v>3366</v>
      </c>
      <c r="E96" s="3287" t="s">
        <v>3367</v>
      </c>
      <c r="F96" s="3287" t="s">
        <v>3137</v>
      </c>
      <c r="G96" s="3287" t="s">
        <v>3138</v>
      </c>
      <c r="H96" s="3287">
        <v>11</v>
      </c>
      <c r="I96" s="3287">
        <v>96.16</v>
      </c>
    </row>
    <row r="97" spans="1:12" ht="36.75" customHeight="1">
      <c r="A97" s="3289">
        <v>95</v>
      </c>
      <c r="B97" s="3287" t="s">
        <v>3368</v>
      </c>
      <c r="C97" s="3287" t="s">
        <v>3140</v>
      </c>
      <c r="D97" s="3287" t="s">
        <v>3369</v>
      </c>
      <c r="E97" s="3287" t="s">
        <v>3370</v>
      </c>
      <c r="F97" s="3287" t="s">
        <v>3137</v>
      </c>
      <c r="G97" s="3287" t="s">
        <v>3138</v>
      </c>
      <c r="H97" s="3287">
        <v>11</v>
      </c>
      <c r="I97" s="3287">
        <v>98.71</v>
      </c>
    </row>
    <row r="98" spans="1:12" ht="36.75" customHeight="1">
      <c r="A98" s="3289">
        <v>96</v>
      </c>
      <c r="B98" s="3287" t="s">
        <v>3371</v>
      </c>
      <c r="C98" s="3287" t="s">
        <v>3140</v>
      </c>
      <c r="D98" s="3287" t="s">
        <v>3372</v>
      </c>
      <c r="E98" s="3287" t="s">
        <v>3373</v>
      </c>
      <c r="F98" s="3287" t="s">
        <v>3137</v>
      </c>
      <c r="G98" s="3287" t="s">
        <v>3138</v>
      </c>
      <c r="H98" s="3287">
        <v>11</v>
      </c>
      <c r="I98" s="3287">
        <v>112.69</v>
      </c>
    </row>
    <row r="99" spans="1:12" ht="36.75" customHeight="1">
      <c r="A99" s="3289">
        <v>97</v>
      </c>
      <c r="B99" s="3287" t="s">
        <v>3374</v>
      </c>
      <c r="C99" s="3287" t="s">
        <v>3140</v>
      </c>
      <c r="D99" s="3287" t="s">
        <v>3375</v>
      </c>
      <c r="E99" s="3287" t="s">
        <v>3376</v>
      </c>
      <c r="F99" s="3287" t="s">
        <v>3137</v>
      </c>
      <c r="G99" s="3287" t="s">
        <v>3138</v>
      </c>
      <c r="H99" s="3287">
        <v>11</v>
      </c>
      <c r="I99" s="3287">
        <v>70.69</v>
      </c>
    </row>
    <row r="100" spans="1:12" ht="36.75" customHeight="1">
      <c r="A100" s="3289">
        <v>98</v>
      </c>
      <c r="B100" s="3287" t="s">
        <v>3377</v>
      </c>
      <c r="C100" s="3287" t="s">
        <v>3140</v>
      </c>
      <c r="D100" s="3287" t="s">
        <v>3378</v>
      </c>
      <c r="E100" s="3287" t="s">
        <v>3379</v>
      </c>
      <c r="F100" s="3287" t="s">
        <v>3137</v>
      </c>
      <c r="G100" s="3287" t="s">
        <v>3138</v>
      </c>
      <c r="H100" s="3287">
        <v>11</v>
      </c>
      <c r="I100" s="3287">
        <v>70.69</v>
      </c>
    </row>
    <row r="101" spans="1:12" ht="36.75" customHeight="1">
      <c r="A101" s="3289">
        <v>99</v>
      </c>
      <c r="B101" s="3287" t="s">
        <v>3380</v>
      </c>
      <c r="C101" s="3287" t="s">
        <v>3140</v>
      </c>
      <c r="D101" s="3287" t="s">
        <v>3381</v>
      </c>
      <c r="E101" s="3287" t="s">
        <v>3382</v>
      </c>
      <c r="F101" s="3287" t="s">
        <v>3137</v>
      </c>
      <c r="G101" s="3287" t="s">
        <v>3138</v>
      </c>
      <c r="H101" s="3287">
        <v>11</v>
      </c>
      <c r="I101" s="3287">
        <v>70.69</v>
      </c>
    </row>
    <row r="102" spans="1:12" ht="36.75" customHeight="1">
      <c r="A102" s="3289">
        <v>100</v>
      </c>
      <c r="B102" s="3287" t="s">
        <v>3383</v>
      </c>
      <c r="C102" s="3287" t="s">
        <v>3140</v>
      </c>
      <c r="D102" s="3287" t="s">
        <v>3384</v>
      </c>
      <c r="E102" s="3287" t="s">
        <v>3385</v>
      </c>
      <c r="F102" s="3287" t="s">
        <v>3137</v>
      </c>
      <c r="G102" s="3287" t="s">
        <v>3138</v>
      </c>
      <c r="H102" s="3287">
        <v>11</v>
      </c>
      <c r="I102" s="3287">
        <v>70.69</v>
      </c>
    </row>
    <row r="103" spans="1:12" ht="36.75" customHeight="1">
      <c r="A103" s="3289">
        <v>101</v>
      </c>
      <c r="B103" s="3287" t="s">
        <v>3386</v>
      </c>
      <c r="C103" s="3287" t="s">
        <v>3140</v>
      </c>
      <c r="D103" s="3287" t="s">
        <v>3387</v>
      </c>
      <c r="E103" s="3287" t="s">
        <v>3388</v>
      </c>
      <c r="F103" s="3287" t="s">
        <v>3137</v>
      </c>
      <c r="G103" s="3287" t="s">
        <v>3138</v>
      </c>
      <c r="H103" s="3287">
        <v>11</v>
      </c>
      <c r="I103" s="3287">
        <v>73.02</v>
      </c>
    </row>
    <row r="104" spans="1:12" s="3290" customFormat="1" ht="36.75" customHeight="1">
      <c r="B104" s="3291" t="s">
        <v>3389</v>
      </c>
      <c r="C104" s="3291"/>
      <c r="D104" s="3291"/>
      <c r="E104" s="3291"/>
      <c r="F104" s="3291"/>
      <c r="G104" s="3291"/>
      <c r="H104" s="3291"/>
      <c r="I104" s="3291">
        <f>SUM(I5:I103)</f>
        <v>8532.39</v>
      </c>
      <c r="J104" s="3292"/>
      <c r="K104" s="3292"/>
      <c r="L104" s="3292"/>
    </row>
    <row r="105" spans="1:12" ht="36.75" customHeight="1">
      <c r="A105" s="3289">
        <v>102</v>
      </c>
      <c r="B105" s="3287" t="s">
        <v>3390</v>
      </c>
      <c r="C105" s="3287" t="s">
        <v>3173</v>
      </c>
      <c r="D105" s="3287" t="s">
        <v>3391</v>
      </c>
      <c r="E105" s="3287" t="s">
        <v>3392</v>
      </c>
      <c r="F105" s="3287" t="s">
        <v>3393</v>
      </c>
      <c r="G105" s="3287" t="s">
        <v>3171</v>
      </c>
      <c r="H105" s="3287">
        <v>-1</v>
      </c>
      <c r="I105" s="3287">
        <v>43.11</v>
      </c>
    </row>
    <row r="106" spans="1:12" ht="36.75" customHeight="1">
      <c r="A106" s="3289">
        <v>103</v>
      </c>
      <c r="B106" s="3287" t="s">
        <v>3394</v>
      </c>
      <c r="C106" s="3287" t="s">
        <v>3173</v>
      </c>
      <c r="D106" s="3287" t="s">
        <v>3395</v>
      </c>
      <c r="E106" s="3287" t="s">
        <v>3396</v>
      </c>
      <c r="F106" s="3287" t="s">
        <v>3393</v>
      </c>
      <c r="G106" s="3287" t="s">
        <v>3171</v>
      </c>
      <c r="H106" s="3287">
        <v>-1</v>
      </c>
      <c r="I106" s="3287">
        <v>43.11</v>
      </c>
    </row>
    <row r="107" spans="1:12" ht="36.75" customHeight="1">
      <c r="A107" s="3289">
        <v>104</v>
      </c>
      <c r="B107" s="3287" t="s">
        <v>3397</v>
      </c>
      <c r="C107" s="3287" t="s">
        <v>3173</v>
      </c>
      <c r="D107" s="3287" t="s">
        <v>3398</v>
      </c>
      <c r="E107" s="3287" t="s">
        <v>3399</v>
      </c>
      <c r="F107" s="3287" t="s">
        <v>3400</v>
      </c>
      <c r="G107" s="3287" t="s">
        <v>3401</v>
      </c>
      <c r="H107" s="3287">
        <v>-1</v>
      </c>
      <c r="I107" s="3287">
        <v>43.11</v>
      </c>
    </row>
    <row r="108" spans="1:12" ht="36.75" customHeight="1">
      <c r="A108" s="3289">
        <v>105</v>
      </c>
      <c r="B108" s="3287" t="s">
        <v>3402</v>
      </c>
      <c r="C108" s="3287" t="s">
        <v>3403</v>
      </c>
      <c r="D108" s="3287" t="s">
        <v>3404</v>
      </c>
      <c r="E108" s="3287" t="s">
        <v>3405</v>
      </c>
      <c r="F108" s="3287" t="s">
        <v>3400</v>
      </c>
      <c r="G108" s="3287" t="s">
        <v>3401</v>
      </c>
      <c r="H108" s="3287">
        <v>-1</v>
      </c>
      <c r="I108" s="3287">
        <v>43.11</v>
      </c>
    </row>
    <row r="109" spans="1:12" ht="36.75" customHeight="1">
      <c r="A109" s="3289">
        <v>106</v>
      </c>
      <c r="B109" s="3287" t="s">
        <v>3406</v>
      </c>
      <c r="C109" s="3287" t="s">
        <v>3403</v>
      </c>
      <c r="D109" s="3287" t="s">
        <v>3407</v>
      </c>
      <c r="E109" s="3287" t="s">
        <v>3408</v>
      </c>
      <c r="F109" s="3287" t="s">
        <v>3400</v>
      </c>
      <c r="G109" s="3287" t="s">
        <v>3401</v>
      </c>
      <c r="H109" s="3287">
        <v>-1</v>
      </c>
      <c r="I109" s="3287">
        <v>43.11</v>
      </c>
    </row>
    <row r="110" spans="1:12" ht="36.75" customHeight="1">
      <c r="A110" s="3289">
        <v>107</v>
      </c>
      <c r="B110" s="3287" t="s">
        <v>3409</v>
      </c>
      <c r="C110" s="3287" t="s">
        <v>3403</v>
      </c>
      <c r="D110" s="3287" t="s">
        <v>3410</v>
      </c>
      <c r="E110" s="3287" t="s">
        <v>3411</v>
      </c>
      <c r="F110" s="3287" t="s">
        <v>3400</v>
      </c>
      <c r="G110" s="3287" t="s">
        <v>3401</v>
      </c>
      <c r="H110" s="3287">
        <v>-1</v>
      </c>
      <c r="I110" s="3287">
        <v>43.11</v>
      </c>
    </row>
    <row r="111" spans="1:12" ht="36.75" customHeight="1">
      <c r="A111" s="3289">
        <v>108</v>
      </c>
      <c r="B111" s="3287" t="s">
        <v>3412</v>
      </c>
      <c r="C111" s="3287" t="s">
        <v>3403</v>
      </c>
      <c r="D111" s="3287" t="s">
        <v>3413</v>
      </c>
      <c r="E111" s="3287" t="s">
        <v>3414</v>
      </c>
      <c r="F111" s="3287" t="s">
        <v>3400</v>
      </c>
      <c r="G111" s="3287" t="s">
        <v>3401</v>
      </c>
      <c r="H111" s="3287">
        <v>-1</v>
      </c>
      <c r="I111" s="3287">
        <v>43.11</v>
      </c>
    </row>
    <row r="112" spans="1:12" ht="36.75" customHeight="1">
      <c r="A112" s="3289">
        <v>109</v>
      </c>
      <c r="B112" s="3287" t="s">
        <v>3415</v>
      </c>
      <c r="C112" s="3287" t="s">
        <v>3403</v>
      </c>
      <c r="D112" s="3287" t="s">
        <v>3416</v>
      </c>
      <c r="E112" s="3287" t="s">
        <v>3417</v>
      </c>
      <c r="F112" s="3287" t="s">
        <v>3400</v>
      </c>
      <c r="G112" s="3287" t="s">
        <v>3401</v>
      </c>
      <c r="H112" s="3287">
        <v>-1</v>
      </c>
      <c r="I112" s="3287">
        <v>43.11</v>
      </c>
    </row>
    <row r="113" spans="1:12" ht="36.75" customHeight="1">
      <c r="A113" s="3289">
        <v>110</v>
      </c>
      <c r="B113" s="3287" t="s">
        <v>3418</v>
      </c>
      <c r="C113" s="3287" t="s">
        <v>3403</v>
      </c>
      <c r="D113" s="3287" t="s">
        <v>3419</v>
      </c>
      <c r="E113" s="3287" t="s">
        <v>3420</v>
      </c>
      <c r="F113" s="3287" t="s">
        <v>3400</v>
      </c>
      <c r="G113" s="3287" t="s">
        <v>3401</v>
      </c>
      <c r="H113" s="3287">
        <v>-1</v>
      </c>
      <c r="I113" s="3287">
        <v>43.11</v>
      </c>
    </row>
    <row r="114" spans="1:12" ht="36.75" customHeight="1">
      <c r="A114" s="3289">
        <v>111</v>
      </c>
      <c r="B114" s="3287" t="s">
        <v>3421</v>
      </c>
      <c r="C114" s="3287" t="s">
        <v>3403</v>
      </c>
      <c r="D114" s="3287" t="s">
        <v>3422</v>
      </c>
      <c r="E114" s="3287" t="s">
        <v>3423</v>
      </c>
      <c r="F114" s="3287" t="s">
        <v>3400</v>
      </c>
      <c r="G114" s="3287" t="s">
        <v>3401</v>
      </c>
      <c r="H114" s="3287">
        <v>-1</v>
      </c>
      <c r="I114" s="3287">
        <v>43.11</v>
      </c>
    </row>
    <row r="115" spans="1:12" ht="36.75" customHeight="1">
      <c r="A115" s="3289">
        <v>112</v>
      </c>
      <c r="B115" s="3287" t="s">
        <v>3424</v>
      </c>
      <c r="C115" s="3287" t="s">
        <v>3140</v>
      </c>
      <c r="D115" s="3287" t="s">
        <v>3425</v>
      </c>
      <c r="E115" s="3287" t="s">
        <v>3426</v>
      </c>
      <c r="F115" s="3287" t="s">
        <v>3427</v>
      </c>
      <c r="G115" s="3287" t="s">
        <v>3138</v>
      </c>
      <c r="H115" s="3287">
        <v>-1</v>
      </c>
      <c r="I115" s="3287">
        <v>43.11</v>
      </c>
    </row>
    <row r="116" spans="1:12" ht="36.75" customHeight="1">
      <c r="A116" s="3289">
        <v>113</v>
      </c>
      <c r="B116" s="3287" t="s">
        <v>3428</v>
      </c>
      <c r="C116" s="3287" t="s">
        <v>3140</v>
      </c>
      <c r="D116" s="3287" t="s">
        <v>3429</v>
      </c>
      <c r="E116" s="3287" t="s">
        <v>3430</v>
      </c>
      <c r="F116" s="3287" t="s">
        <v>3427</v>
      </c>
      <c r="G116" s="3287" t="s">
        <v>3138</v>
      </c>
      <c r="H116" s="3287">
        <v>-1</v>
      </c>
      <c r="I116" s="3287">
        <v>43.11</v>
      </c>
    </row>
    <row r="117" spans="1:12" ht="36.75" customHeight="1">
      <c r="A117" s="3289">
        <v>114</v>
      </c>
      <c r="B117" s="3287" t="s">
        <v>3431</v>
      </c>
      <c r="C117" s="3287" t="s">
        <v>3140</v>
      </c>
      <c r="D117" s="3287" t="s">
        <v>3432</v>
      </c>
      <c r="E117" s="3287" t="s">
        <v>3433</v>
      </c>
      <c r="F117" s="3287" t="s">
        <v>3427</v>
      </c>
      <c r="G117" s="3287" t="s">
        <v>3138</v>
      </c>
      <c r="H117" s="3287">
        <v>-1</v>
      </c>
      <c r="I117" s="3287">
        <v>43.11</v>
      </c>
    </row>
    <row r="118" spans="1:12" ht="36.75" customHeight="1">
      <c r="A118" s="3289">
        <v>115</v>
      </c>
      <c r="B118" s="3287" t="s">
        <v>3434</v>
      </c>
      <c r="C118" s="3287" t="s">
        <v>3140</v>
      </c>
      <c r="D118" s="3287" t="s">
        <v>3435</v>
      </c>
      <c r="E118" s="3287" t="s">
        <v>3436</v>
      </c>
      <c r="F118" s="3287" t="s">
        <v>3427</v>
      </c>
      <c r="G118" s="3287" t="s">
        <v>3138</v>
      </c>
      <c r="H118" s="3287">
        <v>-1</v>
      </c>
      <c r="I118" s="3287">
        <v>43.11</v>
      </c>
    </row>
    <row r="119" spans="1:12" ht="36.75" customHeight="1">
      <c r="A119" s="3289">
        <v>116</v>
      </c>
      <c r="B119" s="3287" t="s">
        <v>3437</v>
      </c>
      <c r="C119" s="3287" t="s">
        <v>3140</v>
      </c>
      <c r="D119" s="3287" t="s">
        <v>3438</v>
      </c>
      <c r="E119" s="3287" t="s">
        <v>3439</v>
      </c>
      <c r="F119" s="3287" t="s">
        <v>3427</v>
      </c>
      <c r="G119" s="3287" t="s">
        <v>3138</v>
      </c>
      <c r="H119" s="3287">
        <v>-1</v>
      </c>
      <c r="I119" s="3287">
        <v>43.11</v>
      </c>
    </row>
    <row r="120" spans="1:12" ht="36.75" customHeight="1">
      <c r="A120" s="3289">
        <v>117</v>
      </c>
      <c r="B120" s="3287" t="s">
        <v>3440</v>
      </c>
      <c r="C120" s="3287" t="s">
        <v>3140</v>
      </c>
      <c r="D120" s="3287" t="s">
        <v>3441</v>
      </c>
      <c r="E120" s="3287" t="s">
        <v>3442</v>
      </c>
      <c r="F120" s="3287" t="s">
        <v>3427</v>
      </c>
      <c r="G120" s="3287" t="s">
        <v>3138</v>
      </c>
      <c r="H120" s="3287">
        <v>-1</v>
      </c>
      <c r="I120" s="3287">
        <v>43.11</v>
      </c>
    </row>
    <row r="121" spans="1:12" ht="36.75" customHeight="1">
      <c r="A121" s="3289">
        <v>118</v>
      </c>
      <c r="B121" s="3287" t="s">
        <v>3443</v>
      </c>
      <c r="C121" s="3287" t="s">
        <v>3140</v>
      </c>
      <c r="D121" s="3287" t="s">
        <v>3444</v>
      </c>
      <c r="E121" s="3287" t="s">
        <v>3445</v>
      </c>
      <c r="F121" s="3287" t="s">
        <v>3427</v>
      </c>
      <c r="G121" s="3287" t="s">
        <v>3138</v>
      </c>
      <c r="H121" s="3287">
        <v>-1</v>
      </c>
      <c r="I121" s="3287">
        <v>43.11</v>
      </c>
    </row>
    <row r="122" spans="1:12" ht="36.75" customHeight="1">
      <c r="A122" s="3289">
        <v>119</v>
      </c>
      <c r="B122" s="3287" t="s">
        <v>3446</v>
      </c>
      <c r="C122" s="3287" t="s">
        <v>3140</v>
      </c>
      <c r="D122" s="3287" t="s">
        <v>3447</v>
      </c>
      <c r="E122" s="3287" t="s">
        <v>3448</v>
      </c>
      <c r="F122" s="3287" t="s">
        <v>3427</v>
      </c>
      <c r="G122" s="3287" t="s">
        <v>3138</v>
      </c>
      <c r="H122" s="3287">
        <v>-1</v>
      </c>
      <c r="I122" s="3287">
        <v>43.11</v>
      </c>
    </row>
    <row r="123" spans="1:12" ht="36.75" customHeight="1">
      <c r="A123" s="3289">
        <v>120</v>
      </c>
      <c r="B123" s="3287" t="s">
        <v>3449</v>
      </c>
      <c r="C123" s="3287" t="s">
        <v>3140</v>
      </c>
      <c r="D123" s="3287" t="s">
        <v>3450</v>
      </c>
      <c r="E123" s="3287" t="s">
        <v>3451</v>
      </c>
      <c r="F123" s="3287" t="s">
        <v>3427</v>
      </c>
      <c r="G123" s="3287" t="s">
        <v>3138</v>
      </c>
      <c r="H123" s="3287">
        <v>-1</v>
      </c>
      <c r="I123" s="3287">
        <v>43.11</v>
      </c>
    </row>
    <row r="124" spans="1:12" ht="36.75" customHeight="1">
      <c r="A124" s="3289">
        <v>121</v>
      </c>
      <c r="B124" s="3287" t="s">
        <v>3452</v>
      </c>
      <c r="C124" s="3287" t="s">
        <v>3140</v>
      </c>
      <c r="D124" s="3287" t="s">
        <v>3453</v>
      </c>
      <c r="E124" s="3287" t="s">
        <v>3454</v>
      </c>
      <c r="F124" s="3287" t="s">
        <v>3427</v>
      </c>
      <c r="G124" s="3287" t="s">
        <v>3138</v>
      </c>
      <c r="H124" s="3287">
        <v>-1</v>
      </c>
      <c r="I124" s="3287">
        <v>43.11</v>
      </c>
    </row>
    <row r="125" spans="1:12" ht="36.75" customHeight="1">
      <c r="A125" s="3289">
        <v>122</v>
      </c>
      <c r="B125" s="3287" t="s">
        <v>3455</v>
      </c>
      <c r="C125" s="3287" t="s">
        <v>3140</v>
      </c>
      <c r="D125" s="3287" t="s">
        <v>3456</v>
      </c>
      <c r="E125" s="3287" t="s">
        <v>3457</v>
      </c>
      <c r="F125" s="3287" t="s">
        <v>3427</v>
      </c>
      <c r="G125" s="3287" t="s">
        <v>3138</v>
      </c>
      <c r="H125" s="3287">
        <v>-1</v>
      </c>
      <c r="I125" s="3287">
        <v>43.11</v>
      </c>
    </row>
    <row r="126" spans="1:12" ht="36.75" customHeight="1">
      <c r="A126" s="3289">
        <v>123</v>
      </c>
      <c r="B126" s="3287" t="s">
        <v>3458</v>
      </c>
      <c r="C126" s="3287" t="s">
        <v>3140</v>
      </c>
      <c r="D126" s="3287" t="s">
        <v>3459</v>
      </c>
      <c r="E126" s="3287" t="s">
        <v>3460</v>
      </c>
      <c r="F126" s="3287" t="s">
        <v>3427</v>
      </c>
      <c r="G126" s="3287" t="s">
        <v>3138</v>
      </c>
      <c r="H126" s="3287">
        <v>-1</v>
      </c>
      <c r="I126" s="3287">
        <v>43.11</v>
      </c>
    </row>
    <row r="127" spans="1:12" ht="36.75" customHeight="1">
      <c r="A127" s="3289">
        <v>124</v>
      </c>
      <c r="B127" s="3287" t="s">
        <v>3461</v>
      </c>
      <c r="C127" s="3287" t="s">
        <v>3140</v>
      </c>
      <c r="D127" s="3287" t="s">
        <v>3462</v>
      </c>
      <c r="E127" s="3287" t="s">
        <v>3463</v>
      </c>
      <c r="F127" s="3287" t="s">
        <v>3427</v>
      </c>
      <c r="G127" s="3287" t="s">
        <v>3138</v>
      </c>
      <c r="H127" s="3287">
        <v>-1</v>
      </c>
      <c r="I127" s="3287">
        <v>43.11</v>
      </c>
    </row>
    <row r="128" spans="1:12" s="3290" customFormat="1" ht="36.75" customHeight="1">
      <c r="B128" s="3291" t="s">
        <v>3389</v>
      </c>
      <c r="C128" s="3291"/>
      <c r="D128" s="3291"/>
      <c r="E128" s="3291"/>
      <c r="F128" s="3291"/>
      <c r="G128" s="3291"/>
      <c r="H128" s="3291"/>
      <c r="I128" s="3291">
        <f>SUM(I105:I127)</f>
        <v>991.5300000000002</v>
      </c>
      <c r="J128" s="3292"/>
      <c r="K128" s="3292"/>
      <c r="L128" s="3292"/>
    </row>
    <row r="129" spans="2:12" s="3290" customFormat="1" ht="36.75" customHeight="1">
      <c r="B129" s="3291" t="s">
        <v>3464</v>
      </c>
      <c r="C129" s="3291"/>
      <c r="D129" s="3291"/>
      <c r="E129" s="3291"/>
      <c r="F129" s="3291"/>
      <c r="G129" s="3291"/>
      <c r="H129" s="3291"/>
      <c r="I129" s="3291">
        <f>I4+I104+I128</f>
        <v>11628.210000000001</v>
      </c>
      <c r="J129" s="3292"/>
      <c r="K129" s="3292"/>
      <c r="L129" s="3292"/>
    </row>
  </sheetData>
  <phoneticPr fontId="144"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0"/>
      <c r="C1" s="1390"/>
      <c r="D1" s="1390"/>
      <c r="E1" s="1390"/>
      <c r="F1" s="1390"/>
      <c r="G1" s="1390"/>
      <c r="H1" s="1390"/>
      <c r="I1" s="1390"/>
      <c r="J1" s="1390"/>
      <c r="K1" s="1390"/>
      <c r="L1" s="1390"/>
      <c r="M1" s="1390"/>
      <c r="N1" s="1390"/>
      <c r="O1" s="1390"/>
      <c r="P1" s="1390"/>
    </row>
    <row r="2" spans="1:16" ht="15">
      <c r="A2" s="3043" t="s">
        <v>1934</v>
      </c>
      <c r="B2" s="3043"/>
      <c r="C2" s="3043"/>
      <c r="D2" s="965" t="s">
        <v>1910</v>
      </c>
      <c r="E2" s="2223" t="s">
        <v>1911</v>
      </c>
      <c r="F2" s="1390"/>
      <c r="G2" s="2224"/>
      <c r="H2" s="2225"/>
      <c r="I2" s="2226" t="s">
        <v>1935</v>
      </c>
      <c r="J2" s="1390"/>
      <c r="K2" s="1390"/>
      <c r="L2" s="1390"/>
      <c r="M2" s="1390"/>
      <c r="N2" s="1425"/>
      <c r="O2" s="1390"/>
      <c r="P2" s="1390"/>
    </row>
    <row r="3" spans="1:16" ht="15.75" thickBot="1">
      <c r="A3" s="3044" t="s">
        <v>1908</v>
      </c>
      <c r="B3" s="3044"/>
      <c r="C3" s="3044"/>
      <c r="D3" s="46">
        <f>'数据-基础表'!AY6</f>
        <v>0</v>
      </c>
      <c r="E3" s="46">
        <f>'数据-基础表'!AZ5</f>
        <v>11628.210000000001</v>
      </c>
      <c r="F3" s="1390"/>
      <c r="G3" s="1397"/>
      <c r="H3" s="1245" t="s">
        <v>1909</v>
      </c>
      <c r="I3" s="55" t="e">
        <f>ROUND('数据-基础表'!B3/'数据-基础表'!A3,2)</f>
        <v>#DIV/0!</v>
      </c>
      <c r="J3" s="1390"/>
      <c r="K3" s="1390"/>
      <c r="L3" s="1390"/>
      <c r="M3" s="1390"/>
      <c r="N3" s="1425"/>
      <c r="O3" s="1390"/>
      <c r="P3" s="1390"/>
    </row>
    <row r="4" spans="1:16" ht="15">
      <c r="A4" s="3045"/>
      <c r="B4" s="3046"/>
      <c r="C4" s="3047"/>
      <c r="D4" s="2227" t="s">
        <v>1910</v>
      </c>
      <c r="E4" s="2228" t="s">
        <v>1911</v>
      </c>
      <c r="F4" s="1390"/>
      <c r="G4" s="2229" t="s">
        <v>1936</v>
      </c>
      <c r="H4" s="1245" t="s">
        <v>1916</v>
      </c>
      <c r="I4" s="55" t="e">
        <f>ROUND(SUMIF('数据-基础表'!I9:AS9,"地上",'数据-基础表'!I5:AS5)/'数据-基础表'!A3,2)</f>
        <v>#DIV/0!</v>
      </c>
      <c r="J4" s="1390"/>
      <c r="K4" s="1390"/>
      <c r="L4" s="1390"/>
      <c r="M4" s="1390"/>
      <c r="N4" s="1425"/>
      <c r="O4" s="1390"/>
      <c r="P4" s="1390"/>
    </row>
    <row r="5" spans="1:16">
      <c r="A5" s="47" t="s">
        <v>1912</v>
      </c>
      <c r="B5" s="3048" t="s">
        <v>1913</v>
      </c>
      <c r="C5" s="3048"/>
      <c r="D5" s="48">
        <f>ROUND($D$3*E5/$E$3,2)</f>
        <v>0</v>
      </c>
      <c r="E5" s="49">
        <f>SUMIF('数据-基础表'!$11:$11,"住宅",'数据-基础表'!$5:$5)</f>
        <v>0</v>
      </c>
      <c r="F5" s="1390"/>
      <c r="G5" s="1397"/>
      <c r="H5" s="1245" t="s">
        <v>1909</v>
      </c>
      <c r="I5" s="55" t="e">
        <f>ROUND(E31/D31,2)</f>
        <v>#DIV/0!</v>
      </c>
      <c r="J5" s="1390"/>
      <c r="K5" s="1390"/>
      <c r="L5" s="1390"/>
      <c r="M5" s="1390"/>
      <c r="N5" s="1390"/>
      <c r="O5" s="1390"/>
      <c r="P5" s="1390"/>
    </row>
    <row r="6" spans="1:16" ht="15" thickBot="1">
      <c r="A6" s="2230"/>
      <c r="B6" s="3048" t="s">
        <v>1914</v>
      </c>
      <c r="C6" s="3048"/>
      <c r="D6" s="48">
        <f>ROUND($D$3*E6/$E$3,2)</f>
        <v>0</v>
      </c>
      <c r="E6" s="49">
        <f>E3-E5</f>
        <v>11628.210000000001</v>
      </c>
      <c r="F6" s="1390"/>
      <c r="G6" s="2231" t="s">
        <v>1915</v>
      </c>
      <c r="H6" s="1397" t="s">
        <v>1916</v>
      </c>
      <c r="I6" s="937" t="e">
        <f>ROUND(F31/D31,2)</f>
        <v>#DIV/0!</v>
      </c>
      <c r="J6" s="1390"/>
      <c r="K6" s="1390"/>
      <c r="L6" s="1390"/>
      <c r="M6" s="1390"/>
      <c r="N6" s="1390"/>
      <c r="O6" s="1390"/>
      <c r="P6" s="1390"/>
    </row>
    <row r="7" spans="1:16" ht="15">
      <c r="A7" s="3040"/>
      <c r="B7" s="3041"/>
      <c r="C7" s="3042"/>
      <c r="D7" s="2227" t="s">
        <v>1910</v>
      </c>
      <c r="E7" s="2232" t="s">
        <v>1917</v>
      </c>
      <c r="F7" s="1390"/>
      <c r="G7" s="2224" t="s">
        <v>1918</v>
      </c>
      <c r="H7" s="64"/>
      <c r="I7" s="420"/>
      <c r="J7" s="1390"/>
      <c r="K7" s="1390"/>
      <c r="L7" s="1390"/>
      <c r="M7" s="1390"/>
      <c r="N7" s="1390"/>
      <c r="O7" s="1390"/>
      <c r="P7" s="1390"/>
    </row>
    <row r="8" spans="1:16">
      <c r="A8" s="47" t="s">
        <v>1919</v>
      </c>
      <c r="B8" s="50" t="s">
        <v>1920</v>
      </c>
      <c r="C8" s="48" t="s">
        <v>1921</v>
      </c>
      <c r="D8" s="48">
        <f t="shared" ref="D8:D15" si="0">ROUND($D$3*E8/$E$3,2)</f>
        <v>0</v>
      </c>
      <c r="E8" s="51">
        <f>SUMIF('数据-基础表'!BB10:BK10,"地上",'数据-基础表'!BB5:BK5)</f>
        <v>10636.68</v>
      </c>
      <c r="F8" s="1390"/>
      <c r="G8" s="2233"/>
      <c r="H8" s="2233"/>
      <c r="I8" s="1390"/>
      <c r="J8" s="1390"/>
      <c r="K8" s="1390"/>
      <c r="L8" s="1390"/>
      <c r="M8" s="1390"/>
      <c r="N8" s="1390"/>
      <c r="O8" s="1390"/>
      <c r="P8" s="1390"/>
    </row>
    <row r="9" spans="1:16">
      <c r="A9" s="2234"/>
      <c r="B9" s="2235"/>
      <c r="C9" s="48" t="s">
        <v>1922</v>
      </c>
      <c r="D9" s="48">
        <f t="shared" si="0"/>
        <v>0</v>
      </c>
      <c r="E9" s="52">
        <v>0</v>
      </c>
      <c r="F9" s="1390"/>
      <c r="G9" s="2233"/>
      <c r="H9" s="2233"/>
      <c r="I9" s="1390"/>
      <c r="J9" s="1390"/>
      <c r="K9" s="1390"/>
      <c r="L9" s="1390"/>
      <c r="M9" s="1390"/>
      <c r="N9" s="1390"/>
      <c r="O9" s="1390"/>
      <c r="P9" s="1390"/>
    </row>
    <row r="10" spans="1:16">
      <c r="A10" s="2234"/>
      <c r="B10" s="2235"/>
      <c r="C10" s="48" t="s">
        <v>1931</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1923</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1924</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1925</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1937</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1932</v>
      </c>
      <c r="D15" s="48">
        <f t="shared" si="0"/>
        <v>0</v>
      </c>
      <c r="E15" s="51">
        <f>SUMPRODUCT(('数据-基础表'!BB10:BK10="地下")*('数据-基础表'!BB11:BK11="车库—办公")*('数据-基础表'!BB5:BK5))</f>
        <v>991.5300000000002</v>
      </c>
      <c r="F15" s="1390"/>
      <c r="G15" s="2233"/>
      <c r="H15" s="2233"/>
      <c r="I15" s="1390"/>
      <c r="J15" s="1390"/>
      <c r="K15" s="1390"/>
      <c r="L15" s="1390"/>
      <c r="M15" s="1390"/>
      <c r="N15" s="1390"/>
      <c r="O15" s="1390"/>
      <c r="P15" s="1390"/>
    </row>
    <row r="16" spans="1:16" ht="15.75" thickBot="1">
      <c r="A16" s="2230"/>
      <c r="B16" s="2235"/>
      <c r="C16" s="50" t="s">
        <v>1926</v>
      </c>
      <c r="D16" s="50">
        <f>SUM(D8:D15)</f>
        <v>0</v>
      </c>
      <c r="E16" s="53">
        <f>SUM(E8:E15)</f>
        <v>11628.210000000001</v>
      </c>
      <c r="F16" s="1390"/>
      <c r="G16" s="2233"/>
      <c r="H16" s="2236" t="s">
        <v>1938</v>
      </c>
      <c r="I16" s="2237"/>
      <c r="J16" s="1390"/>
      <c r="K16" s="3037" t="s">
        <v>1938</v>
      </c>
      <c r="L16" s="3038"/>
      <c r="M16" s="3038"/>
      <c r="N16" s="3038"/>
      <c r="O16" s="3038"/>
      <c r="P16" s="3039"/>
    </row>
    <row r="17" spans="1:19" ht="15">
      <c r="A17" s="2238" t="s">
        <v>1939</v>
      </c>
      <c r="B17" s="2239" t="s">
        <v>1940</v>
      </c>
      <c r="C17" s="2240" t="s">
        <v>1941</v>
      </c>
      <c r="D17" s="2241" t="s">
        <v>1929</v>
      </c>
      <c r="E17" s="2242" t="s">
        <v>1930</v>
      </c>
      <c r="F17" s="2243"/>
      <c r="G17" s="2244"/>
      <c r="H17" s="2245" t="s">
        <v>1942</v>
      </c>
      <c r="I17" s="2246" t="s">
        <v>1927</v>
      </c>
      <c r="J17" s="1390"/>
      <c r="K17" s="3034" t="s">
        <v>1943</v>
      </c>
      <c r="L17" s="3035"/>
      <c r="M17" s="3036"/>
      <c r="N17" s="3034" t="s">
        <v>1944</v>
      </c>
      <c r="O17" s="3035"/>
      <c r="P17" s="3036"/>
      <c r="R17" s="2224" t="s">
        <v>1945</v>
      </c>
      <c r="S17" s="64"/>
    </row>
    <row r="18" spans="1:19" ht="15">
      <c r="A18" s="2234"/>
      <c r="B18" s="2247"/>
      <c r="C18" s="2248"/>
      <c r="D18" s="2249"/>
      <c r="E18" s="2250" t="s">
        <v>1946</v>
      </c>
      <c r="F18" s="2251" t="s">
        <v>1947</v>
      </c>
      <c r="G18" s="2252" t="s">
        <v>1948</v>
      </c>
      <c r="H18" s="1260" t="s">
        <v>1949</v>
      </c>
      <c r="I18" s="2253" t="s">
        <v>1950</v>
      </c>
      <c r="J18" s="1390"/>
      <c r="K18" s="1260" t="s">
        <v>1951</v>
      </c>
      <c r="L18" s="2254" t="s">
        <v>1952</v>
      </c>
      <c r="M18" s="1044" t="s">
        <v>1953</v>
      </c>
      <c r="N18" s="1260" t="s">
        <v>1951</v>
      </c>
      <c r="O18" s="2254" t="s">
        <v>1952</v>
      </c>
      <c r="P18" s="1044" t="s">
        <v>1953</v>
      </c>
      <c r="R18" s="1245" t="s">
        <v>1954</v>
      </c>
      <c r="S18" s="1245" t="s">
        <v>1955</v>
      </c>
    </row>
    <row r="19" spans="1:19">
      <c r="A19" s="2255"/>
      <c r="B19" s="50" t="s">
        <v>1928</v>
      </c>
      <c r="C19" s="3293" t="s">
        <v>3469</v>
      </c>
      <c r="D19" s="48">
        <f>ROUND($D$3*E19/$E$3,2)</f>
        <v>0</v>
      </c>
      <c r="E19" s="56">
        <f t="shared" ref="E19:E26" si="1">SUM(F19:G19)</f>
        <v>2104.29</v>
      </c>
      <c r="F19" s="57">
        <f>'数据-基础表'!I13</f>
        <v>2104.29</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2104.29</v>
      </c>
    </row>
    <row r="20" spans="1:19">
      <c r="A20" s="2258"/>
      <c r="B20" s="50" t="s">
        <v>1956</v>
      </c>
      <c r="C20" s="3293" t="s">
        <v>3470</v>
      </c>
      <c r="D20" s="48">
        <f t="shared" ref="D20:D26" si="6">ROUND($D$3*E20/$E$3,2)</f>
        <v>0</v>
      </c>
      <c r="E20" s="56">
        <f t="shared" si="1"/>
        <v>8532.39</v>
      </c>
      <c r="F20" s="57">
        <f>'数据-基础表'!K13</f>
        <v>8532.39</v>
      </c>
      <c r="G20" s="58"/>
      <c r="H20" s="723">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8532.39</v>
      </c>
    </row>
    <row r="21" spans="1:19">
      <c r="A21" s="2258"/>
      <c r="B21" s="50" t="s">
        <v>1956</v>
      </c>
      <c r="C21" s="3293" t="s">
        <v>3471</v>
      </c>
      <c r="D21" s="48">
        <f t="shared" si="6"/>
        <v>0</v>
      </c>
      <c r="E21" s="56">
        <f t="shared" si="1"/>
        <v>991.5300000000002</v>
      </c>
      <c r="F21" s="57"/>
      <c r="G21" s="58">
        <f>'数据-基础表'!M13</f>
        <v>991.5300000000002</v>
      </c>
      <c r="H21" s="723">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991.5300000000002</v>
      </c>
    </row>
    <row r="22" spans="1:19">
      <c r="A22" s="2258"/>
      <c r="B22" s="50" t="s">
        <v>1956</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1956</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1956</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1957</v>
      </c>
      <c r="D27" s="1391">
        <f>SUM(D19:D26)</f>
        <v>0</v>
      </c>
      <c r="E27" s="1392">
        <f>IF(SUM(E19:E26)='数据-基础表'!BA5,SUM(E19:E26),IF(F27="地上面积有误","面积有误","地下面积有误"))</f>
        <v>11628.210000000001</v>
      </c>
      <c r="F27" s="1391">
        <f>IF(SUM(F19:F26)=E8,SUM(F19:F26),"地上面积有误")</f>
        <v>10636.68</v>
      </c>
      <c r="G27" s="1393">
        <f>SUM(G19:G26)</f>
        <v>991.5300000000002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11628.210000000001</v>
      </c>
    </row>
    <row r="28" spans="1:19">
      <c r="A28" s="2258"/>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1958</v>
      </c>
      <c r="C29" s="2262"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1961</v>
      </c>
      <c r="D31" s="729">
        <f>D27+D30</f>
        <v>0</v>
      </c>
      <c r="E31" s="729">
        <f>E27+E30</f>
        <v>11628.210000000001</v>
      </c>
      <c r="F31" s="730">
        <f>F27+F30</f>
        <v>10636.68</v>
      </c>
      <c r="G31" s="731">
        <f>G27+G30</f>
        <v>991.5300000000002</v>
      </c>
      <c r="H31" s="1390"/>
      <c r="I31" s="1390"/>
      <c r="J31" s="1390"/>
      <c r="K31" s="1390"/>
      <c r="L31" s="1390"/>
      <c r="M31" s="1390"/>
      <c r="N31" s="1390"/>
      <c r="O31" s="1390"/>
      <c r="P31" s="1390"/>
    </row>
    <row r="32" spans="1:19">
      <c r="A32" s="2229"/>
      <c r="B32" s="2229" t="s">
        <v>1962</v>
      </c>
      <c r="C32" s="2229"/>
      <c r="D32" s="2229"/>
      <c r="E32" s="1272">
        <f>SUMIF(C19:C26,"*住宅*",E19:E26)</f>
        <v>0</v>
      </c>
      <c r="F32" s="2229"/>
      <c r="G32" s="2229"/>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AN17" sqref="AN1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4" width="6.75" style="2270" customWidth="1"/>
    <col min="25" max="25" width="9.375" style="2270" customWidth="1"/>
    <col min="26"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79"/>
      <c r="D1" s="2268"/>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1964</v>
      </c>
      <c r="B2" s="1264">
        <f>项目基本情况!D3</f>
        <v>43185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6" t="s">
        <v>1975</v>
      </c>
      <c r="F5" s="2288" t="s">
        <v>1976</v>
      </c>
      <c r="G5" s="1266" t="s">
        <v>1977</v>
      </c>
      <c r="H5" s="1266" t="s">
        <v>1978</v>
      </c>
      <c r="I5" s="1266" t="s">
        <v>1979</v>
      </c>
      <c r="J5" s="2289" t="s">
        <v>1980</v>
      </c>
      <c r="K5" s="2290" t="s">
        <v>1981</v>
      </c>
      <c r="L5" s="2291" t="s">
        <v>1982</v>
      </c>
      <c r="M5" s="2292" t="s">
        <v>1983</v>
      </c>
      <c r="N5" s="2293" t="s">
        <v>3577</v>
      </c>
      <c r="O5" s="2291" t="s">
        <v>1984</v>
      </c>
      <c r="P5" s="2294" t="s">
        <v>1985</v>
      </c>
      <c r="Q5" s="69" t="s">
        <v>1986</v>
      </c>
      <c r="R5" s="2295" t="s">
        <v>1987</v>
      </c>
      <c r="S5" s="2296" t="s">
        <v>1988</v>
      </c>
      <c r="T5" s="2297" t="s">
        <v>1989</v>
      </c>
      <c r="U5" s="1265" t="s">
        <v>1990</v>
      </c>
      <c r="V5" s="1266" t="s">
        <v>1991</v>
      </c>
      <c r="W5" s="1266" t="s">
        <v>1992</v>
      </c>
      <c r="X5" s="71"/>
      <c r="Y5" s="70" t="s">
        <v>1993</v>
      </c>
      <c r="Z5" s="2298" t="s">
        <v>1990</v>
      </c>
      <c r="AA5" s="1266" t="s">
        <v>1991</v>
      </c>
      <c r="AB5" s="1266" t="s">
        <v>1992</v>
      </c>
      <c r="AC5" s="71"/>
      <c r="AD5" s="71" t="s">
        <v>1993</v>
      </c>
      <c r="AE5" s="1265" t="s">
        <v>1994</v>
      </c>
      <c r="AF5" s="1266" t="s">
        <v>1995</v>
      </c>
      <c r="AG5" s="70" t="s">
        <v>1996</v>
      </c>
      <c r="AH5" s="1265" t="s">
        <v>1997</v>
      </c>
      <c r="AI5" s="2298" t="s">
        <v>1998</v>
      </c>
      <c r="AJ5" s="2298" t="s">
        <v>1999</v>
      </c>
      <c r="AK5" s="1266" t="s">
        <v>2000</v>
      </c>
      <c r="AL5" s="1266" t="s">
        <v>2001</v>
      </c>
      <c r="AM5" s="70" t="s">
        <v>2002</v>
      </c>
      <c r="AN5" s="2299" t="s">
        <v>2003</v>
      </c>
      <c r="AO5" s="2070" t="s">
        <v>2004</v>
      </c>
      <c r="AP5" s="1247"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商业</v>
      </c>
      <c r="B6" s="2302" t="str">
        <f>IF(A6=0,"","经营性")</f>
        <v>经营性</v>
      </c>
      <c r="C6" s="2303" t="s">
        <v>1377</v>
      </c>
      <c r="D6" s="1049">
        <f>SUMIF(项目基本情况!D$12:I$12,C6,项目基本情况!D$14:I$14)</f>
        <v>40</v>
      </c>
      <c r="E6" s="1046">
        <f>IF(B6="","",SUMIF(项目基本情况!D$12:I$12,C6,项目基本情况!D$13:I$13))</f>
        <v>54584</v>
      </c>
      <c r="F6" s="72">
        <f>SUMIF(项目基本情况!D$12:I$12,C6,项目基本情况!D$15:I$15)</f>
        <v>31.23</v>
      </c>
      <c r="G6" s="73">
        <f>IF(ISERROR(ROUND(POWER(1+H6,D6-F6)*(POWER(1+H6,F6)-1)/(POWER(1+H6,D6)-1),3)),0,ROUND(POWER(1+H6,D6-F6)*(POWER(1+H6,F6)-1)/(POWER(1+H6,D6)-1),3))</f>
        <v>0.91200000000000003</v>
      </c>
      <c r="H6" s="802">
        <v>0.05</v>
      </c>
      <c r="I6" s="802">
        <v>6.5000000000000002E-2</v>
      </c>
      <c r="J6" s="74">
        <v>8.5000000000000006E-2</v>
      </c>
      <c r="K6" s="1249">
        <f>SUMIF('数据-汇总表'!C$19:C$33,A6,'数据-汇总表'!E$19:E$33)</f>
        <v>2104.29</v>
      </c>
      <c r="L6" s="803">
        <v>3000</v>
      </c>
      <c r="M6" s="75">
        <f t="shared" ref="M6:M14" si="0">ROUND(K6*L6/10000,0)</f>
        <v>631</v>
      </c>
      <c r="N6" s="801">
        <f>ROUND(1-(2018-2012)/60,2)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1">
        <f>ROUND($L$14*S6/10000,0)</f>
        <v>0</v>
      </c>
      <c r="U6" s="78">
        <v>9</v>
      </c>
      <c r="V6" s="79">
        <v>0.03</v>
      </c>
      <c r="W6" s="79">
        <v>0.1</v>
      </c>
      <c r="X6" s="1259"/>
      <c r="Y6" s="80">
        <f>N6</f>
        <v>0.9</v>
      </c>
      <c r="Z6" s="81"/>
      <c r="AA6" s="74"/>
      <c r="AB6" s="74"/>
      <c r="AC6" s="1259"/>
      <c r="AD6" s="82"/>
      <c r="AE6" s="1260">
        <f ca="1">IF(AN6="",0,SUMIF(INDIRECT("'"&amp;AN6&amp;"'"&amp;"!E:E"),$AE$5,INDIRECT("'"&amp;AN6&amp;"'"&amp;"!F:F")))</f>
        <v>31.23</v>
      </c>
      <c r="AF6" s="1802"/>
      <c r="AG6" s="147">
        <f>IF(AF6="",0,AE6-AF6)</f>
        <v>0</v>
      </c>
      <c r="AH6" s="83"/>
      <c r="AI6" s="85">
        <v>365</v>
      </c>
      <c r="AJ6" s="86"/>
      <c r="AK6" s="87">
        <v>1.4999999999999999E-2</v>
      </c>
      <c r="AL6" s="88">
        <v>1.5E-3</v>
      </c>
      <c r="AM6" s="89">
        <v>0.03</v>
      </c>
      <c r="AN6" s="2304" t="s">
        <v>3038</v>
      </c>
      <c r="AO6" s="55">
        <f ca="1">SUMIF(INDIRECT("'"&amp;AN6&amp;"'"&amp;"!A:A"),"总价",INDIRECT("'"&amp;AN6&amp;"'"&amp;"!B:B"))</f>
        <v>8914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办公</v>
      </c>
      <c r="B7" s="2302" t="str">
        <f t="shared" ref="B7:B13" si="1">IF(A7=0,"","经营性")</f>
        <v>经营性</v>
      </c>
      <c r="C7" s="2303" t="s">
        <v>27</v>
      </c>
      <c r="D7" s="1049">
        <f>SUMIF(项目基本情况!D$12:I$12,C7,项目基本情况!D$14:I$14)</f>
        <v>50</v>
      </c>
      <c r="E7" s="1046">
        <f>IF(B7="","",SUMIF(项目基本情况!D$12:I$12,C7,项目基本情况!D$13:I$13))</f>
        <v>58236</v>
      </c>
      <c r="F7" s="72">
        <f>SUMIF(项目基本情况!D$12:I$12,C7,项目基本情况!D$15:I$15)</f>
        <v>41.23</v>
      </c>
      <c r="G7" s="73">
        <f t="shared" ref="G7:G11" si="2">IF(ISERROR(ROUND(POWER(1+H7,D7-F7)*(POWER(1+H7,F7)-1)/(POWER(1+H7,D7)-1),3)),0,ROUND(POWER(1+H7,D7-F7)*(POWER(1+H7,F7)-1)/(POWER(1+H7,D7)-1),3))</f>
        <v>0.94899999999999995</v>
      </c>
      <c r="H7" s="802">
        <v>0.05</v>
      </c>
      <c r="I7" s="802">
        <v>0.06</v>
      </c>
      <c r="J7" s="74">
        <v>8.5000000000000006E-2</v>
      </c>
      <c r="K7" s="1249">
        <f>SUMIF('数据-汇总表'!C$19:C$33,A7,'数据-汇总表'!E$19:E$33)</f>
        <v>8532.39</v>
      </c>
      <c r="L7" s="803">
        <v>3000</v>
      </c>
      <c r="M7" s="75">
        <f t="shared" si="0"/>
        <v>2560</v>
      </c>
      <c r="N7" s="801">
        <f t="shared" ref="N7:N8" si="3">ROUND(1-(2018-2012)/60,2)</f>
        <v>0.9</v>
      </c>
      <c r="O7" s="75" t="str">
        <f t="shared" ref="O7:O14" si="4">IF($N$5="成新度","——",ROUND(M7*N7,0))</f>
        <v>——</v>
      </c>
      <c r="P7" s="76" t="str">
        <f t="shared" ref="P7:P14" si="5">IF($N$5="成新度","——",M7-O7)</f>
        <v>——</v>
      </c>
      <c r="Q7" s="804">
        <v>0.15</v>
      </c>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v>5.8</v>
      </c>
      <c r="V7" s="79">
        <v>0.03</v>
      </c>
      <c r="W7" s="79">
        <v>0.1</v>
      </c>
      <c r="X7" s="1259"/>
      <c r="Y7" s="80">
        <f t="shared" ref="Y7:Y8" si="7">N7</f>
        <v>0.9</v>
      </c>
      <c r="Z7" s="81"/>
      <c r="AA7" s="74"/>
      <c r="AB7" s="74"/>
      <c r="AC7" s="1259"/>
      <c r="AD7" s="82"/>
      <c r="AE7" s="1260">
        <f t="shared" ref="AE7:AE13" ca="1" si="8">IF(AN7="",0,SUMIF(INDIRECT("'"&amp;AN7&amp;"'"&amp;"!E:E"),$AE$5,INDIRECT("'"&amp;AN7&amp;"'"&amp;"!F:F")))</f>
        <v>41.23</v>
      </c>
      <c r="AF7" s="1802"/>
      <c r="AG7" s="147">
        <f t="shared" ref="AG7:AG13" si="9">IF(AF7="",0,AE7-AF7)</f>
        <v>0</v>
      </c>
      <c r="AH7" s="83"/>
      <c r="AI7" s="85">
        <v>365</v>
      </c>
      <c r="AJ7" s="86"/>
      <c r="AK7" s="87">
        <v>1.4999999999999999E-2</v>
      </c>
      <c r="AL7" s="88">
        <v>1.5E-3</v>
      </c>
      <c r="AM7" s="89">
        <v>0.03</v>
      </c>
      <c r="AN7" s="2304" t="s">
        <v>3578</v>
      </c>
      <c r="AO7" s="55">
        <f t="shared" ref="AO7:AO13" ca="1" si="10">SUMIF(INDIRECT("'"&amp;AN7&amp;"'"&amp;"!A:A"),"总价",INDIRECT("'"&amp;AN7&amp;"'"&amp;"!B:B"))</f>
        <v>28616</v>
      </c>
      <c r="AP7" s="2305">
        <f t="shared" ref="AP7:AP13" si="11">IF(C7="住宅",K7*L7,0)</f>
        <v>0</v>
      </c>
      <c r="AQ7" s="55">
        <f t="shared" ref="AQ7:AQ13" si="12">ROUND($L$14*$N$14*S7/10000,0)</f>
        <v>0</v>
      </c>
      <c r="AR7" s="55">
        <f t="shared" ref="AR7:AR13" si="13">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3472</v>
      </c>
      <c r="D8" s="1049">
        <f>SUMIF(项目基本情况!D$12:I$12,C8,项目基本情况!D$14:I$14)</f>
        <v>50</v>
      </c>
      <c r="E8" s="1046">
        <f>IF(B8="","",SUMIF(项目基本情况!D$12:I$12,C8,项目基本情况!D$13:I$13))</f>
        <v>58236</v>
      </c>
      <c r="F8" s="72">
        <f>SUMIF(项目基本情况!D$12:I$12,C8,项目基本情况!D$15:I$15)</f>
        <v>41.23</v>
      </c>
      <c r="G8" s="73">
        <f t="shared" si="2"/>
        <v>0.94899999999999995</v>
      </c>
      <c r="H8" s="802">
        <v>0.05</v>
      </c>
      <c r="I8" s="802">
        <v>5.5E-2</v>
      </c>
      <c r="J8" s="74">
        <v>8.5000000000000006E-2</v>
      </c>
      <c r="K8" s="1249">
        <f>SUMIF('数据-汇总表'!C$19:C$33,A8,'数据-汇总表'!E$19:E$33)</f>
        <v>991.5300000000002</v>
      </c>
      <c r="L8" s="803">
        <v>2000</v>
      </c>
      <c r="M8" s="75">
        <f>ROUND(K8*L8/10000,0)</f>
        <v>198</v>
      </c>
      <c r="N8" s="801">
        <f t="shared" si="3"/>
        <v>0.9</v>
      </c>
      <c r="O8" s="75" t="str">
        <f t="shared" si="4"/>
        <v>——</v>
      </c>
      <c r="P8" s="76" t="str">
        <f t="shared" si="5"/>
        <v>——</v>
      </c>
      <c r="Q8" s="804">
        <v>0.03</v>
      </c>
      <c r="R8" s="77">
        <f ca="1">SUMIF('数据-汇总表'!C$19:C$33,A8,'数据-汇总表'!R$19:R$27)</f>
        <v>0</v>
      </c>
      <c r="S8" s="54">
        <f>IF('数据-汇总表'!$I$17="按面积比例",SUMIF('数据-汇总表'!C$19:C$33,A8,'数据-汇总表'!K$19:K$33),SUMIF('数据-汇总表'!C$19:C$33,A8,'数据-汇总表'!N$19:N$33))</f>
        <v>0</v>
      </c>
      <c r="T8" s="1441">
        <f t="shared" si="6"/>
        <v>0</v>
      </c>
      <c r="U8" s="805">
        <v>800</v>
      </c>
      <c r="V8" s="79">
        <v>0.03</v>
      </c>
      <c r="W8" s="79">
        <v>0.1</v>
      </c>
      <c r="X8" s="1259"/>
      <c r="Y8" s="80">
        <f t="shared" si="7"/>
        <v>0.9</v>
      </c>
      <c r="Z8" s="81"/>
      <c r="AA8" s="74"/>
      <c r="AB8" s="74"/>
      <c r="AC8" s="1259"/>
      <c r="AD8" s="82"/>
      <c r="AE8" s="1260">
        <f t="shared" ca="1" si="8"/>
        <v>41.23</v>
      </c>
      <c r="AF8" s="1802"/>
      <c r="AG8" s="147">
        <f t="shared" si="9"/>
        <v>0</v>
      </c>
      <c r="AH8" s="806">
        <v>23</v>
      </c>
      <c r="AI8" s="85">
        <v>12</v>
      </c>
      <c r="AJ8" s="86"/>
      <c r="AK8" s="87">
        <v>1.4999999999999999E-2</v>
      </c>
      <c r="AL8" s="88">
        <v>1.5E-3</v>
      </c>
      <c r="AM8" s="89">
        <v>0.03</v>
      </c>
      <c r="AN8" s="2304" t="s">
        <v>3039</v>
      </c>
      <c r="AO8" s="55">
        <f t="shared" ca="1" si="10"/>
        <v>280</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1">
        <f t="shared" si="6"/>
        <v>0</v>
      </c>
      <c r="U9" s="78"/>
      <c r="V9" s="79"/>
      <c r="W9" s="79"/>
      <c r="X9" s="1259"/>
      <c r="Y9" s="80"/>
      <c r="Z9" s="81"/>
      <c r="AA9" s="74"/>
      <c r="AB9" s="74"/>
      <c r="AC9" s="1259"/>
      <c r="AD9" s="82"/>
      <c r="AE9" s="1260">
        <f t="shared" ca="1" si="8"/>
        <v>0</v>
      </c>
      <c r="AF9" s="1802"/>
      <c r="AG9" s="147">
        <f t="shared" si="9"/>
        <v>0</v>
      </c>
      <c r="AH9" s="83"/>
      <c r="AI9" s="85"/>
      <c r="AJ9" s="86"/>
      <c r="AK9" s="87"/>
      <c r="AL9" s="88"/>
      <c r="AM9" s="89"/>
      <c r="AN9" s="2304"/>
      <c r="AO9" s="55" t="e">
        <f t="shared" ca="1" si="10"/>
        <v>#REF!</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8"/>
        <v>0</v>
      </c>
      <c r="AF10" s="1802"/>
      <c r="AG10" s="147">
        <f t="shared" si="9"/>
        <v>0</v>
      </c>
      <c r="AH10" s="83"/>
      <c r="AI10" s="85"/>
      <c r="AJ10" s="86"/>
      <c r="AK10" s="87"/>
      <c r="AL10" s="88"/>
      <c r="AM10" s="89"/>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8"/>
        <v>0</v>
      </c>
      <c r="AF11" s="1802"/>
      <c r="AG11" s="147">
        <f t="shared" si="9"/>
        <v>0</v>
      </c>
      <c r="AH11" s="83"/>
      <c r="AI11" s="85"/>
      <c r="AJ11" s="86"/>
      <c r="AK11" s="94"/>
      <c r="AL11" s="95"/>
      <c r="AM11" s="96"/>
      <c r="AN11" s="2304"/>
      <c r="AO11" s="55" t="e">
        <f t="shared" ca="1" si="10"/>
        <v>#REF!</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8"/>
        <v>0</v>
      </c>
      <c r="AF12" s="1802"/>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8"/>
        <v>0</v>
      </c>
      <c r="AF13" s="1802"/>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3"/>
      <c r="D16" s="2309"/>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9"/>
      <c r="D17" s="2268"/>
      <c r="E17" s="2268"/>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5"/>
      <c r="C18" s="2272"/>
      <c r="D18" s="2273"/>
      <c r="E18" s="2272"/>
      <c r="F18" s="2272"/>
      <c r="G18" s="2272"/>
      <c r="H18" s="2272"/>
      <c r="I18" s="2272"/>
      <c r="J18" s="2272"/>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2014</v>
      </c>
      <c r="B19" s="112">
        <v>0</v>
      </c>
      <c r="C19" s="2272" t="s">
        <v>2015</v>
      </c>
      <c r="D19" s="2273"/>
      <c r="E19" s="2272"/>
      <c r="F19" s="2272"/>
      <c r="G19" s="2272"/>
      <c r="H19" s="2272"/>
      <c r="I19" s="2272"/>
      <c r="J19" s="2272"/>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2016</v>
      </c>
      <c r="B20" s="113">
        <v>2</v>
      </c>
      <c r="C20" s="2272" t="s">
        <v>2017</v>
      </c>
      <c r="D20" s="2273"/>
      <c r="E20" s="2272"/>
      <c r="F20" s="2272"/>
      <c r="G20" s="2272"/>
      <c r="H20" s="2272"/>
      <c r="I20" s="2272"/>
      <c r="J20" s="2272"/>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2018</v>
      </c>
      <c r="B21" s="113">
        <v>2</v>
      </c>
      <c r="C21" s="2272"/>
      <c r="D21" s="2273"/>
      <c r="E21" s="2272"/>
      <c r="F21" s="2272"/>
      <c r="G21" s="2272"/>
      <c r="H21" s="2272"/>
      <c r="I21" s="2272"/>
      <c r="J21" s="2272"/>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2019</v>
      </c>
      <c r="B22" s="114">
        <f>B19+B20</f>
        <v>2</v>
      </c>
      <c r="C22" s="2272"/>
      <c r="D22" s="2273"/>
      <c r="E22" s="2272"/>
      <c r="F22" s="2272"/>
      <c r="G22" s="2272"/>
      <c r="H22" s="2272"/>
      <c r="I22" s="2272"/>
      <c r="J22" s="2272"/>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2020</v>
      </c>
      <c r="B23" s="114">
        <f>B19+B21</f>
        <v>2</v>
      </c>
      <c r="C23" s="2272"/>
      <c r="D23" s="2273"/>
      <c r="E23" s="2272"/>
      <c r="F23" s="2272"/>
      <c r="G23" s="2272"/>
      <c r="H23" s="2272"/>
      <c r="I23" s="2272"/>
      <c r="J23" s="2272"/>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2021</v>
      </c>
      <c r="B24" s="115">
        <f>B20-B21</f>
        <v>0</v>
      </c>
      <c r="C24" s="2272"/>
      <c r="D24" s="2273"/>
      <c r="E24" s="2272"/>
      <c r="F24" s="2272"/>
      <c r="G24" s="2272"/>
      <c r="H24" s="2272"/>
      <c r="I24" s="2272"/>
      <c r="J24" s="2272"/>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2022</v>
      </c>
      <c r="B26" s="2315" t="s">
        <v>2023</v>
      </c>
      <c r="C26" s="2316" t="s">
        <v>2024</v>
      </c>
      <c r="D26" s="2273"/>
      <c r="E26" s="2272"/>
      <c r="F26" s="2272"/>
      <c r="G26" s="2272"/>
      <c r="H26" s="2272"/>
      <c r="I26" s="2272"/>
      <c r="J26" s="2272"/>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2025</v>
      </c>
      <c r="B27" s="116">
        <v>160</v>
      </c>
      <c r="C27" s="1762" t="s">
        <v>2026</v>
      </c>
      <c r="D27" s="2318"/>
      <c r="E27" s="1425"/>
      <c r="F27" s="1425"/>
      <c r="G27" s="2272"/>
      <c r="H27" s="2272"/>
      <c r="I27" s="2272"/>
      <c r="J27" s="2272"/>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2027</v>
      </c>
      <c r="B28" s="119">
        <v>200</v>
      </c>
      <c r="C28" s="2321"/>
      <c r="D28" s="2318"/>
      <c r="E28" s="1425"/>
      <c r="F28" s="1425"/>
      <c r="G28" s="2272"/>
      <c r="H28" s="2272"/>
      <c r="I28" s="2272"/>
      <c r="J28" s="2272"/>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2028</v>
      </c>
      <c r="B29" s="121">
        <f ca="1">成本法!C10+成本法!C9</f>
        <v>233</v>
      </c>
      <c r="C29" s="1762" t="s">
        <v>2029</v>
      </c>
      <c r="D29" s="2318"/>
      <c r="E29" s="1425"/>
      <c r="F29" s="1425"/>
      <c r="G29" s="2272"/>
      <c r="H29" s="2272"/>
      <c r="I29" s="2272"/>
      <c r="J29" s="2272"/>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2030</v>
      </c>
      <c r="B30" s="724">
        <v>200</v>
      </c>
      <c r="C30" s="2321"/>
      <c r="D30" s="2318"/>
      <c r="E30" s="1425"/>
      <c r="F30" s="1425"/>
      <c r="G30" s="2272"/>
      <c r="H30" s="2272"/>
      <c r="I30" s="2272"/>
      <c r="J30" s="2272"/>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2031</v>
      </c>
      <c r="B31" s="120">
        <f>B30-B32</f>
        <v>200</v>
      </c>
      <c r="C31" s="1762"/>
      <c r="D31" s="2318"/>
      <c r="E31" s="1425"/>
      <c r="F31" s="1425"/>
      <c r="G31" s="2272"/>
      <c r="H31" s="2272"/>
      <c r="I31" s="2272"/>
      <c r="J31" s="2272"/>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2032</v>
      </c>
      <c r="B32" s="725">
        <v>0</v>
      </c>
      <c r="C32" s="2321"/>
      <c r="D32" s="2273"/>
      <c r="E32" s="2272"/>
      <c r="F32" s="2272"/>
      <c r="G32" s="2272"/>
      <c r="H32" s="2272"/>
      <c r="I32" s="2272"/>
      <c r="J32" s="2272"/>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2033</v>
      </c>
      <c r="B33" s="726">
        <v>0.03</v>
      </c>
      <c r="C33" s="1761" t="s">
        <v>2034</v>
      </c>
      <c r="D33" s="2273"/>
      <c r="E33" s="2272"/>
      <c r="F33" s="2272"/>
      <c r="G33" s="2272"/>
      <c r="H33" s="2272"/>
      <c r="I33" s="2272"/>
      <c r="J33" s="2272"/>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2035</v>
      </c>
      <c r="B34" s="122">
        <v>0</v>
      </c>
      <c r="C34" s="1761" t="s">
        <v>2036</v>
      </c>
      <c r="D34" s="2273" t="s">
        <v>2037</v>
      </c>
      <c r="E34" s="732"/>
      <c r="F34" s="2272"/>
      <c r="G34" s="2272"/>
      <c r="H34" s="2272"/>
      <c r="I34" s="2272"/>
      <c r="J34" s="2272"/>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2038</v>
      </c>
      <c r="B35" s="119">
        <v>200</v>
      </c>
      <c r="C35" s="1761" t="s">
        <v>2039</v>
      </c>
      <c r="D35" s="2318"/>
      <c r="E35" s="1425"/>
      <c r="F35" s="1425"/>
      <c r="G35" s="2272"/>
      <c r="H35" s="2272"/>
      <c r="I35" s="2272"/>
      <c r="J35" s="2272"/>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2040</v>
      </c>
      <c r="B36" s="123">
        <v>1.4999999999999999E-2</v>
      </c>
      <c r="C36" s="1761" t="s">
        <v>2041</v>
      </c>
      <c r="D36" s="2273"/>
      <c r="E36" s="2272"/>
      <c r="F36" s="2272"/>
      <c r="G36" s="2272"/>
      <c r="H36" s="2272"/>
      <c r="I36" s="2272"/>
      <c r="J36" s="2272"/>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2042</v>
      </c>
      <c r="B37" s="124">
        <v>0.02</v>
      </c>
      <c r="C37" s="1761" t="s">
        <v>2043</v>
      </c>
      <c r="D37" s="2273"/>
      <c r="E37" s="2272"/>
      <c r="F37" s="2272"/>
      <c r="G37" s="2272"/>
      <c r="H37" s="2272"/>
      <c r="I37" s="2272"/>
      <c r="J37" s="2272"/>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2044</v>
      </c>
      <c r="B38" s="122">
        <v>0.03</v>
      </c>
      <c r="C38" s="1761" t="s">
        <v>2043</v>
      </c>
      <c r="D38" s="2273"/>
      <c r="E38" s="2272"/>
      <c r="F38" s="2272"/>
      <c r="G38" s="2272"/>
      <c r="H38" s="2272"/>
      <c r="I38" s="2272"/>
      <c r="J38" s="2272"/>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2045</v>
      </c>
      <c r="B39" s="362">
        <f ca="1">存贷款利率!I1</f>
        <v>1.4999999999999999E-2</v>
      </c>
      <c r="C39" s="1761"/>
      <c r="D39" s="2273"/>
      <c r="E39" s="2272"/>
      <c r="F39" s="2272"/>
      <c r="G39" s="2272"/>
      <c r="H39" s="2272"/>
      <c r="I39" s="2272"/>
      <c r="J39" s="2272"/>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2046</v>
      </c>
      <c r="B40" s="1298">
        <f ca="1">存贷款利率!G1</f>
        <v>4.7500000000000001E-2</v>
      </c>
      <c r="C40" s="1761" t="s">
        <v>2047</v>
      </c>
      <c r="D40" s="1579"/>
      <c r="E40" s="2273"/>
      <c r="F40" s="2272"/>
      <c r="G40" s="2272"/>
      <c r="H40" s="2272"/>
      <c r="I40" s="2272"/>
      <c r="J40" s="2272"/>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2048</v>
      </c>
      <c r="B41" s="125">
        <f>B42+B43</f>
        <v>5.6000000000000001E-2</v>
      </c>
      <c r="C41" s="1762"/>
      <c r="D41" s="1579"/>
      <c r="E41" s="2273"/>
      <c r="F41" s="2272"/>
      <c r="G41" s="2272"/>
      <c r="H41" s="2272"/>
      <c r="I41" s="2272"/>
      <c r="J41" s="2272"/>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2049</v>
      </c>
      <c r="B42" s="126">
        <v>0.05</v>
      </c>
      <c r="C42" s="2326">
        <f>IF(B2&lt;DATE(2016,5,1),0,B42)</f>
        <v>0.05</v>
      </c>
      <c r="D42" s="2273"/>
      <c r="E42" s="2272"/>
      <c r="F42" s="2272"/>
      <c r="G42" s="2272"/>
      <c r="H42" s="2272"/>
      <c r="I42" s="2272"/>
      <c r="J42" s="2272"/>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2050</v>
      </c>
      <c r="B43" s="127">
        <f>B42*(B44+B45+B46)+B47</f>
        <v>6.000000000000001E-3</v>
      </c>
      <c r="C43" s="1762"/>
      <c r="D43" s="2273"/>
      <c r="E43" s="2272"/>
      <c r="F43" s="2272"/>
      <c r="G43" s="2272"/>
      <c r="H43" s="2272"/>
      <c r="I43" s="2272"/>
      <c r="J43" s="2272"/>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2051</v>
      </c>
      <c r="B44" s="128">
        <v>7.0000000000000007E-2</v>
      </c>
      <c r="C44" s="1761" t="s">
        <v>2052</v>
      </c>
      <c r="D44" s="2273"/>
      <c r="E44" s="2272"/>
      <c r="F44" s="2272"/>
      <c r="G44" s="2272"/>
      <c r="H44" s="2272"/>
      <c r="I44" s="2272"/>
      <c r="J44" s="2272"/>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2053</v>
      </c>
      <c r="B45" s="126">
        <v>0.03</v>
      </c>
      <c r="C45" s="1762" t="s">
        <v>2054</v>
      </c>
      <c r="D45" s="2273"/>
      <c r="E45" s="2272"/>
      <c r="F45" s="2272"/>
      <c r="G45" s="2272"/>
      <c r="H45" s="2272"/>
      <c r="I45" s="2272"/>
      <c r="J45" s="2272"/>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2055</v>
      </c>
      <c r="B46" s="126">
        <v>0.02</v>
      </c>
      <c r="C46" s="1762" t="s">
        <v>2056</v>
      </c>
      <c r="D46" s="2273"/>
      <c r="E46" s="2272"/>
      <c r="F46" s="2272"/>
      <c r="G46" s="2272"/>
      <c r="H46" s="2272"/>
      <c r="I46" s="2272"/>
      <c r="J46" s="2272"/>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2057</v>
      </c>
      <c r="B47" s="129">
        <v>0</v>
      </c>
      <c r="C47" s="1762" t="s">
        <v>2058</v>
      </c>
      <c r="D47" s="2273"/>
      <c r="E47" s="2272"/>
      <c r="F47" s="2272"/>
      <c r="G47" s="2272"/>
      <c r="H47" s="2272"/>
      <c r="I47" s="2272"/>
      <c r="J47" s="2272"/>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2059</v>
      </c>
      <c r="B48" s="130">
        <v>0.03</v>
      </c>
      <c r="C48" s="1769" t="s">
        <v>2060</v>
      </c>
      <c r="D48" s="2273"/>
      <c r="E48" s="2272"/>
      <c r="F48" s="2272"/>
      <c r="G48" s="2272"/>
      <c r="H48" s="2272"/>
      <c r="I48" s="2272"/>
      <c r="J48" s="2272"/>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2061</v>
      </c>
      <c r="B49" s="126">
        <v>5.0000000000000001E-4</v>
      </c>
      <c r="C49" s="1769" t="s">
        <v>2062</v>
      </c>
      <c r="D49" s="2273"/>
      <c r="E49" s="2272"/>
      <c r="F49" s="2272"/>
      <c r="G49" s="2272"/>
      <c r="H49" s="2272"/>
      <c r="I49" s="2272"/>
      <c r="J49" s="2272"/>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2063</v>
      </c>
      <c r="B50" s="131">
        <v>1.2E-2</v>
      </c>
      <c r="C50" s="1425"/>
      <c r="D50" s="2273"/>
      <c r="E50" s="2272"/>
      <c r="F50" s="2272"/>
      <c r="G50" s="2272"/>
      <c r="H50" s="2272"/>
      <c r="I50" s="2272"/>
      <c r="J50" s="2272"/>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2064</v>
      </c>
      <c r="B51" s="132">
        <v>0.12</v>
      </c>
      <c r="C51" s="1425"/>
      <c r="D51" s="2273"/>
      <c r="E51" s="2272"/>
      <c r="F51" s="2272"/>
      <c r="G51" s="2272"/>
      <c r="H51" s="2272"/>
      <c r="I51" s="2272"/>
      <c r="J51" s="2272"/>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2065</v>
      </c>
      <c r="B52" s="133">
        <f>SUMIF(A54:A63,B53,B54:B63)</f>
        <v>24</v>
      </c>
      <c r="C52" s="1425"/>
      <c r="D52" s="2273"/>
      <c r="E52" s="2272"/>
      <c r="F52" s="2272"/>
      <c r="G52" s="2272"/>
      <c r="H52" s="2272"/>
      <c r="I52" s="2272"/>
      <c r="J52" s="2272"/>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2066</v>
      </c>
      <c r="B53" s="2331" t="s">
        <v>269</v>
      </c>
      <c r="C53" s="1425" t="s">
        <v>2067</v>
      </c>
      <c r="D53" s="2332" t="s">
        <v>2068</v>
      </c>
      <c r="E53" s="2272"/>
      <c r="F53" s="2272"/>
      <c r="G53" s="2272"/>
      <c r="H53" s="2272"/>
      <c r="I53" s="2272"/>
      <c r="J53" s="2272"/>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2069</v>
      </c>
      <c r="B54" s="84"/>
      <c r="C54" s="1425">
        <v>30</v>
      </c>
      <c r="D54" s="2273"/>
      <c r="E54" s="2272"/>
      <c r="F54" s="2272"/>
      <c r="G54" s="2272"/>
      <c r="H54" s="2272"/>
      <c r="I54" s="2272"/>
      <c r="J54" s="2272"/>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2070</v>
      </c>
      <c r="B55" s="84">
        <v>24</v>
      </c>
      <c r="C55" s="1425">
        <v>24</v>
      </c>
      <c r="D55" s="2273"/>
      <c r="E55" s="2272"/>
      <c r="F55" s="2272"/>
      <c r="G55" s="2272"/>
      <c r="H55" s="2272"/>
      <c r="I55" s="2334"/>
      <c r="J55" s="2272"/>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2071</v>
      </c>
      <c r="B56" s="84">
        <v>18</v>
      </c>
      <c r="C56" s="1425">
        <v>18</v>
      </c>
      <c r="D56" s="2273"/>
      <c r="E56" s="2272"/>
      <c r="F56" s="2272"/>
      <c r="G56" s="2272"/>
      <c r="H56" s="2272"/>
      <c r="I56" s="2272"/>
      <c r="J56" s="2272"/>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2072</v>
      </c>
      <c r="B57" s="84"/>
      <c r="C57" s="1425">
        <v>12</v>
      </c>
      <c r="D57" s="2273"/>
      <c r="E57" s="2272"/>
      <c r="F57" s="2272"/>
      <c r="G57" s="2272"/>
      <c r="H57" s="2272"/>
      <c r="I57" s="2272"/>
      <c r="J57" s="2272"/>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2073</v>
      </c>
      <c r="B58" s="84"/>
      <c r="C58" s="1425">
        <v>3</v>
      </c>
      <c r="D58" s="2273"/>
      <c r="E58" s="2272"/>
      <c r="F58" s="2272"/>
      <c r="G58" s="2272"/>
      <c r="H58" s="2272"/>
      <c r="I58" s="2272"/>
      <c r="J58" s="2272"/>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2074</v>
      </c>
      <c r="B59" s="84"/>
      <c r="C59" s="1425">
        <v>1.5</v>
      </c>
      <c r="D59" s="2273"/>
      <c r="E59" s="2272"/>
      <c r="F59" s="2272"/>
      <c r="G59" s="2272"/>
      <c r="H59" s="2272"/>
      <c r="I59" s="2272"/>
      <c r="J59" s="2272"/>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2075</v>
      </c>
      <c r="B60" s="84"/>
      <c r="C60" s="2272"/>
      <c r="D60" s="2273"/>
      <c r="E60" s="2272"/>
      <c r="F60" s="2272"/>
      <c r="G60" s="2272"/>
      <c r="H60" s="2272"/>
      <c r="I60" s="2272"/>
      <c r="J60" s="2272"/>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2076</v>
      </c>
      <c r="B61" s="84"/>
      <c r="C61" s="2272"/>
      <c r="D61" s="2273"/>
      <c r="E61" s="2272"/>
      <c r="F61" s="2272"/>
      <c r="G61" s="2272"/>
      <c r="H61" s="2272"/>
      <c r="I61" s="2272"/>
      <c r="J61" s="2272"/>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2077</v>
      </c>
      <c r="B62" s="84"/>
      <c r="C62" s="2272"/>
      <c r="D62" s="2273"/>
      <c r="E62" s="2272"/>
      <c r="F62" s="2272"/>
      <c r="G62" s="2272"/>
      <c r="H62" s="2272"/>
      <c r="I62" s="2272"/>
      <c r="J62" s="2272"/>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2078</v>
      </c>
      <c r="B63" s="134"/>
      <c r="C63" s="2272"/>
      <c r="D63" s="2273"/>
      <c r="E63" s="2272"/>
      <c r="F63" s="2272"/>
      <c r="G63" s="2272"/>
      <c r="H63" s="2272"/>
      <c r="I63" s="2272"/>
      <c r="J63" s="2272"/>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8"/>
      <c r="L64" s="798"/>
    </row>
    <row r="65" spans="1:12" s="962" customFormat="1">
      <c r="A65" s="2336"/>
      <c r="D65" s="2337"/>
      <c r="K65" s="798"/>
      <c r="L65" s="798"/>
    </row>
    <row r="66" spans="1:12" s="962" customFormat="1">
      <c r="A66" s="2336"/>
      <c r="D66" s="2337"/>
      <c r="K66" s="798"/>
      <c r="L66" s="798"/>
    </row>
    <row r="67" spans="1:12" s="962" customFormat="1">
      <c r="A67" s="2336"/>
      <c r="D67" s="2337"/>
      <c r="K67" s="798"/>
      <c r="L67" s="798"/>
    </row>
    <row r="68" spans="1:12" s="962" customFormat="1">
      <c r="A68" s="2336"/>
      <c r="D68" s="2337"/>
      <c r="K68" s="798"/>
      <c r="L68" s="798"/>
    </row>
    <row r="69" spans="1:12" s="962" customFormat="1">
      <c r="A69" s="2336"/>
      <c r="D69" s="2337"/>
      <c r="K69" s="798"/>
      <c r="L69" s="798"/>
    </row>
    <row r="70" spans="1:12" s="962" customFormat="1">
      <c r="A70" s="2336"/>
      <c r="D70" s="2337"/>
      <c r="K70" s="798"/>
      <c r="L70" s="798"/>
    </row>
    <row r="71" spans="1:12" s="962" customFormat="1">
      <c r="A71" s="2336"/>
      <c r="D71" s="2337"/>
      <c r="K71" s="798"/>
      <c r="L71" s="798"/>
    </row>
    <row r="72" spans="1:12" s="962" customFormat="1">
      <c r="A72" s="2336"/>
      <c r="D72" s="2337"/>
      <c r="K72" s="798"/>
      <c r="L72" s="798"/>
    </row>
    <row r="73" spans="1:12" s="962" customFormat="1">
      <c r="A73" s="2336"/>
      <c r="D73" s="2337"/>
      <c r="K73" s="798"/>
      <c r="L73" s="798"/>
    </row>
    <row r="74" spans="1:12" s="962" customFormat="1">
      <c r="A74" s="2336"/>
      <c r="D74" s="2337"/>
      <c r="K74" s="798"/>
      <c r="L74" s="798"/>
    </row>
    <row r="75" spans="1:12" s="962" customFormat="1">
      <c r="A75" s="2336"/>
      <c r="D75" s="2337"/>
      <c r="K75" s="798"/>
      <c r="L75" s="798"/>
    </row>
    <row r="76" spans="1:12" s="962" customFormat="1">
      <c r="A76" s="2336"/>
      <c r="D76" s="2337"/>
      <c r="K76" s="798"/>
      <c r="L76" s="798"/>
    </row>
    <row r="77" spans="1:12" s="962" customFormat="1">
      <c r="A77" s="2336"/>
      <c r="D77" s="2337"/>
      <c r="K77" s="798"/>
      <c r="L77" s="798"/>
    </row>
    <row r="78" spans="1:12" s="962" customFormat="1">
      <c r="A78" s="2336"/>
      <c r="D78" s="2337"/>
      <c r="K78" s="798"/>
      <c r="L78" s="798"/>
    </row>
    <row r="79" spans="1:12" s="962" customFormat="1">
      <c r="A79" s="2336"/>
      <c r="D79" s="2337"/>
      <c r="K79" s="798"/>
      <c r="L79" s="798"/>
    </row>
    <row r="80" spans="1:12" s="962" customFormat="1">
      <c r="A80" s="2336"/>
      <c r="D80" s="2337"/>
      <c r="K80" s="798"/>
      <c r="L80" s="798"/>
    </row>
    <row r="81" spans="1:12" s="962" customFormat="1">
      <c r="A81" s="2336"/>
      <c r="D81" s="2337"/>
      <c r="K81" s="798"/>
      <c r="L81" s="798"/>
    </row>
    <row r="82" spans="1:12" s="962" customFormat="1">
      <c r="A82" s="2336"/>
      <c r="D82" s="2337"/>
      <c r="K82" s="798"/>
      <c r="L82" s="798"/>
    </row>
    <row r="83" spans="1:12" s="962" customFormat="1">
      <c r="A83" s="2336"/>
      <c r="D83" s="2337"/>
      <c r="K83" s="798"/>
      <c r="L83" s="798"/>
    </row>
    <row r="84" spans="1:12" s="962" customFormat="1">
      <c r="A84" s="2336"/>
      <c r="D84" s="2337"/>
      <c r="K84" s="798"/>
      <c r="L84" s="798"/>
    </row>
    <row r="85" spans="1:12" s="962" customFormat="1">
      <c r="A85" s="2336"/>
      <c r="D85" s="2337"/>
      <c r="K85" s="798"/>
      <c r="L85" s="798"/>
    </row>
    <row r="86" spans="1:12" s="962" customFormat="1">
      <c r="A86" s="2336"/>
      <c r="D86" s="2337"/>
      <c r="K86" s="798"/>
      <c r="L86" s="798"/>
    </row>
    <row r="87" spans="1:12" s="962" customFormat="1">
      <c r="A87" s="2336"/>
      <c r="D87" s="2337"/>
      <c r="K87" s="798"/>
      <c r="L87" s="798"/>
    </row>
    <row r="88" spans="1:12" s="962" customFormat="1">
      <c r="A88" s="2336"/>
      <c r="D88" s="2337"/>
      <c r="K88" s="798"/>
      <c r="L88" s="798"/>
    </row>
    <row r="89" spans="1:12" s="962" customFormat="1">
      <c r="A89" s="2336"/>
      <c r="D89" s="2337"/>
      <c r="K89" s="798"/>
      <c r="L89" s="798"/>
    </row>
    <row r="90" spans="1:12" s="962" customFormat="1">
      <c r="A90" s="2336"/>
      <c r="D90" s="2337"/>
      <c r="K90" s="798"/>
      <c r="L90" s="798"/>
    </row>
    <row r="91" spans="1:12" s="962" customFormat="1">
      <c r="A91" s="2336"/>
      <c r="D91" s="2337"/>
      <c r="K91" s="798"/>
      <c r="L91" s="798"/>
    </row>
    <row r="92" spans="1:12" s="962" customFormat="1">
      <c r="A92" s="2336"/>
      <c r="D92" s="2337"/>
      <c r="K92" s="798"/>
      <c r="L92" s="798"/>
    </row>
    <row r="93" spans="1:12" s="962" customFormat="1">
      <c r="A93" s="2336"/>
      <c r="D93" s="2337"/>
      <c r="K93" s="798"/>
      <c r="L93" s="798"/>
    </row>
    <row r="94" spans="1:12" s="962" customFormat="1">
      <c r="A94" s="2336"/>
      <c r="D94" s="2337"/>
      <c r="K94" s="798"/>
      <c r="L94" s="798"/>
    </row>
    <row r="95" spans="1:12" s="962" customFormat="1">
      <c r="A95" s="2336"/>
      <c r="D95" s="2337"/>
      <c r="K95" s="798"/>
      <c r="L95" s="798"/>
    </row>
    <row r="96" spans="1:12" s="962" customFormat="1">
      <c r="A96" s="2336"/>
      <c r="D96" s="2337"/>
      <c r="K96" s="798"/>
      <c r="L96" s="798"/>
    </row>
    <row r="97" spans="1:12" s="962" customFormat="1">
      <c r="A97" s="2336"/>
      <c r="D97" s="2337"/>
      <c r="K97" s="798"/>
      <c r="L97" s="798"/>
    </row>
    <row r="98" spans="1:12" s="962" customFormat="1">
      <c r="A98" s="2336"/>
      <c r="D98" s="2337"/>
      <c r="K98" s="798"/>
      <c r="L98" s="798"/>
    </row>
    <row r="99" spans="1:12" s="962" customFormat="1">
      <c r="A99" s="2336"/>
      <c r="D99" s="2337"/>
      <c r="K99" s="798"/>
      <c r="L99" s="798"/>
    </row>
    <row r="100" spans="1:12" s="962" customFormat="1">
      <c r="A100" s="2336"/>
      <c r="D100" s="2337"/>
      <c r="K100" s="798"/>
      <c r="L100" s="798"/>
    </row>
    <row r="101" spans="1:12" s="962" customFormat="1">
      <c r="A101" s="2336"/>
      <c r="D101" s="2337"/>
      <c r="K101" s="798"/>
      <c r="L101" s="798"/>
    </row>
    <row r="102" spans="1:12" s="962" customFormat="1">
      <c r="A102" s="2336"/>
      <c r="D102" s="2337"/>
      <c r="K102" s="798"/>
      <c r="L102" s="798"/>
    </row>
    <row r="103" spans="1:12" s="962" customFormat="1">
      <c r="A103" s="2336"/>
      <c r="D103" s="2337"/>
      <c r="K103" s="798"/>
      <c r="L103" s="798"/>
    </row>
    <row r="104" spans="1:12" s="962" customFormat="1">
      <c r="A104" s="2336"/>
      <c r="D104" s="2337"/>
      <c r="K104" s="798"/>
      <c r="L104" s="798"/>
    </row>
    <row r="105" spans="1:12" s="962" customFormat="1">
      <c r="A105" s="2336"/>
      <c r="D105" s="2337"/>
      <c r="K105" s="798"/>
      <c r="L105" s="798"/>
    </row>
    <row r="106" spans="1:12" s="962" customFormat="1">
      <c r="A106" s="2336"/>
      <c r="D106" s="2337"/>
      <c r="K106" s="798"/>
      <c r="L106" s="798"/>
    </row>
    <row r="107" spans="1:12" s="962" customFormat="1">
      <c r="A107" s="2336"/>
      <c r="D107" s="2337"/>
      <c r="K107" s="798"/>
      <c r="L107" s="798"/>
    </row>
    <row r="108" spans="1:12" s="962" customFormat="1">
      <c r="A108" s="2336"/>
      <c r="D108" s="2337"/>
      <c r="K108" s="798"/>
      <c r="L108" s="798"/>
    </row>
    <row r="109" spans="1:12" s="962" customFormat="1">
      <c r="A109" s="2336"/>
      <c r="D109" s="2337"/>
      <c r="K109" s="798"/>
      <c r="L109" s="798"/>
    </row>
    <row r="110" spans="1:12" s="962" customFormat="1">
      <c r="A110" s="2336"/>
      <c r="D110" s="2337"/>
      <c r="K110" s="798"/>
      <c r="L110" s="798"/>
    </row>
    <row r="111" spans="1:12" s="962" customFormat="1">
      <c r="A111" s="2336"/>
      <c r="D111" s="2337"/>
      <c r="K111" s="798"/>
      <c r="L111" s="798"/>
    </row>
    <row r="112" spans="1:12" s="962" customFormat="1">
      <c r="A112" s="2336"/>
      <c r="D112" s="2337"/>
      <c r="K112" s="798"/>
      <c r="L112" s="798"/>
    </row>
    <row r="113" spans="1:12" s="962" customFormat="1">
      <c r="A113" s="2336"/>
      <c r="D113" s="2337"/>
      <c r="K113" s="798"/>
      <c r="L113" s="798"/>
    </row>
    <row r="114" spans="1:12" s="962" customFormat="1">
      <c r="A114" s="2336"/>
      <c r="D114" s="2337"/>
      <c r="K114" s="798"/>
      <c r="L114" s="798"/>
    </row>
    <row r="115" spans="1:12" s="962" customFormat="1">
      <c r="A115" s="2336"/>
      <c r="D115" s="2337"/>
      <c r="K115" s="798"/>
      <c r="L115" s="798"/>
    </row>
    <row r="116" spans="1:12" s="962" customFormat="1">
      <c r="A116" s="2336"/>
      <c r="D116" s="2337"/>
      <c r="K116" s="798"/>
      <c r="L116" s="798"/>
    </row>
    <row r="117" spans="1:12" s="962" customFormat="1">
      <c r="A117" s="2336"/>
      <c r="D117" s="2337"/>
      <c r="K117" s="798"/>
      <c r="L117" s="798"/>
    </row>
    <row r="118" spans="1:12" s="962" customFormat="1">
      <c r="A118" s="2336"/>
      <c r="D118" s="2337"/>
      <c r="K118" s="798"/>
      <c r="L118" s="798"/>
    </row>
    <row r="119" spans="1:12" s="962" customFormat="1">
      <c r="A119" s="2336"/>
      <c r="D119" s="2337"/>
      <c r="K119" s="798"/>
      <c r="L119" s="798"/>
    </row>
    <row r="120" spans="1:12" s="962" customFormat="1">
      <c r="A120" s="2336"/>
      <c r="D120" s="2337"/>
      <c r="K120" s="798"/>
      <c r="L120" s="798"/>
    </row>
    <row r="121" spans="1:12" s="962" customFormat="1">
      <c r="A121" s="2336"/>
      <c r="D121" s="2337"/>
      <c r="K121" s="798"/>
      <c r="L121" s="798"/>
    </row>
    <row r="122" spans="1:12" s="962" customFormat="1">
      <c r="A122" s="2336"/>
      <c r="D122" s="2337"/>
      <c r="K122" s="798"/>
      <c r="L122" s="798"/>
    </row>
    <row r="123" spans="1:12" s="962" customFormat="1">
      <c r="A123" s="2336"/>
      <c r="D123" s="2337"/>
      <c r="K123" s="798"/>
      <c r="L123" s="798"/>
    </row>
    <row r="124" spans="1:12" s="962" customFormat="1">
      <c r="A124" s="2336"/>
      <c r="D124" s="2337"/>
      <c r="K124" s="798"/>
      <c r="L124" s="798"/>
    </row>
    <row r="125" spans="1:12" s="962" customFormat="1">
      <c r="A125" s="2336"/>
      <c r="D125" s="2337"/>
      <c r="K125" s="798"/>
      <c r="L125" s="798"/>
    </row>
    <row r="126" spans="1:12" s="962" customFormat="1">
      <c r="A126" s="2336"/>
      <c r="D126" s="2337"/>
      <c r="K126" s="798"/>
      <c r="L126" s="798"/>
    </row>
    <row r="127" spans="1:12" s="962" customFormat="1">
      <c r="A127" s="2336"/>
      <c r="D127" s="2337"/>
      <c r="K127" s="798"/>
      <c r="L127" s="798"/>
    </row>
    <row r="128" spans="1:12" s="962" customFormat="1">
      <c r="A128" s="2336"/>
      <c r="D128" s="2337"/>
      <c r="K128" s="798"/>
      <c r="L128" s="798"/>
    </row>
    <row r="129" spans="1:12" s="962" customFormat="1">
      <c r="A129" s="2336"/>
      <c r="D129" s="2337"/>
      <c r="K129" s="798"/>
      <c r="L129" s="798"/>
    </row>
    <row r="130" spans="1:12" s="962" customFormat="1">
      <c r="A130" s="2336"/>
      <c r="D130" s="2337"/>
      <c r="K130" s="798"/>
      <c r="L130" s="798"/>
    </row>
    <row r="131" spans="1:12" s="962" customFormat="1">
      <c r="A131" s="2336"/>
      <c r="D131" s="2337"/>
      <c r="K131" s="798"/>
      <c r="L131" s="798"/>
    </row>
    <row r="132" spans="1:12" s="962" customFormat="1">
      <c r="A132" s="2336"/>
      <c r="D132" s="2337"/>
      <c r="K132" s="798"/>
      <c r="L132" s="798"/>
    </row>
    <row r="133" spans="1:12" s="962"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49" t="s">
        <v>2079</v>
      </c>
      <c r="B1" s="3050"/>
      <c r="C1" s="3050"/>
      <c r="D1" s="3050"/>
      <c r="E1" s="3050"/>
      <c r="F1" s="3050"/>
      <c r="G1" s="305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27">
      <c r="A3" s="415" t="s">
        <v>2082</v>
      </c>
      <c r="B3" s="1266" t="s">
        <v>2083</v>
      </c>
      <c r="C3" s="2365"/>
      <c r="D3" s="2366"/>
      <c r="E3" s="431" t="s">
        <v>2082</v>
      </c>
      <c r="F3" s="2367" t="s">
        <v>2084</v>
      </c>
      <c r="G3" s="2368"/>
      <c r="H3" s="2363"/>
      <c r="I3" s="2363"/>
      <c r="J3" s="2363"/>
      <c r="K3" s="2363"/>
      <c r="L3" s="2363"/>
      <c r="M3" s="2363"/>
      <c r="N3" s="2363"/>
      <c r="O3" s="2363"/>
      <c r="P3" s="2363"/>
      <c r="Q3" s="2363"/>
      <c r="R3" s="2363"/>
    </row>
    <row r="4" spans="1:29" ht="27.75">
      <c r="A4" s="431"/>
      <c r="B4" s="1793" t="s">
        <v>2085</v>
      </c>
      <c r="C4" s="2369" t="s">
        <v>3579</v>
      </c>
      <c r="D4" s="2366"/>
      <c r="E4" s="2370"/>
      <c r="F4" s="42" t="s">
        <v>2086</v>
      </c>
      <c r="G4" s="2371"/>
      <c r="H4" s="2363"/>
      <c r="I4" s="2363"/>
      <c r="J4" s="2363"/>
      <c r="K4" s="2363"/>
      <c r="L4" s="2363"/>
      <c r="M4" s="2363"/>
      <c r="N4" s="2363"/>
      <c r="O4" s="2363"/>
      <c r="P4" s="2363"/>
      <c r="Q4" s="2363"/>
      <c r="R4" s="2363"/>
    </row>
    <row r="5" spans="1:29" ht="42.75">
      <c r="A5" s="431"/>
      <c r="B5" s="1793" t="s">
        <v>2087</v>
      </c>
      <c r="C5" s="2369" t="s">
        <v>3580</v>
      </c>
      <c r="D5" s="2366"/>
      <c r="E5" s="2370"/>
      <c r="F5" s="1793" t="s">
        <v>2088</v>
      </c>
      <c r="G5" s="2371"/>
      <c r="H5" s="2363"/>
      <c r="I5" s="2363"/>
      <c r="J5" s="2363"/>
      <c r="K5" s="2363"/>
      <c r="L5" s="2363"/>
      <c r="M5" s="2363"/>
      <c r="N5" s="2363"/>
      <c r="O5" s="2363"/>
      <c r="P5" s="2363"/>
      <c r="Q5" s="2363"/>
      <c r="R5" s="2363"/>
    </row>
    <row r="6" spans="1:29" ht="81">
      <c r="A6" s="431"/>
      <c r="B6" s="1793" t="s">
        <v>2089</v>
      </c>
      <c r="C6" s="3353" t="s">
        <v>3581</v>
      </c>
      <c r="D6" s="2366"/>
      <c r="E6" s="2370"/>
      <c r="F6" s="1793" t="s">
        <v>2090</v>
      </c>
      <c r="G6" s="2371"/>
      <c r="H6" s="2363"/>
      <c r="I6" s="2363"/>
      <c r="J6" s="2363"/>
      <c r="K6" s="2363"/>
      <c r="L6" s="2363"/>
      <c r="M6" s="2363"/>
      <c r="N6" s="2363"/>
      <c r="O6" s="2363"/>
      <c r="P6" s="2363"/>
      <c r="Q6" s="2363"/>
      <c r="R6" s="2363"/>
    </row>
    <row r="7" spans="1:29" ht="114.75" thickBot="1">
      <c r="A7" s="431"/>
      <c r="B7" s="1793" t="s">
        <v>2088</v>
      </c>
      <c r="C7" s="2371" t="s">
        <v>3582</v>
      </c>
      <c r="D7" s="2372"/>
      <c r="E7" s="2373"/>
      <c r="F7" s="2374" t="s">
        <v>2091</v>
      </c>
      <c r="G7" s="2375"/>
      <c r="H7" s="2363"/>
      <c r="I7" s="2363"/>
      <c r="J7" s="2363"/>
      <c r="K7" s="2363"/>
      <c r="L7" s="2363"/>
      <c r="M7" s="2363"/>
      <c r="N7" s="2363"/>
      <c r="O7" s="2363"/>
      <c r="P7" s="2363"/>
      <c r="Q7" s="2363"/>
      <c r="R7" s="2363"/>
    </row>
    <row r="8" spans="1:29" ht="15">
      <c r="A8" s="431"/>
      <c r="B8" s="1793" t="s">
        <v>2090</v>
      </c>
      <c r="C8" s="2371"/>
      <c r="D8" s="2372"/>
      <c r="E8" s="2372"/>
      <c r="F8" s="1131"/>
      <c r="G8" s="1131"/>
      <c r="H8" s="2363"/>
      <c r="I8" s="2363"/>
      <c r="J8" s="2363"/>
      <c r="K8" s="2363"/>
      <c r="L8" s="2363"/>
      <c r="M8" s="2363"/>
      <c r="N8" s="2363"/>
      <c r="O8" s="2363"/>
      <c r="P8" s="2363"/>
      <c r="Q8" s="2363"/>
      <c r="R8" s="2363"/>
    </row>
    <row r="9" spans="1:29" ht="27">
      <c r="A9" s="431"/>
      <c r="B9" s="1793" t="s">
        <v>2092</v>
      </c>
      <c r="C9" s="2369" t="s">
        <v>2093</v>
      </c>
      <c r="D9" s="2366"/>
      <c r="E9" s="2372"/>
      <c r="F9" s="1131"/>
      <c r="G9" s="1131"/>
      <c r="H9" s="2363"/>
      <c r="I9" s="2363"/>
      <c r="J9" s="2363"/>
      <c r="K9" s="2363"/>
      <c r="L9" s="2363"/>
      <c r="M9" s="2363"/>
      <c r="N9" s="2363"/>
      <c r="O9" s="2363"/>
      <c r="P9" s="2363"/>
      <c r="Q9" s="2363"/>
      <c r="R9" s="2363"/>
    </row>
    <row r="10" spans="1:29" s="117" customFormat="1" ht="15.75" thickBot="1">
      <c r="A10" s="2376"/>
      <c r="B10" s="2377" t="s">
        <v>2094</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57">
      <c r="A15" s="68" t="s">
        <v>2098</v>
      </c>
      <c r="B15" s="1265" t="s">
        <v>2083</v>
      </c>
      <c r="C15" s="2398">
        <f>C3</f>
        <v>0</v>
      </c>
      <c r="D15" s="2366"/>
      <c r="E15" s="2399" t="s">
        <v>2099</v>
      </c>
      <c r="F15" s="1265" t="s">
        <v>2100</v>
      </c>
      <c r="G15" s="135">
        <f>G3</f>
        <v>0</v>
      </c>
    </row>
    <row r="16" spans="1:29" ht="42.75">
      <c r="A16" s="645"/>
      <c r="B16" s="2400" t="s">
        <v>2085</v>
      </c>
      <c r="C16" s="2401" t="str">
        <f>C4</f>
        <v>XX商圈，周边商业氛围，人流量</v>
      </c>
      <c r="D16" s="2366"/>
      <c r="E16" s="2402"/>
      <c r="F16" s="2403" t="s">
        <v>2086</v>
      </c>
      <c r="G16" s="136">
        <f>G4</f>
        <v>0</v>
      </c>
    </row>
    <row r="17" spans="1:18" ht="42.75">
      <c r="A17" s="645"/>
      <c r="B17" s="2400" t="s">
        <v>2087</v>
      </c>
      <c r="C17" s="2401" t="str">
        <f>C5</f>
        <v>XX商圈，周边办公楼项目，入驻率（物美慧科大厦 新奥特科技大厦 裕友大厦）</v>
      </c>
      <c r="D17" s="2372"/>
      <c r="E17" s="2402"/>
      <c r="F17" s="2403" t="s">
        <v>2101</v>
      </c>
      <c r="G17" s="1567"/>
    </row>
    <row r="18" spans="1:18" ht="57">
      <c r="A18" s="645"/>
      <c r="B18" s="2403" t="s">
        <v>2089</v>
      </c>
      <c r="C18" s="136" t="str">
        <f>C6</f>
        <v>周边道路状况、公共交通通达情况、停车便捷程度（快速路西四环北路 六号线海淀五路居站 五路桥公交站  61路 79路 121路 地上停车位）</v>
      </c>
      <c r="D18" s="2372"/>
      <c r="E18" s="2402"/>
      <c r="F18" s="2403" t="s">
        <v>2091</v>
      </c>
      <c r="G18" s="136">
        <f>G7</f>
        <v>0</v>
      </c>
    </row>
    <row r="19" spans="1:18" ht="28.5">
      <c r="A19" s="645"/>
      <c r="B19" s="2403" t="s">
        <v>2102</v>
      </c>
      <c r="C19" s="1567"/>
      <c r="D19" s="2366"/>
      <c r="E19" s="2402"/>
      <c r="F19" s="1793" t="s">
        <v>2088</v>
      </c>
      <c r="G19" s="136">
        <f>G5</f>
        <v>0</v>
      </c>
    </row>
    <row r="20" spans="1:18" ht="28.5">
      <c r="A20" s="645"/>
      <c r="B20" s="2403" t="s">
        <v>2103</v>
      </c>
      <c r="C20" s="2401" t="str">
        <f>C9</f>
        <v>区域自然环境：；人文环境；综合评价环境状况一般</v>
      </c>
      <c r="D20" s="2372"/>
      <c r="E20" s="2402"/>
      <c r="F20" s="1793" t="s">
        <v>2104</v>
      </c>
      <c r="G20" s="136">
        <f>G6</f>
        <v>0</v>
      </c>
    </row>
    <row r="21" spans="1:18" ht="28.5">
      <c r="A21" s="645"/>
      <c r="B21" s="1793" t="s">
        <v>2088</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6"/>
      <c r="E21" s="2402"/>
      <c r="F21" s="2403" t="s">
        <v>2105</v>
      </c>
      <c r="G21" s="2404"/>
    </row>
    <row r="22" spans="1:18" ht="13.5" customHeight="1">
      <c r="A22" s="645"/>
      <c r="B22" s="1793" t="s">
        <v>2090</v>
      </c>
      <c r="C22" s="136">
        <f>C8</f>
        <v>0</v>
      </c>
      <c r="D22" s="2366"/>
      <c r="E22" s="2402"/>
      <c r="F22" s="2403" t="s">
        <v>2094</v>
      </c>
      <c r="G22" s="1567"/>
    </row>
    <row r="23" spans="1:18" s="2363" customFormat="1" ht="15.7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2" sqref="G22"/>
    </sheetView>
  </sheetViews>
  <sheetFormatPr defaultRowHeight="13.5"/>
  <cols>
    <col min="1" max="1" width="23.375" style="1736" customWidth="1"/>
    <col min="2" max="9" width="15.75" style="1736" customWidth="1"/>
    <col min="10" max="16384" width="9" style="1736"/>
  </cols>
  <sheetData>
    <row r="1" spans="1:10" ht="16.5">
      <c r="A1" s="1741" t="s">
        <v>1365</v>
      </c>
      <c r="B1" s="1741">
        <f>SUM(B14:B23)</f>
        <v>11628.210000000001</v>
      </c>
      <c r="C1" s="1740"/>
      <c r="D1" s="1740"/>
      <c r="E1" s="1740"/>
      <c r="F1" s="1740"/>
      <c r="G1" s="1738"/>
    </row>
    <row r="2" spans="1:10" ht="16.5">
      <c r="A2" s="1741" t="s">
        <v>1353</v>
      </c>
      <c r="B2" s="1741">
        <f>SUM(C14:C23)</f>
        <v>0</v>
      </c>
      <c r="C2" s="1740"/>
      <c r="D2" s="1740"/>
      <c r="E2" s="1740"/>
      <c r="F2" s="1740"/>
      <c r="G2" s="1738"/>
    </row>
    <row r="3" spans="1:10" ht="16.5">
      <c r="A3" s="1741" t="s">
        <v>1362</v>
      </c>
      <c r="B3" s="1742">
        <f>项目基本情况!D3</f>
        <v>43185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43077</v>
      </c>
      <c r="C5" s="1741">
        <f ca="1">ROUND(B5*10000/$B$1,0)</f>
        <v>37045</v>
      </c>
      <c r="D5" s="1741" t="e">
        <f ca="1">ROUND(B5*10000/$B$2,0)</f>
        <v>#DIV/0!</v>
      </c>
      <c r="E5" s="1740"/>
      <c r="F5" s="1738"/>
      <c r="G5" s="1738"/>
    </row>
    <row r="6" spans="1:10" ht="16.5">
      <c r="A6" s="1741" t="s">
        <v>1356</v>
      </c>
      <c r="B6" s="1741">
        <f ca="1">SUM(G14:G23)</f>
        <v>43077</v>
      </c>
      <c r="C6" s="1741">
        <f ca="1">ROUND(B6*10000/$B$1,0)</f>
        <v>37045</v>
      </c>
      <c r="D6" s="1741" t="e">
        <f ca="1">ROUND(B6*10000/$B$2,0)</f>
        <v>#DIV/0!</v>
      </c>
      <c r="E6" s="1740"/>
      <c r="F6" s="1738"/>
      <c r="G6" s="1738"/>
    </row>
    <row r="7" spans="1:10" ht="16.5">
      <c r="A7" s="1741" t="s">
        <v>1364</v>
      </c>
      <c r="B7" s="1741">
        <f>SUM(H14:H23)</f>
        <v>0</v>
      </c>
      <c r="C7" s="1741">
        <f>ROUND(B7*10000/$B$1,0)</f>
        <v>0</v>
      </c>
      <c r="D7" s="1741" t="e">
        <f>ROUND(B7*10000/$B$2,0)</f>
        <v>#DIV/0!</v>
      </c>
      <c r="E7" s="1740"/>
      <c r="F7" s="1738"/>
      <c r="G7" s="1738"/>
    </row>
    <row r="8" spans="1:10" ht="16.5">
      <c r="A8" s="1741" t="s">
        <v>1285</v>
      </c>
      <c r="B8" s="1741">
        <f>SUM(I14:I23)</f>
        <v>0</v>
      </c>
      <c r="C8" s="1741">
        <f>ROUND(B8*10000/$B$1,0)</f>
        <v>0</v>
      </c>
      <c r="D8" s="1741" t="e">
        <f>ROUND(B8*10000/$B$2,0)</f>
        <v>#DIV/0!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'结果表（办公）'!B118</f>
        <v>11628.210000000001</v>
      </c>
      <c r="C14" s="1739">
        <f>'结果表（办公）'!C118</f>
        <v>0</v>
      </c>
      <c r="D14" s="1739">
        <f ca="1">'结果表（办公）'!H118</f>
        <v>43077</v>
      </c>
      <c r="E14" s="1739">
        <f ca="1">ROUND(D14*10000/B14,0)</f>
        <v>37045</v>
      </c>
      <c r="F14" s="1739" t="e">
        <f ca="1">ROUND(D14*10000/C14,0)</f>
        <v>#DIV/0!</v>
      </c>
      <c r="G14" s="1739">
        <f ca="1">'结果表（办公）'!D122</f>
        <v>43077</v>
      </c>
      <c r="H14" s="1739" t="str">
        <f>'结果表（办公）'!D124</f>
        <v>——</v>
      </c>
      <c r="I14" s="1739" t="str">
        <f>'结果表（办公）'!D126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c r="D1" s="2414"/>
      <c r="E1" s="2414"/>
      <c r="F1" s="2416" t="s">
        <v>2109</v>
      </c>
      <c r="G1" s="2067" t="s">
        <v>3056</v>
      </c>
      <c r="H1" s="2417" t="str">
        <f>IF(G1="现房","——","估价对象范围")</f>
        <v>——</v>
      </c>
      <c r="I1" s="2418" t="s">
        <v>3584</v>
      </c>
    </row>
    <row r="2" spans="1:12" ht="21.75" customHeight="1" thickBot="1">
      <c r="A2" s="3123" t="str">
        <f>项目基本情况!S2</f>
        <v>北京市海淀区西四环北路160号房地产</v>
      </c>
      <c r="B2" s="3124"/>
      <c r="C2" s="3124"/>
      <c r="D2" s="3124"/>
      <c r="E2" s="3124"/>
      <c r="F2" s="3124"/>
      <c r="G2" s="3124"/>
      <c r="H2" s="3124"/>
      <c r="I2" s="3125"/>
    </row>
    <row r="3" spans="1:12" ht="12.75">
      <c r="A3" s="3126" t="s">
        <v>2110</v>
      </c>
      <c r="B3" s="3127"/>
      <c r="C3" s="3127"/>
      <c r="D3" s="3127"/>
      <c r="E3" s="3127"/>
      <c r="F3" s="3127"/>
      <c r="G3" s="3127"/>
      <c r="H3" s="3127"/>
      <c r="I3" s="3127"/>
    </row>
    <row r="4" spans="1:12" ht="14.25">
      <c r="A4" s="2421" t="s">
        <v>2111</v>
      </c>
      <c r="B4" s="2422" t="s">
        <v>2112</v>
      </c>
      <c r="C4" s="2423"/>
      <c r="D4" s="2423" t="s">
        <v>3583</v>
      </c>
      <c r="E4" s="3107" t="s">
        <v>2113</v>
      </c>
      <c r="F4" s="3120"/>
      <c r="G4" s="3120"/>
      <c r="H4" s="3120"/>
      <c r="I4" s="3108"/>
      <c r="K4" s="2424"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98" t="s">
        <v>2114</v>
      </c>
      <c r="B5" s="3024">
        <v>25</v>
      </c>
      <c r="C5" s="3128"/>
      <c r="D5" s="3116"/>
      <c r="E5" s="140" t="s">
        <v>2115</v>
      </c>
      <c r="F5" s="2425"/>
      <c r="G5" s="2425"/>
      <c r="H5" s="2425"/>
      <c r="I5" s="1829"/>
    </row>
    <row r="6" spans="1:12" ht="12.75">
      <c r="A6" s="3098"/>
      <c r="B6" s="3024"/>
      <c r="C6" s="3130"/>
      <c r="D6" s="3116"/>
      <c r="E6" s="140" t="s">
        <v>2116</v>
      </c>
      <c r="F6" s="2425"/>
      <c r="G6" s="2425"/>
      <c r="H6" s="2425"/>
      <c r="I6" s="1829"/>
    </row>
    <row r="7" spans="1:12" ht="12.75">
      <c r="A7" s="3098"/>
      <c r="B7" s="3024"/>
      <c r="C7" s="3129"/>
      <c r="D7" s="3116"/>
      <c r="E7" s="140" t="s">
        <v>2117</v>
      </c>
      <c r="F7" s="2425"/>
      <c r="G7" s="2425"/>
      <c r="H7" s="2425"/>
      <c r="I7" s="1829"/>
    </row>
    <row r="8" spans="1:12" ht="12.75">
      <c r="A8" s="3098" t="s">
        <v>2118</v>
      </c>
      <c r="B8" s="3024">
        <v>15</v>
      </c>
      <c r="C8" s="3128"/>
      <c r="D8" s="3116"/>
      <c r="E8" s="140" t="s">
        <v>2119</v>
      </c>
      <c r="F8" s="2425"/>
      <c r="G8" s="2425"/>
      <c r="H8" s="2425"/>
      <c r="I8" s="1829"/>
    </row>
    <row r="9" spans="1:12" ht="12.75">
      <c r="A9" s="3098"/>
      <c r="B9" s="3024"/>
      <c r="C9" s="3129"/>
      <c r="D9" s="3116"/>
      <c r="E9" s="140" t="s">
        <v>2120</v>
      </c>
      <c r="F9" s="2425"/>
      <c r="G9" s="2425"/>
      <c r="H9" s="2425"/>
      <c r="I9" s="1829"/>
    </row>
    <row r="10" spans="1:12" ht="12.75">
      <c r="A10" s="3098" t="s">
        <v>2121</v>
      </c>
      <c r="B10" s="3024">
        <v>15</v>
      </c>
      <c r="C10" s="3128"/>
      <c r="D10" s="3116"/>
      <c r="E10" s="140" t="s">
        <v>2122</v>
      </c>
      <c r="F10" s="2425"/>
      <c r="G10" s="2425"/>
      <c r="H10" s="2425"/>
      <c r="I10" s="1829"/>
    </row>
    <row r="11" spans="1:12" ht="12.75">
      <c r="A11" s="3098"/>
      <c r="B11" s="3024"/>
      <c r="C11" s="3129"/>
      <c r="D11" s="3116"/>
      <c r="E11" s="140" t="s">
        <v>2123</v>
      </c>
      <c r="F11" s="2425"/>
      <c r="G11" s="2425"/>
      <c r="H11" s="2425"/>
      <c r="I11" s="1829"/>
    </row>
    <row r="12" spans="1:12" ht="12.75">
      <c r="A12" s="3098" t="s">
        <v>2124</v>
      </c>
      <c r="B12" s="3024">
        <v>15</v>
      </c>
      <c r="C12" s="3128"/>
      <c r="D12" s="3116"/>
      <c r="E12" s="140" t="s">
        <v>2125</v>
      </c>
      <c r="F12" s="2425"/>
      <c r="G12" s="2425"/>
      <c r="H12" s="2425"/>
      <c r="I12" s="1829"/>
    </row>
    <row r="13" spans="1:12" ht="12.75">
      <c r="A13" s="3098"/>
      <c r="B13" s="3024"/>
      <c r="C13" s="3129"/>
      <c r="D13" s="3116"/>
      <c r="E13" s="140" t="s">
        <v>2126</v>
      </c>
      <c r="F13" s="2425"/>
      <c r="G13" s="2425"/>
      <c r="H13" s="2425"/>
      <c r="I13" s="1829"/>
    </row>
    <row r="14" spans="1:12" ht="12.75">
      <c r="A14" s="3098" t="s">
        <v>2127</v>
      </c>
      <c r="B14" s="3024">
        <v>30</v>
      </c>
      <c r="C14" s="3128">
        <v>7</v>
      </c>
      <c r="D14" s="3116">
        <v>3</v>
      </c>
      <c r="E14" s="140" t="s">
        <v>2128</v>
      </c>
      <c r="F14" s="2425"/>
      <c r="G14" s="2425"/>
      <c r="H14" s="2425"/>
      <c r="I14" s="1829"/>
    </row>
    <row r="15" spans="1:12" ht="12.75">
      <c r="A15" s="3098"/>
      <c r="B15" s="3024"/>
      <c r="C15" s="3130"/>
      <c r="D15" s="3116"/>
      <c r="E15" s="140" t="s">
        <v>2129</v>
      </c>
      <c r="F15" s="2425"/>
      <c r="G15" s="2425"/>
      <c r="H15" s="2425"/>
      <c r="I15" s="1829"/>
    </row>
    <row r="16" spans="1:12" ht="12.75">
      <c r="A16" s="3098"/>
      <c r="B16" s="3024"/>
      <c r="C16" s="3129"/>
      <c r="D16" s="3116"/>
      <c r="E16" s="140" t="s">
        <v>2130</v>
      </c>
      <c r="F16" s="2425"/>
      <c r="G16" s="2425"/>
      <c r="H16" s="2425"/>
      <c r="I16" s="1829"/>
    </row>
    <row r="17" spans="1:35" ht="15">
      <c r="A17" s="2426" t="s">
        <v>2131</v>
      </c>
      <c r="B17" s="64"/>
      <c r="C17" s="141">
        <f>SUM(C5:C16)</f>
        <v>7</v>
      </c>
      <c r="D17" s="141">
        <f>SUM(D5:D16)</f>
        <v>3</v>
      </c>
      <c r="E17" s="138"/>
      <c r="F17" s="138"/>
      <c r="G17" s="138"/>
      <c r="H17" s="138"/>
      <c r="I17" s="138"/>
      <c r="K17" s="2424"/>
      <c r="L17" s="2427" t="s">
        <v>2132</v>
      </c>
      <c r="M17" s="2427" t="s">
        <v>2133</v>
      </c>
    </row>
    <row r="18" spans="1:35" ht="15.75" thickBot="1">
      <c r="A18" s="2428" t="s">
        <v>2134</v>
      </c>
      <c r="B18" s="2429"/>
      <c r="C18" s="142">
        <f>ROUND(C17/SUM(C17:D17),2)</f>
        <v>0.7</v>
      </c>
      <c r="D18" s="142">
        <f>1-C18</f>
        <v>0.30000000000000004</v>
      </c>
      <c r="E18" s="138"/>
      <c r="F18" s="138"/>
      <c r="G18" s="138"/>
      <c r="H18" s="138"/>
      <c r="I18" s="138"/>
      <c r="K18" s="2424" t="s">
        <v>2135</v>
      </c>
      <c r="L18" s="2424">
        <f>IF(C1="",'数据-汇总表'!E3,SUMIF(项目类型,C1,'数据-汇总表'!E17:E26)+SUMIF(项目类型,C1,'数据-汇总表'!I17:I26))</f>
        <v>11628.210000000001</v>
      </c>
      <c r="M18" s="2424">
        <f>IF(C1="",'数据-汇总表'!E3,SUMIF(项目类型,C1,'数据-汇总表'!E17:E26))</f>
        <v>11628.210000000001</v>
      </c>
    </row>
    <row r="19" spans="1:35" ht="15">
      <c r="A19" s="2430" t="s">
        <v>2136</v>
      </c>
      <c r="B19" s="2431" t="s">
        <v>2137</v>
      </c>
      <c r="C19" s="143">
        <f>'比较法-办公'!B2+'比较法-商业1'!B2+'比较法-车位'!B2</f>
        <v>45334</v>
      </c>
      <c r="D19" s="144">
        <f ca="1">SUMIF(INDIRECT("'"&amp;D4&amp;"'"&amp;"!A:A"),'结果表（办公）'!B19,INDIRECT("'"&amp;D4&amp;"'"&amp;"!B:B"))</f>
        <v>37810</v>
      </c>
      <c r="E19" s="2430" t="s">
        <v>2138</v>
      </c>
      <c r="F19" s="2431" t="s">
        <v>2137</v>
      </c>
      <c r="G19" s="145">
        <f ca="1">ROUND(C19*$C$18+D19*$D$18,0)</f>
        <v>43077</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5" t="s">
        <v>2141</v>
      </c>
      <c r="C20" s="146">
        <f>ROUND(C19/'数据-汇总表'!E3*10000,0)</f>
        <v>38986</v>
      </c>
      <c r="D20" s="147">
        <f ca="1">SUMIF(INDIRECT("'"&amp;D4&amp;"'"&amp;"!A:A"),'结果表（办公）'!B20,INDIRECT("'"&amp;D4&amp;"'"&amp;"!B:B"))</f>
        <v>32516</v>
      </c>
      <c r="E20" s="2433"/>
      <c r="F20" s="1245" t="s">
        <v>2141</v>
      </c>
      <c r="G20" s="148">
        <f ca="1">ROUND(C20*$C$18+D20*$D$18,0)</f>
        <v>37045</v>
      </c>
      <c r="H20" s="978" t="s">
        <v>2142</v>
      </c>
      <c r="I20" s="138"/>
    </row>
    <row r="21" spans="1:35" ht="15" customHeight="1" thickBot="1">
      <c r="A21" s="998"/>
      <c r="B21" s="2434" t="s">
        <v>2143</v>
      </c>
      <c r="C21" s="789" t="e">
        <f>ROUND(C19*10000/L19,0)</f>
        <v>#DIV/0!</v>
      </c>
      <c r="D21" s="790" t="e">
        <f ca="1">ROUND(D19*10000/L19,0)</f>
        <v>#DIV/0!</v>
      </c>
      <c r="E21" s="998"/>
      <c r="F21" s="2434" t="s">
        <v>2143</v>
      </c>
      <c r="G21" s="149" t="e">
        <f ca="1">ROUND(G19*10000/L19,0)</f>
        <v>#DIV/0!</v>
      </c>
      <c r="H21" s="2435" t="s">
        <v>2142</v>
      </c>
      <c r="I21" s="138"/>
    </row>
    <row r="22" spans="1:35" ht="15" thickBot="1">
      <c r="A22" s="2276" t="s">
        <v>2144</v>
      </c>
      <c r="B22" s="2436"/>
      <c r="C22" s="2437"/>
      <c r="D22" s="791">
        <f ca="1">IF(C19&lt;D19,D19/C19-1,C19/D19-1)</f>
        <v>0.19899497487437179</v>
      </c>
      <c r="E22" s="138"/>
      <c r="F22" s="138"/>
      <c r="G22" s="138"/>
      <c r="H22" s="138"/>
      <c r="I22" s="138"/>
    </row>
    <row r="23" spans="1:35" ht="13.5" thickBot="1">
      <c r="A23" s="2414"/>
      <c r="B23" s="2414"/>
      <c r="C23" s="2414"/>
      <c r="D23" s="2414"/>
      <c r="E23" s="138"/>
      <c r="F23" s="138"/>
      <c r="G23" s="138"/>
      <c r="H23" s="138"/>
      <c r="I23" s="138"/>
    </row>
    <row r="24" spans="1:35" ht="14.25">
      <c r="A24" s="3137" t="s">
        <v>2145</v>
      </c>
      <c r="B24" s="2431" t="s">
        <v>2137</v>
      </c>
      <c r="C24" s="145">
        <f>IF(B30=0,0,D30)</f>
        <v>0</v>
      </c>
      <c r="D24" s="2438"/>
      <c r="E24" s="138"/>
      <c r="F24" s="138"/>
      <c r="G24" s="138"/>
      <c r="H24" s="138"/>
      <c r="I24" s="138"/>
    </row>
    <row r="25" spans="1:35" ht="14.25">
      <c r="A25" s="3138"/>
      <c r="B25" s="1245"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43077</v>
      </c>
      <c r="D32" s="2445" t="s">
        <v>2152</v>
      </c>
      <c r="E32" s="138"/>
      <c r="F32" s="138"/>
      <c r="G32" s="138"/>
      <c r="H32" s="138"/>
      <c r="I32" s="138"/>
    </row>
    <row r="33" spans="1:15" ht="15">
      <c r="A33" s="955" t="s">
        <v>2153</v>
      </c>
      <c r="B33" s="2446"/>
      <c r="C33" s="2447"/>
      <c r="D33" s="2448"/>
      <c r="E33" s="2449" t="s">
        <v>2154</v>
      </c>
      <c r="F33" s="2450" t="str">
        <f>IF(D32="楼面单价","取值（单价）","取值（总价）")</f>
        <v>取值（总价）</v>
      </c>
      <c r="G33" s="138"/>
      <c r="H33" s="138"/>
      <c r="I33" s="138"/>
    </row>
    <row r="34" spans="1:15" ht="15">
      <c r="A34" s="2451"/>
      <c r="B34" s="2452" t="s">
        <v>2155</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2156</v>
      </c>
      <c r="F34" s="1734"/>
      <c r="G34" s="138"/>
      <c r="H34" s="138"/>
      <c r="I34" s="138"/>
    </row>
    <row r="35" spans="1:15" ht="15.75" thickBot="1">
      <c r="A35" s="2454"/>
      <c r="B35" s="2455" t="s">
        <v>2157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117" t="s">
        <v>2159</v>
      </c>
      <c r="B36" s="2457" t="s">
        <v>2160</v>
      </c>
      <c r="C36" s="154"/>
      <c r="D36" s="2458"/>
      <c r="E36" s="2459"/>
      <c r="F36" s="2460"/>
      <c r="G36" s="138"/>
      <c r="H36" s="138"/>
      <c r="I36" s="138"/>
    </row>
    <row r="37" spans="1:15" ht="15.75" thickBot="1">
      <c r="A37" s="3118"/>
      <c r="B37" s="2262" t="s">
        <v>2161</v>
      </c>
      <c r="C37" s="156"/>
      <c r="D37" s="1390"/>
      <c r="E37" s="1390"/>
      <c r="F37" s="2460"/>
      <c r="G37" s="138"/>
      <c r="H37" s="138"/>
      <c r="I37" s="138"/>
    </row>
    <row r="38" spans="1:15" ht="15.75" thickBot="1">
      <c r="A38" s="3119"/>
      <c r="B38" s="2461" t="s">
        <v>2162</v>
      </c>
      <c r="C38" s="727"/>
      <c r="D38" s="2462" t="s">
        <v>2163</v>
      </c>
      <c r="E38" s="1390"/>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34" t="s">
        <v>2173</v>
      </c>
      <c r="B45" s="3135"/>
      <c r="C45" s="3136"/>
      <c r="D45" s="164">
        <f ca="1">ROUND(H101*F45,0)</f>
        <v>43077</v>
      </c>
      <c r="E45" s="165" t="s">
        <v>2174</v>
      </c>
      <c r="F45" s="166">
        <v>1</v>
      </c>
      <c r="G45" s="167" t="s">
        <v>2175</v>
      </c>
      <c r="H45" s="138"/>
      <c r="I45" s="138"/>
      <c r="J45" s="3053" t="s">
        <v>2176</v>
      </c>
      <c r="K45" s="3053"/>
      <c r="L45" s="3053"/>
      <c r="M45" s="3053"/>
      <c r="N45" s="3053"/>
      <c r="O45" s="3053"/>
    </row>
    <row r="46" spans="1:15" ht="14.25" customHeight="1">
      <c r="A46" s="3131" t="s">
        <v>2177</v>
      </c>
      <c r="B46" s="3132"/>
      <c r="C46" s="3132"/>
      <c r="D46" s="3132"/>
      <c r="E46" s="3132"/>
      <c r="F46" s="3132"/>
      <c r="G46" s="3133"/>
      <c r="H46" s="2476"/>
      <c r="I46" s="168"/>
      <c r="J46" s="1807">
        <v>1</v>
      </c>
      <c r="K46" s="3053" t="s">
        <v>2178</v>
      </c>
      <c r="L46" s="3053"/>
      <c r="M46" s="3054"/>
      <c r="N46" s="3054"/>
      <c r="O46" s="3054"/>
    </row>
    <row r="47" spans="1:15" ht="12" customHeight="1">
      <c r="A47" s="169" t="s">
        <v>2179</v>
      </c>
      <c r="B47" s="170"/>
      <c r="C47" s="171"/>
      <c r="D47" s="172" t="s">
        <v>2180</v>
      </c>
      <c r="E47" s="24" t="s">
        <v>2181</v>
      </c>
      <c r="F47" s="173" t="s">
        <v>2182</v>
      </c>
      <c r="G47" s="174" t="s">
        <v>2183</v>
      </c>
      <c r="H47" s="2476"/>
      <c r="I47" s="168"/>
      <c r="J47" s="1807">
        <v>2</v>
      </c>
      <c r="K47" s="3053" t="s">
        <v>2184</v>
      </c>
      <c r="L47" s="3053"/>
      <c r="M47" s="3055">
        <f>'数据-取费表'!B2</f>
        <v>43185</v>
      </c>
      <c r="N47" s="3055"/>
      <c r="O47" s="3055"/>
    </row>
    <row r="48" spans="1:15" ht="25.5">
      <c r="A48" s="3121" t="s">
        <v>2185</v>
      </c>
      <c r="B48" s="3122"/>
      <c r="C48" s="3122"/>
      <c r="D48" s="140">
        <f>IF(H48="情况1",0,IF(H48="情况2",D52,IF(H48="情况3",D53,IF(H48="情况4",D54))))</f>
        <v>0</v>
      </c>
      <c r="E48" s="1796" t="str">
        <f>IF(H48="情况4","(销售额-原购置价)×税（费）率","销售额×税（费）率")</f>
        <v>销售额×税（费）率</v>
      </c>
      <c r="F48" s="175" t="str">
        <f>IF(H48="情况1","免征",'数据-取费表'!B41)</f>
        <v>免征</v>
      </c>
      <c r="G48" s="2477" t="s">
        <v>2186</v>
      </c>
      <c r="H48" s="2478" t="s">
        <v>2187</v>
      </c>
      <c r="I48" s="2476"/>
      <c r="J48" s="1807">
        <v>3</v>
      </c>
      <c r="K48" s="3053" t="s">
        <v>2188</v>
      </c>
      <c r="L48" s="3053"/>
      <c r="M48" s="3056">
        <f ca="1">H101</f>
        <v>43077</v>
      </c>
      <c r="N48" s="3056"/>
      <c r="O48" s="3056"/>
    </row>
    <row r="49" spans="1:35" ht="25.5" customHeight="1">
      <c r="A49" s="176" t="s">
        <v>2189</v>
      </c>
      <c r="B49" s="3101" t="s">
        <v>2190</v>
      </c>
      <c r="C49" s="3101"/>
      <c r="D49" s="177">
        <v>0</v>
      </c>
      <c r="E49" s="23" t="s">
        <v>2191</v>
      </c>
      <c r="F49" s="28" t="s">
        <v>34</v>
      </c>
      <c r="G49" s="3082"/>
      <c r="H49" s="138"/>
      <c r="I49" s="2479"/>
      <c r="J49" s="1807">
        <v>4</v>
      </c>
      <c r="K49" s="3053" t="str">
        <f>IF(项目基本情况!E8="房地产抵押价值","房地产抵押价值","抵押担保权已注销时的房地产抵押价值")</f>
        <v>房地产抵押价值</v>
      </c>
      <c r="L49" s="3053"/>
      <c r="M49" s="3056">
        <f ca="1">IF(项目基本情况!E8="房地产抵押价值",H107,H109)</f>
        <v>43077</v>
      </c>
      <c r="N49" s="3056"/>
      <c r="O49" s="3056"/>
    </row>
    <row r="50" spans="1:35" ht="25.5" customHeight="1">
      <c r="A50" s="178"/>
      <c r="B50" s="3101" t="s">
        <v>2192</v>
      </c>
      <c r="C50" s="3101"/>
      <c r="D50" s="179"/>
      <c r="E50" s="31"/>
      <c r="F50" s="180"/>
      <c r="G50" s="3083"/>
      <c r="H50" s="138"/>
      <c r="I50" s="2479"/>
      <c r="J50" s="3053" t="s">
        <v>2193</v>
      </c>
      <c r="K50" s="3053"/>
      <c r="L50" s="3053"/>
      <c r="M50" s="3053"/>
      <c r="N50" s="3053"/>
      <c r="O50" s="3053"/>
    </row>
    <row r="51" spans="1:35" ht="12" customHeight="1">
      <c r="A51" s="181"/>
      <c r="B51" s="3101" t="s">
        <v>2194</v>
      </c>
      <c r="C51" s="3101"/>
      <c r="D51" s="182"/>
      <c r="E51" s="30"/>
      <c r="F51" s="180"/>
      <c r="G51" s="3084"/>
      <c r="H51" s="138"/>
      <c r="I51" s="2479"/>
      <c r="J51" s="2480" t="s">
        <v>2195</v>
      </c>
      <c r="K51" s="3053" t="s">
        <v>2196</v>
      </c>
      <c r="L51" s="3053"/>
      <c r="M51" s="2480" t="s">
        <v>2197</v>
      </c>
      <c r="N51" s="2480" t="s">
        <v>2198</v>
      </c>
      <c r="O51" s="2480" t="s">
        <v>2199</v>
      </c>
    </row>
    <row r="52" spans="1:35" ht="24" customHeight="1">
      <c r="A52" s="183" t="s">
        <v>2200</v>
      </c>
      <c r="B52" s="3101" t="s">
        <v>2201</v>
      </c>
      <c r="C52" s="3101"/>
      <c r="D52" s="182">
        <f ca="1">ROUND(D45*'数据-取费表'!B41/(1+'数据-取费表'!C42),0)</f>
        <v>2297</v>
      </c>
      <c r="E52" s="11" t="s">
        <v>2202</v>
      </c>
      <c r="F52" s="184">
        <f>'数据-取费表'!B41</f>
        <v>5.6000000000000001E-2</v>
      </c>
      <c r="G52" s="2481"/>
      <c r="H52" s="138"/>
      <c r="I52" s="2479"/>
      <c r="J52" s="1807">
        <v>1</v>
      </c>
      <c r="K52" s="3076" t="s">
        <v>2203</v>
      </c>
      <c r="L52" s="3076"/>
      <c r="M52" s="1749">
        <f>D48</f>
        <v>0</v>
      </c>
      <c r="N52" s="1807" t="str">
        <f>E48</f>
        <v>销售额×税（费）率</v>
      </c>
      <c r="O52" s="1750" t="str">
        <f>F48</f>
        <v>免征</v>
      </c>
    </row>
    <row r="53" spans="1:35" ht="12" customHeight="1">
      <c r="A53" s="183" t="s">
        <v>2204</v>
      </c>
      <c r="B53" s="3102" t="s">
        <v>2205</v>
      </c>
      <c r="C53" s="3103"/>
      <c r="D53" s="182">
        <f ca="1">ROUND(D45*'数据-取费表'!B41/(1+'数据-取费表'!C42),0)</f>
        <v>2297</v>
      </c>
      <c r="E53" s="11" t="s">
        <v>2202</v>
      </c>
      <c r="F53" s="184">
        <f>'数据-取费表'!B41</f>
        <v>5.6000000000000001E-2</v>
      </c>
      <c r="G53" s="2481"/>
      <c r="H53" s="138"/>
      <c r="I53" s="2479"/>
      <c r="J53" s="1807">
        <v>2</v>
      </c>
      <c r="K53" s="3076" t="s">
        <v>2206</v>
      </c>
      <c r="L53" s="3076"/>
      <c r="M53" s="1749">
        <f t="shared" ref="M53:O54" ca="1" si="0">D55</f>
        <v>22</v>
      </c>
      <c r="N53" s="1807" t="str">
        <f t="shared" si="0"/>
        <v>销售额×税（费）率</v>
      </c>
      <c r="O53" s="1750">
        <f t="shared" si="0"/>
        <v>5.0000000000000001E-4</v>
      </c>
    </row>
    <row r="54" spans="1:35" ht="12" customHeight="1">
      <c r="A54" s="183" t="s">
        <v>2207</v>
      </c>
      <c r="B54" s="3102" t="s">
        <v>2208</v>
      </c>
      <c r="C54" s="3103"/>
      <c r="D54" s="182">
        <f ca="1">C68</f>
        <v>2297</v>
      </c>
      <c r="E54" s="30" t="s">
        <v>2209</v>
      </c>
      <c r="F54" s="184">
        <f>'数据-取费表'!B41</f>
        <v>5.6000000000000001E-2</v>
      </c>
      <c r="G54" s="2481"/>
      <c r="H54" s="2482"/>
      <c r="I54" s="2479"/>
      <c r="J54" s="1807">
        <v>3</v>
      </c>
      <c r="K54" s="3076" t="s">
        <v>2210</v>
      </c>
      <c r="L54" s="3076"/>
      <c r="M54" s="1749">
        <f t="shared" ca="1" si="0"/>
        <v>24382</v>
      </c>
      <c r="N54" s="1807" t="str">
        <f t="shared" si="0"/>
        <v>增值额×税（费）率</v>
      </c>
      <c r="O54" s="1751" t="str">
        <f t="shared" si="0"/>
        <v>——</v>
      </c>
    </row>
    <row r="55" spans="1:35" ht="24" customHeight="1">
      <c r="A55" s="3140" t="s">
        <v>2211</v>
      </c>
      <c r="B55" s="3122"/>
      <c r="C55" s="3122"/>
      <c r="D55" s="185">
        <f ca="1">IF(H55="个人住宅",0,ROUND(D45*I55,0))</f>
        <v>22</v>
      </c>
      <c r="E55" s="11" t="s">
        <v>2212</v>
      </c>
      <c r="F55" s="184">
        <f>IF(H55="正常",I55,"免征")</f>
        <v>5.0000000000000001E-4</v>
      </c>
      <c r="G55" s="2481"/>
      <c r="H55" s="2478" t="s">
        <v>2213</v>
      </c>
      <c r="I55" s="186">
        <f>'数据-取费表'!B49</f>
        <v>5.0000000000000001E-4</v>
      </c>
      <c r="J55" s="1807" t="str">
        <f>IF(H59="非个人房产","",4)</f>
        <v/>
      </c>
      <c r="K55" s="3076" t="str">
        <f>IF(H59="非个人房产","——","个人所得税")</f>
        <v>——</v>
      </c>
      <c r="L55" s="3076"/>
      <c r="M55" s="1752" t="str">
        <f>D59</f>
        <v>——</v>
      </c>
      <c r="N55" s="1805" t="str">
        <f>E59</f>
        <v>——</v>
      </c>
      <c r="O55" s="1753" t="str">
        <f>F59</f>
        <v>——</v>
      </c>
    </row>
    <row r="56" spans="1:35" ht="24.75">
      <c r="A56" s="3140" t="s">
        <v>2214</v>
      </c>
      <c r="B56" s="3122"/>
      <c r="C56" s="3122"/>
      <c r="D56" s="185">
        <f ca="1">IF(H56="个人住宅",D57,D58)</f>
        <v>24382</v>
      </c>
      <c r="E56" s="11" t="s">
        <v>2215</v>
      </c>
      <c r="F56" s="184" t="str">
        <f>IF(H56="正常",F58,"免征")</f>
        <v>——</v>
      </c>
      <c r="G56" s="2483" t="s">
        <v>2216</v>
      </c>
      <c r="H56" s="2484" t="s">
        <v>2213</v>
      </c>
      <c r="I56" s="2485"/>
      <c r="J56" s="1807" t="str">
        <f>IF(项目基本情况!K6="上海银行",IF(J55="",4,J55+1),"")</f>
        <v/>
      </c>
      <c r="K56" s="3059" t="str">
        <f>IF(项目基本情况!K6="上海银行","其他处置费用","")</f>
        <v/>
      </c>
      <c r="L56" s="3060"/>
      <c r="M56" s="1749" t="str">
        <f>IF(项目基本情况!K6="上海银行",M69,"")</f>
        <v/>
      </c>
      <c r="N56" s="3062" t="str">
        <f>IF(项目基本情况!K6="上海银行","包含处置中涉及的律师、诉讼、拍卖、评估等费用","")</f>
        <v/>
      </c>
      <c r="O56" s="3063"/>
    </row>
    <row r="57" spans="1:35" ht="12.75">
      <c r="A57" s="183" t="s">
        <v>2189</v>
      </c>
      <c r="B57" s="3107" t="s">
        <v>2217</v>
      </c>
      <c r="C57" s="3108"/>
      <c r="D57" s="187">
        <v>0</v>
      </c>
      <c r="E57" s="23" t="s">
        <v>2191</v>
      </c>
      <c r="F57" s="155"/>
      <c r="G57" s="2481"/>
      <c r="H57" s="2485"/>
      <c r="I57" s="2485"/>
      <c r="J57" s="3076">
        <f>IF(AND(J55="",J56=""),4,IF(项目基本情况!K6="上海银行",'结果表（办公）'!J56+1,'结果表（办公）'!J55+1))</f>
        <v>4</v>
      </c>
      <c r="K57" s="3076" t="s">
        <v>2218</v>
      </c>
      <c r="L57" s="2486" t="s">
        <v>2219</v>
      </c>
      <c r="M57" s="1754"/>
      <c r="N57" s="1755">
        <f ca="1">SUMIF(M52:M56,"&lt;9e307")</f>
        <v>24404</v>
      </c>
      <c r="O57" s="2487"/>
      <c r="P57" s="1748">
        <f ca="1">N57/M49</f>
        <v>0.56652041692782695</v>
      </c>
    </row>
    <row r="58" spans="1:35" ht="24.75">
      <c r="A58" s="183" t="s">
        <v>2200</v>
      </c>
      <c r="B58" s="3107" t="s">
        <v>2220</v>
      </c>
      <c r="C58" s="3120"/>
      <c r="D58" s="185">
        <f ca="1">IF(H58="转让取得",C81,C97)</f>
        <v>24382</v>
      </c>
      <c r="E58" s="11" t="s">
        <v>2215</v>
      </c>
      <c r="F58" s="24" t="s">
        <v>34</v>
      </c>
      <c r="G58" s="2481"/>
      <c r="H58" s="2484" t="s">
        <v>2221</v>
      </c>
      <c r="I58" s="2485"/>
      <c r="J58" s="3076"/>
      <c r="K58" s="3076"/>
      <c r="L58" s="2486" t="s">
        <v>2222</v>
      </c>
      <c r="M58" s="1756"/>
      <c r="N58" s="2488" t="str">
        <f ca="1">NUMBERSTRING(INT(N57*10000),2)&amp;"元整"</f>
        <v>贰亿肆仟肆佰零肆万元整</v>
      </c>
      <c r="O58" s="2489"/>
    </row>
    <row r="59" spans="1:35" ht="24.75" thickBot="1">
      <c r="A59" s="3080" t="s">
        <v>2223</v>
      </c>
      <c r="B59" s="3081"/>
      <c r="C59" s="3081"/>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078">
        <f>J57+1</f>
        <v>5</v>
      </c>
      <c r="K59" s="3076" t="s">
        <v>2225</v>
      </c>
      <c r="L59" s="1807" t="s">
        <v>2219</v>
      </c>
      <c r="M59" s="1757"/>
      <c r="N59" s="1758">
        <f ca="1">M49-N57</f>
        <v>18673</v>
      </c>
      <c r="O59" s="2491"/>
    </row>
    <row r="60" spans="1:35" ht="12" customHeight="1">
      <c r="A60" s="2492"/>
      <c r="B60" s="2414"/>
      <c r="C60" s="2414"/>
      <c r="D60" s="2414"/>
      <c r="E60" s="2162"/>
      <c r="F60" s="2485"/>
      <c r="G60" s="2485"/>
      <c r="H60" s="2493"/>
      <c r="I60" s="138"/>
      <c r="J60" s="3079"/>
      <c r="K60" s="3076"/>
      <c r="L60" s="2486" t="s">
        <v>2222</v>
      </c>
      <c r="M60" s="1756"/>
      <c r="N60" s="2488" t="str">
        <f ca="1">NUMBERSTRING(INT(N59*10000),2)&amp;"元整"</f>
        <v>壹亿捌仟陆佰柒拾叁万元整</v>
      </c>
      <c r="O60" s="2489"/>
    </row>
    <row r="61" spans="1:35" ht="13.5" thickBot="1">
      <c r="A61" s="3139" t="s">
        <v>2226</v>
      </c>
      <c r="B61" s="3139"/>
      <c r="C61" s="3139"/>
      <c r="D61" s="3139"/>
      <c r="E61" s="3139"/>
      <c r="F61" s="2485"/>
      <c r="G61" s="2485"/>
      <c r="H61" s="2493"/>
      <c r="I61" s="138"/>
      <c r="J61" s="1807">
        <f>J59+1</f>
        <v>6</v>
      </c>
      <c r="K61" s="3076" t="s">
        <v>2227</v>
      </c>
      <c r="L61" s="3076"/>
      <c r="M61" s="1759"/>
      <c r="N61" s="1760">
        <f ca="1">ROUND(N59*10000/'数据-汇总表'!E3,0)</f>
        <v>16058</v>
      </c>
      <c r="O61" s="2494"/>
    </row>
    <row r="62" spans="1:35" ht="12.75">
      <c r="A62" s="3096" t="s">
        <v>2228</v>
      </c>
      <c r="B62" s="3097"/>
      <c r="C62" s="1799"/>
      <c r="D62" s="1799" t="s">
        <v>2229</v>
      </c>
      <c r="E62" s="192" t="s">
        <v>2230</v>
      </c>
      <c r="F62" s="2485"/>
      <c r="G62" s="2485"/>
      <c r="H62" s="2493"/>
      <c r="I62" s="138"/>
    </row>
    <row r="63" spans="1:35" ht="12.75">
      <c r="A63" s="203" t="s">
        <v>775</v>
      </c>
      <c r="B63" s="193" t="s">
        <v>2231</v>
      </c>
      <c r="C63" s="194">
        <f ca="1">ROUND((C64+C65)/(1+'数据-取费表'!C42),0)</f>
        <v>41026</v>
      </c>
      <c r="D63" s="195"/>
      <c r="E63" s="196"/>
      <c r="F63" s="2485"/>
      <c r="G63" s="2485"/>
      <c r="H63" s="2493"/>
      <c r="I63" s="138"/>
      <c r="J63" s="3061" t="s">
        <v>2232</v>
      </c>
      <c r="K63" s="2495" t="s">
        <v>2233</v>
      </c>
      <c r="L63" s="1747">
        <f ca="1">IF(M49&gt;10000,M49*0.5%,IF(AND(M49&gt;1000,M49&lt;=10000),M49*1%,IF(AND(M49&gt;100,M49&lt;=1000),M49*3%,IF(AND(M49&gt;10,M49&lt;=100),M49*5%,M49*8%))))</f>
        <v>215.38499999999999</v>
      </c>
      <c r="M63" s="24">
        <f ca="1">ROUND(L63,1)</f>
        <v>215.4</v>
      </c>
      <c r="Z63" s="2419"/>
      <c r="AI63" s="2420"/>
    </row>
    <row r="64" spans="1:35" ht="14.25" customHeight="1">
      <c r="A64" s="197" t="s">
        <v>770</v>
      </c>
      <c r="B64" s="198" t="s">
        <v>2234</v>
      </c>
      <c r="C64" s="199">
        <f ca="1">D45</f>
        <v>43077</v>
      </c>
      <c r="D64" s="200" t="s">
        <v>32</v>
      </c>
      <c r="E64" s="201"/>
      <c r="F64" s="2485"/>
      <c r="G64" s="2485"/>
      <c r="H64" s="2493"/>
      <c r="I64" s="138"/>
      <c r="J64" s="3061"/>
      <c r="K64" s="2495" t="s">
        <v>2235</v>
      </c>
      <c r="L64" s="1747">
        <f ca="1">IF(M49&gt;2000,M49*0.5%,IF(AND(M49&gt;1000,M49&lt;=2000),M49*0.6%,IF(AND(M49&gt;500,M49&lt;=1000),M49*0.7%,IF(AND(M49&gt;200,M49&lt;=500),M49*0.8%,IF(AND(M49&gt;100,M49&lt;=200),M49*0.9%,IF(AND(M49&gt;50,M49&lt;=100),M49*1%,IF(AND(M49&gt;20,M49&lt;=50),M49*1.5%,IF(AND(M49&gt;10,M49&lt;=20),M49*2%,IF(AND(M49&gt;1,M49&lt;=10),M49*2.5%)))))))))</f>
        <v>215.38499999999999</v>
      </c>
      <c r="M64" s="24">
        <f t="shared" ref="M64:M65" ca="1" si="1">ROUND(L64,1)</f>
        <v>215.4</v>
      </c>
      <c r="N64" s="138" t="s">
        <v>2236</v>
      </c>
      <c r="Z64" s="2419"/>
      <c r="AI64" s="2420"/>
    </row>
    <row r="65" spans="1:35" ht="14.25" customHeight="1">
      <c r="A65" s="197" t="s">
        <v>771</v>
      </c>
      <c r="B65" s="198" t="s">
        <v>2237</v>
      </c>
      <c r="C65" s="202"/>
      <c r="D65" s="200"/>
      <c r="E65" s="201"/>
      <c r="F65" s="2485"/>
      <c r="G65" s="2485"/>
      <c r="H65" s="2493"/>
      <c r="I65" s="138"/>
      <c r="J65" s="3061"/>
      <c r="K65" s="2495" t="s">
        <v>2238</v>
      </c>
      <c r="L65" s="1747">
        <f ca="1">IF(M49&gt;1000,M49*0.1%,IF(AND(M49&gt;500,M49&lt;=1000),M49*0.5%,IF(AND(M49&gt;50,M49&lt;=500),M49*1%,IF(AND(M49&gt;1,M49&lt;=50),M49*1.5%))))</f>
        <v>43.076999999999998</v>
      </c>
      <c r="M65" s="24">
        <f t="shared" ca="1" si="1"/>
        <v>43.1</v>
      </c>
      <c r="N65" s="138" t="s">
        <v>2236</v>
      </c>
      <c r="Z65" s="2419"/>
      <c r="AI65" s="2420"/>
    </row>
    <row r="66" spans="1:35" ht="14.25" customHeight="1">
      <c r="A66" s="203" t="s">
        <v>772</v>
      </c>
      <c r="B66" s="204" t="s">
        <v>2239</v>
      </c>
      <c r="C66" s="205"/>
      <c r="D66" s="206" t="s">
        <v>32</v>
      </c>
      <c r="E66" s="1771" t="s">
        <v>1371</v>
      </c>
      <c r="F66" s="2485"/>
      <c r="G66" s="2485"/>
      <c r="H66" s="2493"/>
      <c r="I66" s="138"/>
      <c r="J66" s="3061"/>
      <c r="K66" s="2495" t="s">
        <v>2240</v>
      </c>
      <c r="L66" s="1747">
        <f ca="1">M49*0.5%</f>
        <v>215.38499999999999</v>
      </c>
      <c r="M66" s="24">
        <f ca="1">IF(L66&gt;0.5,0.5,ROUND(L66,0))</f>
        <v>0.5</v>
      </c>
      <c r="N66" s="138" t="s">
        <v>2241</v>
      </c>
      <c r="Z66" s="2419"/>
      <c r="AI66" s="2420"/>
    </row>
    <row r="67" spans="1:35" ht="14.25" customHeight="1">
      <c r="A67" s="203" t="s">
        <v>773</v>
      </c>
      <c r="B67" s="204" t="s">
        <v>2242</v>
      </c>
      <c r="C67" s="207">
        <f ca="1">C63-C66</f>
        <v>41026</v>
      </c>
      <c r="D67" s="200" t="s">
        <v>32</v>
      </c>
      <c r="E67" s="201"/>
      <c r="F67" s="2485"/>
      <c r="G67" s="2485"/>
      <c r="H67" s="2493"/>
      <c r="I67" s="138"/>
      <c r="J67" s="3061"/>
      <c r="K67" s="2495" t="s">
        <v>2243</v>
      </c>
      <c r="L67" s="1747">
        <f ca="1">IF(M49&gt;=10000,(8.25+(M49-10000)*0.01%),IF(AND(M49&gt;=8000,M49&lt;10000),(7.85+(M49-8000)*0.02%),IF(AND(M49&gt;=5000,M49&lt;8000),(6.65+(M49-5000)*0.04%),IF(AND(M49&gt;=2000,M49&lt;5000),(4.25+(PM49-2000)*0.08%),IF(AND(M49&gt;=1000,M49&lt;2000),(2.75+(M49-1000)*0.15%),IF(AND(M49&gt;=100,M49&lt;1000),(0.5+(M49-100)*0.25%),IF(AND(M49&gt;0,M49&lt;100),M49*0.5%)))))))</f>
        <v>11.557700000000001</v>
      </c>
      <c r="M67" s="24">
        <f ca="1">ROUND(L67*0.9,1)</f>
        <v>10.4</v>
      </c>
      <c r="Z67" s="2419"/>
      <c r="AI67" s="2420"/>
    </row>
    <row r="68" spans="1:35" ht="14.25" customHeight="1" thickBot="1">
      <c r="A68" s="208" t="s">
        <v>774</v>
      </c>
      <c r="B68" s="209" t="s">
        <v>2244</v>
      </c>
      <c r="C68" s="210">
        <f ca="1">IF(C67&lt;=0,0,ROUND(C67*D68,0))</f>
        <v>2297</v>
      </c>
      <c r="D68" s="211">
        <f>'数据-取费表'!B41</f>
        <v>5.6000000000000001E-2</v>
      </c>
      <c r="E68" s="212"/>
      <c r="F68" s="2485"/>
      <c r="G68" s="2485"/>
      <c r="H68" s="2493"/>
      <c r="I68" s="138"/>
      <c r="J68" s="3061"/>
      <c r="K68" s="2495" t="s">
        <v>2245</v>
      </c>
      <c r="L68" s="1747">
        <f ca="1">IF(M49&gt;10000,M49*0.5%,IF(AND(M49&gt;5000,M49&lt;=10000),M49*1%,IF(AND(M49&gt;1000,M49&lt;=5000),M49*2%,IF(AND(M49&gt;200,M49&lt;=1000),M49*3%,M49*5%))))</f>
        <v>215.38499999999999</v>
      </c>
      <c r="M68" s="24">
        <f ca="1">ROUND(L68,1)</f>
        <v>215.4</v>
      </c>
      <c r="Z68" s="2419"/>
      <c r="AI68" s="2420"/>
    </row>
    <row r="69" spans="1:35" s="2442" customFormat="1" ht="16.5" customHeight="1">
      <c r="A69" s="2496"/>
      <c r="B69" s="2497"/>
      <c r="C69" s="2498"/>
      <c r="D69" s="2499"/>
      <c r="E69" s="2500"/>
      <c r="F69" s="2162"/>
      <c r="G69" s="2162"/>
      <c r="H69" s="2161"/>
      <c r="I69" s="2414"/>
      <c r="J69" s="3061"/>
      <c r="K69" s="2495" t="s">
        <v>2246</v>
      </c>
      <c r="L69" s="2501"/>
      <c r="M69" s="24">
        <f ca="1">ROUND(SUM(M63:M68),0)</f>
        <v>700</v>
      </c>
      <c r="N69" s="1748">
        <f ca="1">M69/M49</f>
        <v>1.6249970982194675E-2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5" t="s">
        <v>2247</v>
      </c>
      <c r="B70" s="3106"/>
      <c r="C70" s="3106"/>
      <c r="D70" s="3106"/>
      <c r="E70" s="3106"/>
      <c r="F70" s="3106"/>
      <c r="G70" s="3106"/>
      <c r="H70" s="31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6" t="s">
        <v>2228</v>
      </c>
      <c r="B71" s="3097"/>
      <c r="C71" s="1799"/>
      <c r="D71" s="1799"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41026</v>
      </c>
      <c r="D72" s="200" t="s">
        <v>32</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246</v>
      </c>
      <c r="D73" s="200" t="s">
        <v>32</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02" t="s">
        <v>2256</v>
      </c>
      <c r="F76" s="3101"/>
      <c r="G76" s="3101"/>
      <c r="H76" s="31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246</v>
      </c>
      <c r="D78" s="226">
        <f>'数据-取费表'!B43</f>
        <v>6.000000000000001E-3</v>
      </c>
      <c r="E78" s="3093" t="s">
        <v>2261</v>
      </c>
      <c r="F78" s="3094"/>
      <c r="G78" s="3094"/>
      <c r="H78" s="30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40780</v>
      </c>
      <c r="D79" s="200" t="s">
        <v>32</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165.77235772357724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24382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5" t="s">
        <v>2265</v>
      </c>
      <c r="B83" s="3106"/>
      <c r="C83" s="3106"/>
      <c r="D83" s="3106"/>
      <c r="E83" s="3106"/>
      <c r="F83" s="3106"/>
      <c r="G83" s="3106"/>
      <c r="H83" s="31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6" t="s">
        <v>2228</v>
      </c>
      <c r="B84" s="3097"/>
      <c r="C84" s="1799"/>
      <c r="D84" s="1799"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41026</v>
      </c>
      <c r="D85" s="200" t="s">
        <v>32</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246</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5"/>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093" t="s">
        <v>2274</v>
      </c>
      <c r="F91" s="3094"/>
      <c r="G91" s="3094"/>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093" t="s">
        <v>2278</v>
      </c>
      <c r="F92" s="3094"/>
      <c r="G92" s="3094"/>
      <c r="H92" s="30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246</v>
      </c>
      <c r="D93" s="226">
        <f>'数据-取费表'!B43</f>
        <v>6.000000000000001E-3</v>
      </c>
      <c r="E93" s="3093" t="s">
        <v>2261</v>
      </c>
      <c r="F93" s="3094"/>
      <c r="G93" s="3094"/>
      <c r="H93" s="30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41" t="s">
        <v>2282</v>
      </c>
      <c r="F94" s="3142"/>
      <c r="G94" s="3142"/>
      <c r="H94" s="31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40780</v>
      </c>
      <c r="D95" s="200" t="s">
        <v>32</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165.77235772357724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24382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45" t="s">
        <v>2284</v>
      </c>
      <c r="B100" s="3046"/>
      <c r="C100" s="3046"/>
      <c r="D100" s="3077"/>
      <c r="E100" s="3046" t="s">
        <v>2285</v>
      </c>
      <c r="F100" s="3046"/>
      <c r="G100" s="3046"/>
      <c r="H100" s="3077"/>
      <c r="I100" s="138"/>
    </row>
    <row r="101" spans="1:35" ht="18.75" customHeight="1">
      <c r="A101" s="3085" t="s">
        <v>2286</v>
      </c>
      <c r="B101" s="3086"/>
      <c r="C101" s="736">
        <f>C4</f>
        <v>0</v>
      </c>
      <c r="D101" s="737" t="str">
        <f>D4</f>
        <v>收益法（汇总）</v>
      </c>
      <c r="E101" s="3057" t="s">
        <v>2287</v>
      </c>
      <c r="F101" s="3058"/>
      <c r="G101" s="2516" t="s">
        <v>2288</v>
      </c>
      <c r="H101" s="1043">
        <f ca="1">H118</f>
        <v>43077</v>
      </c>
      <c r="I101" s="138"/>
    </row>
    <row r="102" spans="1:35" ht="18.75" customHeight="1">
      <c r="A102" s="3087" t="s">
        <v>2289</v>
      </c>
      <c r="B102" s="2516" t="s">
        <v>2288</v>
      </c>
      <c r="C102" s="736">
        <f>C19</f>
        <v>45334</v>
      </c>
      <c r="D102" s="737">
        <f ca="1">D19</f>
        <v>37810</v>
      </c>
      <c r="E102" s="3057"/>
      <c r="F102" s="3058"/>
      <c r="G102" s="2516" t="s">
        <v>2290</v>
      </c>
      <c r="H102" s="371">
        <f ca="1">I118</f>
        <v>37045</v>
      </c>
      <c r="I102" s="138"/>
    </row>
    <row r="103" spans="1:35" ht="42.75" customHeight="1">
      <c r="A103" s="3087"/>
      <c r="B103" s="2516" t="s">
        <v>2290</v>
      </c>
      <c r="C103" s="738">
        <f>C20</f>
        <v>38986</v>
      </c>
      <c r="D103" s="739">
        <f ca="1">D20</f>
        <v>32516</v>
      </c>
      <c r="E103" s="3051" t="s">
        <v>2291</v>
      </c>
      <c r="F103" s="3052"/>
      <c r="G103" s="2517" t="s">
        <v>2292</v>
      </c>
      <c r="H103" s="1043">
        <f>IF(D36="正常操作",H104+H105+H106,H105+H106)</f>
        <v>0</v>
      </c>
      <c r="I103" s="138"/>
    </row>
    <row r="104" spans="1:35" ht="18.75" customHeight="1">
      <c r="A104" s="3087" t="s">
        <v>2293</v>
      </c>
      <c r="B104" s="2518" t="s">
        <v>2288</v>
      </c>
      <c r="C104" s="740">
        <f ca="1">H118</f>
        <v>43077</v>
      </c>
      <c r="D104" s="741"/>
      <c r="E104" s="2262" t="s">
        <v>2294</v>
      </c>
      <c r="F104" s="2254"/>
      <c r="G104" s="2517" t="s">
        <v>2292</v>
      </c>
      <c r="H104" s="1044">
        <f>IF(D36="同一抵押权人同一抵押物续贷",C36&amp;"（未扣减，详见特别提示）",C36)</f>
        <v>0</v>
      </c>
      <c r="I104" s="138"/>
    </row>
    <row r="105" spans="1:35" ht="18.75" customHeight="1" thickBot="1">
      <c r="A105" s="3099"/>
      <c r="B105" s="2519" t="s">
        <v>2290</v>
      </c>
      <c r="C105" s="742">
        <f ca="1">I118</f>
        <v>37045</v>
      </c>
      <c r="D105" s="743"/>
      <c r="E105" s="2262" t="s">
        <v>2295</v>
      </c>
      <c r="F105" s="2254"/>
      <c r="G105" s="2517" t="s">
        <v>2292</v>
      </c>
      <c r="H105" s="1044">
        <f>C37</f>
        <v>0</v>
      </c>
      <c r="I105" s="138"/>
    </row>
    <row r="106" spans="1:35" ht="18.75" customHeight="1">
      <c r="A106" s="2414" t="s">
        <v>2296</v>
      </c>
      <c r="B106" s="2414"/>
      <c r="C106" s="2414"/>
      <c r="D106" s="2414"/>
      <c r="E106" s="2520" t="s">
        <v>2297</v>
      </c>
      <c r="F106" s="2254"/>
      <c r="G106" s="2517" t="s">
        <v>2292</v>
      </c>
      <c r="H106" s="1044">
        <f>C38</f>
        <v>0</v>
      </c>
      <c r="I106" s="138"/>
    </row>
    <row r="107" spans="1:35" ht="18.75" customHeight="1">
      <c r="A107" s="138"/>
      <c r="B107" s="138"/>
      <c r="C107" s="138"/>
      <c r="D107" s="138"/>
      <c r="E107" s="3088" t="str">
        <f>IF(项目基本情况!E8="已注销","——","3.房地产抵押价值")</f>
        <v>3.房地产抵押价值</v>
      </c>
      <c r="F107" s="3058"/>
      <c r="G107" s="2516" t="s">
        <v>2288</v>
      </c>
      <c r="H107" s="1043">
        <f ca="1">IF(E107="——","——",H101-H103)</f>
        <v>43077</v>
      </c>
      <c r="I107" s="138"/>
    </row>
    <row r="108" spans="1:35" ht="18.75" customHeight="1">
      <c r="A108" s="138"/>
      <c r="B108" s="138"/>
      <c r="C108" s="138"/>
      <c r="D108" s="138"/>
      <c r="E108" s="3088"/>
      <c r="F108" s="3058"/>
      <c r="G108" s="2516" t="s">
        <v>2290</v>
      </c>
      <c r="H108" s="371">
        <f ca="1">ROUND(H107*10000/'数据-汇总表'!E3,0)</f>
        <v>37045</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6" t="s">
        <v>2288</v>
      </c>
      <c r="H109" s="348" t="str">
        <f>IF(E109="——","——",H101-H105-H106)</f>
        <v>——</v>
      </c>
      <c r="I109" s="138"/>
    </row>
    <row r="110" spans="1:35" ht="18.75" customHeight="1">
      <c r="A110" s="138"/>
      <c r="B110" s="138"/>
      <c r="C110" s="138"/>
      <c r="D110" s="138"/>
      <c r="E110" s="3088"/>
      <c r="F110" s="3058"/>
      <c r="G110" s="2516" t="s">
        <v>2290</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6" t="s">
        <v>2288</v>
      </c>
      <c r="H111" s="1043" t="str">
        <f>IF(E111="——","——",N59)</f>
        <v>——</v>
      </c>
      <c r="I111" s="138"/>
    </row>
    <row r="112" spans="1:35" ht="18.75" customHeight="1" thickBot="1">
      <c r="A112" s="138"/>
      <c r="B112" s="138"/>
      <c r="C112" s="138"/>
      <c r="D112" s="138"/>
      <c r="E112" s="3091"/>
      <c r="F112" s="3092"/>
      <c r="G112" s="2521" t="s">
        <v>2290</v>
      </c>
      <c r="H112" s="790" t="str">
        <f>IF(E111="——","——",N61)</f>
        <v>——</v>
      </c>
      <c r="I112" s="138"/>
    </row>
    <row r="113" spans="1:11" ht="18.75" customHeight="1">
      <c r="A113" s="138"/>
      <c r="B113" s="138"/>
      <c r="C113" s="138"/>
      <c r="D113" s="138"/>
      <c r="E113" s="3100" t="s">
        <v>2296</v>
      </c>
      <c r="F113" s="3100"/>
      <c r="G113" s="3100"/>
      <c r="H113" s="3100"/>
      <c r="I113" s="138"/>
    </row>
    <row r="114" spans="1:11" ht="3.75" customHeight="1">
      <c r="A114" s="2414"/>
      <c r="B114" s="2414"/>
      <c r="C114" s="2414"/>
      <c r="D114" s="2414"/>
      <c r="E114" s="2492"/>
      <c r="F114" s="2492"/>
      <c r="G114" s="2492"/>
      <c r="H114" s="2492"/>
      <c r="I114" s="2414"/>
    </row>
    <row r="115" spans="1:11" ht="18.75" customHeight="1">
      <c r="A115" s="3113" t="s">
        <v>2298</v>
      </c>
      <c r="B115" s="3114"/>
      <c r="C115" s="3114"/>
      <c r="D115" s="3114"/>
      <c r="E115" s="3114"/>
      <c r="F115" s="3114"/>
      <c r="G115" s="3114"/>
      <c r="H115" s="3114"/>
      <c r="I115" s="3115"/>
    </row>
    <row r="116" spans="1:11" ht="27" customHeight="1">
      <c r="A116" s="3024" t="s">
        <v>2299</v>
      </c>
      <c r="B116" s="3067" t="s">
        <v>2300</v>
      </c>
      <c r="C116" s="3067" t="s">
        <v>2301</v>
      </c>
      <c r="D116" s="3073" t="s">
        <v>2302</v>
      </c>
      <c r="E116" s="3074"/>
      <c r="F116" s="3109" t="s">
        <v>2303</v>
      </c>
      <c r="G116" s="3109"/>
      <c r="H116" s="3024" t="s">
        <v>2304</v>
      </c>
      <c r="I116" s="3024"/>
    </row>
    <row r="117" spans="1:11" ht="18.75" customHeight="1">
      <c r="A117" s="3024"/>
      <c r="B117" s="3068"/>
      <c r="C117" s="3068"/>
      <c r="D117" s="1793" t="s">
        <v>2305</v>
      </c>
      <c r="E117" s="1793" t="s">
        <v>2306</v>
      </c>
      <c r="F117" s="1793" t="s">
        <v>2305</v>
      </c>
      <c r="G117" s="1793" t="s">
        <v>2307</v>
      </c>
      <c r="H117" s="1793" t="s">
        <v>2305</v>
      </c>
      <c r="I117" s="1793" t="s">
        <v>2307</v>
      </c>
    </row>
    <row r="118" spans="1:11" ht="24.75" customHeight="1">
      <c r="A118" s="2522" t="str">
        <f>项目基本情况!S2</f>
        <v>北京市海淀区西四环北路160号房地产</v>
      </c>
      <c r="B118" s="1793">
        <f>M18</f>
        <v>11628.210000000001</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43077</v>
      </c>
      <c r="I118" s="1793">
        <f ca="1">ROUND(IF(D32="楼面单价",C32,H118*10000/B118),0)</f>
        <v>37045</v>
      </c>
    </row>
    <row r="119" spans="1:11" ht="18.75" customHeight="1">
      <c r="A119" s="3024" t="s">
        <v>2308</v>
      </c>
      <c r="B119" s="3024"/>
      <c r="C119" s="3024"/>
      <c r="D119" s="3069" t="e">
        <f ca="1">NUMBERSTRING(INT(D118*10000),2)&amp;"元整"</f>
        <v>#REF!</v>
      </c>
      <c r="E119" s="3070"/>
      <c r="F119" s="3069" t="e">
        <f ca="1">NUMBERSTRING(INT(F118*10000),2)&amp;"元整"</f>
        <v>#REF!</v>
      </c>
      <c r="G119" s="3070"/>
      <c r="H119" s="3069" t="str">
        <f ca="1">NUMBERSTRING(INT(H118*10000),2)&amp;"元整"</f>
        <v>肆亿叁仟零柒拾柒万元整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19" t="str">
        <f>IF(D120=0,"故，本次评估不存在"&amp;A120,"故，本次评估"&amp;A120&amp;"为人民币"&amp;D120&amp;"万元整。")</f>
        <v>故，本次评估不存在估价师知悉的法定优先受偿款</v>
      </c>
    </row>
    <row r="121" spans="1:11" ht="18.75" customHeight="1">
      <c r="A121" s="3110" t="s">
        <v>2308</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43077</v>
      </c>
      <c r="E122" s="3065"/>
      <c r="F122" s="3065"/>
      <c r="G122" s="3065"/>
      <c r="H122" s="3065"/>
      <c r="I122" s="3066"/>
    </row>
    <row r="123" spans="1:11" ht="18.75" customHeight="1">
      <c r="A123" s="3024" t="s">
        <v>2308</v>
      </c>
      <c r="B123" s="3024"/>
      <c r="C123" s="3024"/>
      <c r="D123" s="3069" t="str">
        <f ca="1">NUMBERSTRING(INT(D122*10000),2)&amp;"元整"</f>
        <v>肆亿叁仟零柒拾柒万元整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2308</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2308</v>
      </c>
      <c r="B127" s="3024"/>
      <c r="C127" s="3024"/>
      <c r="D127" s="3069" t="e">
        <f>NUMBERSTRING(INT(D126*10000),2)&amp;"元整"</f>
        <v>#VALUE!</v>
      </c>
      <c r="E127" s="3071"/>
      <c r="F127" s="3071"/>
      <c r="G127" s="3071"/>
      <c r="H127" s="3071"/>
      <c r="I127" s="3070"/>
    </row>
    <row r="128" spans="1:11" ht="21.75" customHeight="1">
      <c r="A128" s="3072" t="s">
        <v>2309</v>
      </c>
      <c r="B128" s="3072"/>
      <c r="C128" s="3072"/>
      <c r="D128" s="3072"/>
      <c r="E128" s="3072"/>
      <c r="F128" s="3072"/>
      <c r="G128" s="3072"/>
      <c r="H128" s="3072"/>
      <c r="I128" s="3072"/>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59" t="str">
        <f>项目基本情况!B1</f>
        <v>北京市海淀区西四环北路160号房地产抵押价值预评估</v>
      </c>
      <c r="C37" s="2959"/>
      <c r="D37" s="2959"/>
      <c r="E37" s="2959"/>
      <c r="F37" s="2959"/>
      <c r="G37" s="2959"/>
      <c r="H37" s="2959"/>
      <c r="I37" s="2959"/>
    </row>
    <row r="38" spans="1:9">
      <c r="A38" s="1014"/>
      <c r="B38" s="1014"/>
    </row>
    <row r="39" spans="1:9">
      <c r="A39" s="1012" t="s">
        <v>818</v>
      </c>
      <c r="B39" s="1012" t="s">
        <v>820</v>
      </c>
    </row>
    <row r="40" spans="1:9">
      <c r="A40" s="1012"/>
      <c r="B40" s="1940" t="str">
        <f>项目基本情况!B5</f>
        <v>昆仑信托有限责任公司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郑燚（注册号：1120070131)、王鹏（注册号：1120050019)</v>
      </c>
    </row>
    <row r="47" spans="1:9">
      <c r="A47" s="1012"/>
      <c r="B47" s="1012" t="str">
        <f>项目基本情况!K5</f>
        <v/>
      </c>
    </row>
    <row r="48" spans="1:9">
      <c r="A48" s="1012" t="s">
        <v>818</v>
      </c>
      <c r="B48" s="1012" t="s">
        <v>824</v>
      </c>
    </row>
    <row r="49" spans="2:2">
      <c r="B49" s="1940"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5" sqref="E1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7">
        <f>MATCH(B1,'数据-取费表'!A6:A16,0)+5</f>
        <v>9</v>
      </c>
    </row>
    <row r="2" spans="1:9" s="244" customFormat="1" ht="18" customHeight="1">
      <c r="A2" s="245" t="s">
        <v>2318</v>
      </c>
      <c r="B2" s="246">
        <f ca="1">IF(D2="——",C52,C52-E2)</f>
        <v>5208</v>
      </c>
      <c r="C2" s="243" t="s">
        <v>2319</v>
      </c>
      <c r="D2" s="2545" t="s">
        <v>70</v>
      </c>
      <c r="E2" s="1438"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4479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233</v>
      </c>
      <c r="D5" s="255" t="s">
        <v>2325</v>
      </c>
      <c r="E5" s="256" t="s">
        <v>2326</v>
      </c>
      <c r="F5" s="256" t="s">
        <v>2327</v>
      </c>
      <c r="G5" s="257"/>
    </row>
    <row r="6" spans="1:9" s="258" customFormat="1" ht="13.5" customHeight="1">
      <c r="A6" s="947" t="s">
        <v>2328</v>
      </c>
      <c r="B6" s="259" t="s">
        <v>2329</v>
      </c>
      <c r="C6" s="260"/>
      <c r="D6" s="261"/>
      <c r="E6" s="262"/>
      <c r="F6" s="262"/>
      <c r="G6" s="263"/>
    </row>
    <row r="7" spans="1:9" s="258" customFormat="1" ht="13.5" customHeight="1">
      <c r="A7" s="947" t="s">
        <v>2330</v>
      </c>
      <c r="B7" s="259" t="s">
        <v>2331</v>
      </c>
      <c r="C7" s="264">
        <f>ROUND(C6*F7,0)</f>
        <v>0</v>
      </c>
      <c r="D7" s="264"/>
      <c r="E7" s="262"/>
      <c r="F7" s="265">
        <f>'数据-取费表'!B48+'数据-取费表'!B49</f>
        <v>3.0499999999999999E-2</v>
      </c>
      <c r="G7" s="263"/>
    </row>
    <row r="8" spans="1:9" s="267" customFormat="1">
      <c r="A8" s="947" t="s">
        <v>2332</v>
      </c>
      <c r="B8" s="259" t="s">
        <v>2333</v>
      </c>
      <c r="C8" s="264">
        <f ca="1">IF(G8="已包含在土地购买价格中","0",IF(B1="",'数据-取费表'!B29,IF(G9="全部缴纳",C9+C10,H9)))</f>
        <v>233</v>
      </c>
      <c r="D8" s="266"/>
      <c r="E8" s="264"/>
      <c r="F8" s="265"/>
      <c r="G8" s="2548"/>
    </row>
    <row r="9" spans="1:9" s="258" customFormat="1" ht="13.5" customHeight="1">
      <c r="A9" s="948" t="s">
        <v>800</v>
      </c>
      <c r="B9" s="268" t="s">
        <v>2334</v>
      </c>
      <c r="C9" s="269">
        <f ca="1">ROUND(D9*E9/10000,0)</f>
        <v>0</v>
      </c>
      <c r="D9" s="1030">
        <f ca="1">IF(B1="",'数据-汇总表'!E5,IF(INDIRECT("'数据-取费表'!c"&amp;$G$1)="住宅",INDIRECT("'数据-取费表'!k"&amp;$G$1),0))</f>
        <v>0</v>
      </c>
      <c r="E9" s="269">
        <f>'数据-取费表'!B27</f>
        <v>160</v>
      </c>
      <c r="F9" s="265"/>
      <c r="G9" s="2549"/>
      <c r="H9" s="1388"/>
      <c r="I9" s="2550" t="s">
        <v>2335</v>
      </c>
    </row>
    <row r="10" spans="1:9" s="258" customFormat="1" ht="13.5" customHeight="1">
      <c r="A10" s="948" t="s">
        <v>801</v>
      </c>
      <c r="B10" s="268" t="s">
        <v>2336</v>
      </c>
      <c r="C10" s="269">
        <f ca="1">ROUND(D10*E10/10000,0)</f>
        <v>233</v>
      </c>
      <c r="D10" s="1030">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2337</v>
      </c>
      <c r="C11" s="255"/>
      <c r="D11" s="1032"/>
      <c r="E11" s="262"/>
      <c r="F11" s="262"/>
      <c r="G11" s="263"/>
    </row>
    <row r="12" spans="1:9" s="258" customFormat="1" ht="13.5" hidden="1" customHeight="1">
      <c r="A12" s="271" t="s">
        <v>8</v>
      </c>
      <c r="B12" s="259" t="s">
        <v>2338</v>
      </c>
      <c r="C12" s="255">
        <v>0</v>
      </c>
      <c r="D12" s="1032"/>
      <c r="E12" s="272"/>
      <c r="F12" s="265">
        <v>3.0499999999999999E-2</v>
      </c>
      <c r="G12" s="263"/>
    </row>
    <row r="13" spans="1:9" s="258" customFormat="1" ht="13.5" hidden="1" customHeight="1">
      <c r="A13" s="271" t="s">
        <v>9</v>
      </c>
      <c r="B13" s="259" t="s">
        <v>2339</v>
      </c>
      <c r="C13" s="255"/>
      <c r="D13" s="1032"/>
      <c r="E13" s="262"/>
      <c r="F13" s="262"/>
      <c r="G13" s="263"/>
    </row>
    <row r="14" spans="1:9" s="258" customFormat="1" ht="13.5" hidden="1" customHeight="1">
      <c r="A14" s="271" t="s">
        <v>10</v>
      </c>
      <c r="B14" s="259" t="s">
        <v>2340</v>
      </c>
      <c r="C14" s="255"/>
      <c r="D14" s="1032"/>
      <c r="E14" s="262"/>
      <c r="F14" s="262"/>
      <c r="G14" s="263" t="s">
        <v>2341</v>
      </c>
    </row>
    <row r="15" spans="1:9" s="258" customFormat="1" ht="13.5" hidden="1" customHeight="1">
      <c r="A15" s="271" t="s">
        <v>11</v>
      </c>
      <c r="B15" s="259" t="s">
        <v>2342</v>
      </c>
      <c r="C15" s="264"/>
      <c r="D15" s="1032"/>
      <c r="E15" s="262"/>
      <c r="F15" s="262"/>
      <c r="G15" s="263" t="s">
        <v>2343</v>
      </c>
    </row>
    <row r="16" spans="1:9" s="258" customFormat="1" ht="13.5" hidden="1" customHeight="1">
      <c r="A16" s="271" t="s">
        <v>12</v>
      </c>
      <c r="B16" s="259" t="s">
        <v>2340</v>
      </c>
      <c r="C16" s="264"/>
      <c r="D16" s="1032"/>
      <c r="E16" s="262"/>
      <c r="F16" s="262"/>
      <c r="G16" s="263"/>
    </row>
    <row r="17" spans="1:7" s="258" customFormat="1" ht="13.5" hidden="1" customHeight="1">
      <c r="A17" s="271" t="s">
        <v>13</v>
      </c>
      <c r="B17" s="259" t="s">
        <v>2344</v>
      </c>
      <c r="C17" s="273"/>
      <c r="D17" s="1033"/>
      <c r="E17" s="273"/>
      <c r="F17" s="273"/>
      <c r="G17" s="263" t="s">
        <v>2343</v>
      </c>
    </row>
    <row r="18" spans="1:7" s="258" customFormat="1" ht="13.5" hidden="1" customHeight="1">
      <c r="A18" s="271" t="s">
        <v>14</v>
      </c>
      <c r="B18" s="259" t="s">
        <v>2345</v>
      </c>
      <c r="C18" s="264">
        <v>0</v>
      </c>
      <c r="D18" s="1032"/>
      <c r="E18" s="262"/>
      <c r="F18" s="265">
        <v>3.0499999999999999E-2</v>
      </c>
      <c r="G18" s="263" t="s">
        <v>2346</v>
      </c>
    </row>
    <row r="19" spans="1:7" s="267" customFormat="1" ht="13.5" customHeight="1">
      <c r="A19" s="299" t="s">
        <v>2347</v>
      </c>
      <c r="B19" s="254" t="s">
        <v>2348</v>
      </c>
      <c r="C19" s="255">
        <f ca="1">IF(G19="已包含在土地取得成本中","0",ROUND(D19*E19/10000,0))</f>
        <v>233</v>
      </c>
      <c r="D19" s="1034">
        <f ca="1">D9+D10</f>
        <v>11628.210000000001</v>
      </c>
      <c r="E19" s="255">
        <f>'数据-取费表'!B31</f>
        <v>200</v>
      </c>
      <c r="F19" s="275"/>
      <c r="G19" s="2548"/>
    </row>
    <row r="20" spans="1:7" s="258" customFormat="1" ht="13.5" customHeight="1">
      <c r="A20" s="299" t="s">
        <v>2349</v>
      </c>
      <c r="B20" s="254" t="s">
        <v>2350</v>
      </c>
      <c r="C20" s="276">
        <f ca="1">ROUND((C5+C19)*F20,0)</f>
        <v>9</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2">
        <f ca="1">ROUND(SUM(C23:C25),0)</f>
        <v>46</v>
      </c>
      <c r="D22" s="279">
        <f ca="1">C26</f>
        <v>1.4E-3</v>
      </c>
      <c r="E22" s="280" t="s">
        <v>2354</v>
      </c>
      <c r="F22" s="281">
        <f ca="1">'数据-取费表'!B40</f>
        <v>4.7500000000000001E-2</v>
      </c>
      <c r="G22" s="278" t="str">
        <f>IF('数据-取费表'!B22&lt;=1,"单利计息","复利计息")</f>
        <v>复利计息</v>
      </c>
    </row>
    <row r="23" spans="1:7" s="258" customFormat="1" ht="13.5" customHeight="1">
      <c r="A23" s="949" t="s">
        <v>2358</v>
      </c>
      <c r="B23" s="259" t="s">
        <v>2359</v>
      </c>
      <c r="C23" s="1353">
        <f ca="1">ROUND(IF('数据-取费表'!B22&lt;=1,C5*F22*'数据-取费表'!B23,C5*(POWER((1+F22),'数据-取费表'!B23)-1)),0)</f>
        <v>23</v>
      </c>
      <c r="D23" s="282"/>
      <c r="E23" s="282"/>
      <c r="F23" s="283"/>
      <c r="G23" s="284" t="s">
        <v>2360</v>
      </c>
    </row>
    <row r="24" spans="1:7" s="258" customFormat="1" ht="13.5" customHeight="1">
      <c r="A24" s="949" t="s">
        <v>2361</v>
      </c>
      <c r="B24" s="259" t="s">
        <v>2362</v>
      </c>
      <c r="C24" s="1353">
        <f ca="1">ROUND(IF('数据-取费表'!B22&lt;=1,C19*F22*('数据-取费表'!B19/2+'数据-取费表'!B21),C19*(POWER((1+F22),('数据-取费表'!B19/2+'数据-取费表'!B21))-1)),0)</f>
        <v>23</v>
      </c>
      <c r="D24" s="282"/>
      <c r="E24" s="282"/>
      <c r="F24" s="283"/>
      <c r="G24" s="284" t="s">
        <v>2363</v>
      </c>
    </row>
    <row r="25" spans="1:7" s="258" customFormat="1" ht="24">
      <c r="A25" s="949" t="s">
        <v>2364</v>
      </c>
      <c r="B25" s="259" t="s">
        <v>2365</v>
      </c>
      <c r="C25" s="1353">
        <f ca="1">ROUND(IF('数据-取费表'!B22&lt;=1,C20*F22*'数据-取费表'!B23/2,C20*(POWER((1+F22),'数据-取费表'!B23/2)-1)),0)</f>
        <v>0</v>
      </c>
      <c r="D25" s="282"/>
      <c r="E25" s="285"/>
      <c r="F25" s="283"/>
      <c r="G25" s="286" t="s">
        <v>2366</v>
      </c>
    </row>
    <row r="26" spans="1:7" s="258" customFormat="1">
      <c r="A26" s="949"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71</v>
      </c>
      <c r="D27" s="279">
        <f ca="1">C29</f>
        <v>4.4999999999999997E-3</v>
      </c>
      <c r="E27" s="280" t="s">
        <v>2370</v>
      </c>
      <c r="F27" s="290">
        <f ca="1">IF(B1="",'数据-取费表'!Q16,INDIRECT("'数据-取费表'!q"&amp;$G$1))</f>
        <v>0.15</v>
      </c>
      <c r="G27" s="291" t="s">
        <v>2371</v>
      </c>
    </row>
    <row r="28" spans="1:7" s="258" customFormat="1" ht="13.5" customHeight="1">
      <c r="A28" s="949" t="s">
        <v>791</v>
      </c>
      <c r="B28" s="292" t="s">
        <v>2372</v>
      </c>
      <c r="C28" s="293">
        <f ca="1">ROUND((C5+C19+C20)*F27*'数据-取费表'!B21/'数据-取费表'!B20,0)</f>
        <v>71</v>
      </c>
      <c r="D28" s="279"/>
      <c r="E28" s="280"/>
      <c r="F28" s="290"/>
      <c r="G28" s="291"/>
    </row>
    <row r="29" spans="1:7" s="258" customFormat="1" ht="13.5" customHeight="1">
      <c r="A29" s="949" t="s">
        <v>792</v>
      </c>
      <c r="B29" s="292" t="s">
        <v>2373</v>
      </c>
      <c r="C29" s="282">
        <f ca="1">ROUND(C21*F27*'数据-取费表'!B21/'数据-取费表'!B20,4)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650</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3775</v>
      </c>
      <c r="D33" s="276"/>
      <c r="E33" s="256"/>
      <c r="F33" s="285"/>
      <c r="G33" s="278"/>
    </row>
    <row r="34" spans="1:7" s="302" customFormat="1" ht="13.5" customHeight="1">
      <c r="A34" s="949" t="s">
        <v>791</v>
      </c>
      <c r="B34" s="259" t="s">
        <v>2381</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2382</v>
      </c>
    </row>
    <row r="35" spans="1:7" ht="13.5" customHeight="1">
      <c r="A35" s="949" t="s">
        <v>796</v>
      </c>
      <c r="B35" s="259" t="s">
        <v>2383</v>
      </c>
      <c r="C35" s="264">
        <f ca="1">ROUND(C34*F35,0)</f>
        <v>102</v>
      </c>
      <c r="D35" s="264"/>
      <c r="E35" s="264"/>
      <c r="F35" s="303">
        <f>'数据-取费表'!B33</f>
        <v>0.03</v>
      </c>
      <c r="G35" s="263" t="s">
        <v>2384</v>
      </c>
    </row>
    <row r="36" spans="1:7" ht="24">
      <c r="A36" s="949"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49" t="s">
        <v>798</v>
      </c>
      <c r="B37" s="259" t="s">
        <v>2387</v>
      </c>
      <c r="C37" s="293">
        <f ca="1">ROUND(E37*D37*F34/10000,0)</f>
        <v>233</v>
      </c>
      <c r="D37" s="261">
        <f ca="1">D19</f>
        <v>11628.210000000001</v>
      </c>
      <c r="E37" s="293">
        <f>'数据-取费表'!B35</f>
        <v>200</v>
      </c>
      <c r="F37" s="303"/>
      <c r="G37" s="305" t="s">
        <v>2388</v>
      </c>
    </row>
    <row r="38" spans="1:7" ht="13.5" customHeight="1">
      <c r="A38" s="949" t="s">
        <v>799</v>
      </c>
      <c r="B38" s="259" t="s">
        <v>2389</v>
      </c>
      <c r="C38" s="264">
        <f ca="1">ROUND(C34*F38,0)</f>
        <v>51</v>
      </c>
      <c r="D38" s="264"/>
      <c r="E38" s="264"/>
      <c r="F38" s="303">
        <f>'数据-取费表'!B36</f>
        <v>1.4999999999999999E-2</v>
      </c>
      <c r="G38" s="263" t="s">
        <v>2384</v>
      </c>
    </row>
    <row r="39" spans="1:7" s="258" customFormat="1" ht="13.5" customHeight="1">
      <c r="A39" s="299" t="s">
        <v>2390</v>
      </c>
      <c r="B39" s="254" t="s">
        <v>2391</v>
      </c>
      <c r="C39" s="276">
        <f ca="1">ROUND(C33*F20,0)</f>
        <v>76</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183</v>
      </c>
      <c r="D41" s="279">
        <f ca="1">C44</f>
        <v>1.4E-3</v>
      </c>
      <c r="E41" s="280" t="s">
        <v>2395</v>
      </c>
      <c r="F41" s="281"/>
      <c r="G41" s="278" t="str">
        <f>IF('数据-取费表'!B22&lt;=1,"单利计息","复利计息")</f>
        <v>复利计息</v>
      </c>
    </row>
    <row r="42" spans="1:7" ht="13.5" customHeight="1">
      <c r="A42" s="949" t="s">
        <v>791</v>
      </c>
      <c r="B42" s="259" t="s">
        <v>2399</v>
      </c>
      <c r="C42" s="282">
        <f ca="1">ROUND(IF('数据-取费表'!B22&lt;=1,C33*F22*'数据-取费表'!B21/2,C33*(POWER((1+F22),'数据-取费表'!B21/2)-1)),0)</f>
        <v>179</v>
      </c>
      <c r="D42" s="282"/>
      <c r="E42" s="282"/>
      <c r="F42" s="283"/>
      <c r="G42" s="3144" t="s">
        <v>2400</v>
      </c>
    </row>
    <row r="43" spans="1:7" ht="13.5" customHeight="1">
      <c r="A43" s="949" t="s">
        <v>792</v>
      </c>
      <c r="B43" s="259" t="s">
        <v>2401</v>
      </c>
      <c r="C43" s="282">
        <f ca="1">ROUND(IF('数据-取费表'!B22&lt;=1,C39*F22*'数据-取费表'!B21/2,C39*(POWER((1+F22),'数据-取费表'!B21/2)-1)),0)</f>
        <v>4</v>
      </c>
      <c r="D43" s="282"/>
      <c r="E43" s="282"/>
      <c r="F43" s="283"/>
      <c r="G43" s="3145"/>
    </row>
    <row r="44" spans="1:7" ht="13.5" customHeight="1">
      <c r="A44" s="949" t="s">
        <v>793</v>
      </c>
      <c r="B44" s="259" t="s">
        <v>2402</v>
      </c>
      <c r="C44" s="282">
        <f ca="1">ROUND(IF('数据-取费表'!B22&lt;=1,C40*F22*'数据-取费表'!B21/2,C40*(POWER((1+F22),'数据-取费表'!B21/2)-1)),4)</f>
        <v>1.4E-3</v>
      </c>
      <c r="D44" s="282"/>
      <c r="E44" s="282"/>
      <c r="F44" s="283"/>
      <c r="G44" s="3146"/>
    </row>
    <row r="45" spans="1:7" s="258" customFormat="1" ht="13.5" customHeight="1">
      <c r="A45" s="299" t="s">
        <v>2403</v>
      </c>
      <c r="B45" s="288" t="s">
        <v>2369</v>
      </c>
      <c r="C45" s="289">
        <f ca="1">C46</f>
        <v>578</v>
      </c>
      <c r="D45" s="279">
        <f ca="1">C47</f>
        <v>4.4999999999999997E-3</v>
      </c>
      <c r="E45" s="280" t="s">
        <v>2395</v>
      </c>
      <c r="F45" s="290"/>
      <c r="G45" s="291" t="s">
        <v>2404</v>
      </c>
    </row>
    <row r="46" spans="1:7" s="258" customFormat="1" ht="13.5" customHeight="1">
      <c r="A46" s="949" t="s">
        <v>791</v>
      </c>
      <c r="B46" s="292" t="s">
        <v>2405</v>
      </c>
      <c r="C46" s="293">
        <f ca="1">ROUND((C33+C39)*F27,0)</f>
        <v>578</v>
      </c>
      <c r="D46" s="307"/>
      <c r="E46" s="280"/>
      <c r="F46" s="290"/>
      <c r="G46" s="291"/>
    </row>
    <row r="47" spans="1:7" s="258" customFormat="1" ht="13.5" customHeight="1">
      <c r="A47" s="949" t="s">
        <v>792</v>
      </c>
      <c r="B47" s="292" t="s">
        <v>2406</v>
      </c>
      <c r="C47" s="282">
        <f ca="1">ROUND(C40*F27,4)</f>
        <v>4.4999999999999997E-3</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5064</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4558</v>
      </c>
      <c r="D51" s="276"/>
      <c r="E51" s="276"/>
      <c r="F51" s="308"/>
      <c r="G51" s="278" t="s">
        <v>2416</v>
      </c>
    </row>
    <row r="52" spans="1:7" s="252" customFormat="1" ht="16.5" thickBot="1">
      <c r="A52" s="309" t="s">
        <v>2417</v>
      </c>
      <c r="B52" s="310"/>
      <c r="C52" s="311">
        <f ca="1">C31+C51</f>
        <v>5208</v>
      </c>
      <c r="D52" s="310"/>
      <c r="E52" s="310"/>
      <c r="F52" s="310"/>
      <c r="G52" s="312"/>
    </row>
    <row r="55" spans="1:7" ht="15">
      <c r="B55" s="314" t="s">
        <v>2418</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15" sqref="E1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1" t="s">
        <v>2419</v>
      </c>
      <c r="D1" s="242"/>
      <c r="E1" s="242"/>
      <c r="F1" s="242"/>
      <c r="G1" s="1377">
        <f>MATCH(B1,'数据-取费表'!A6:A16,0)+5</f>
        <v>9</v>
      </c>
      <c r="H1" s="1280" t="str">
        <f>IF(ISERROR(FIND("住宅",B1)),"非住宅","住宅")</f>
        <v>非住宅</v>
      </c>
    </row>
    <row r="2" spans="1:8" s="244" customFormat="1" ht="18" customHeight="1">
      <c r="A2" s="245" t="s">
        <v>2318</v>
      </c>
      <c r="B2" s="246">
        <f ca="1">ROUND(IF(D2="——",C52/10000,C52/10000-E2),0)</f>
        <v>5205</v>
      </c>
      <c r="C2" s="243" t="s">
        <v>2319</v>
      </c>
      <c r="D2" s="2545" t="s">
        <v>70</v>
      </c>
      <c r="E2" s="1438"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4476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2325642</v>
      </c>
      <c r="D5" s="255" t="s">
        <v>2325</v>
      </c>
      <c r="E5" s="256" t="s">
        <v>2326</v>
      </c>
      <c r="F5" s="256" t="s">
        <v>2327</v>
      </c>
      <c r="G5" s="257"/>
    </row>
    <row r="6" spans="1:8" s="258" customFormat="1" ht="13.5" customHeight="1">
      <c r="A6" s="947" t="s">
        <v>2328</v>
      </c>
      <c r="B6" s="259" t="s">
        <v>2329</v>
      </c>
      <c r="C6" s="260"/>
      <c r="D6" s="261"/>
      <c r="E6" s="262"/>
      <c r="F6" s="262"/>
      <c r="G6" s="263"/>
    </row>
    <row r="7" spans="1:8" s="258" customFormat="1" ht="13.5" customHeight="1">
      <c r="A7" s="947" t="s">
        <v>2330</v>
      </c>
      <c r="B7" s="259" t="s">
        <v>2331</v>
      </c>
      <c r="C7" s="264">
        <f>ROUND(C6*F7,0)</f>
        <v>0</v>
      </c>
      <c r="D7" s="264"/>
      <c r="E7" s="262"/>
      <c r="F7" s="265">
        <f>'数据-取费表'!B48+'数据-取费表'!B49</f>
        <v>3.0499999999999999E-2</v>
      </c>
      <c r="G7" s="263"/>
    </row>
    <row r="8" spans="1:8" s="267" customFormat="1">
      <c r="A8" s="947" t="s">
        <v>2332</v>
      </c>
      <c r="B8" s="259" t="s">
        <v>2333</v>
      </c>
      <c r="C8" s="264">
        <f ca="1">IF(G8="已包含在土地购买价格中",0,C9+C10)</f>
        <v>2325642</v>
      </c>
      <c r="D8" s="266"/>
      <c r="E8" s="264"/>
      <c r="F8" s="265"/>
      <c r="G8" s="2548"/>
    </row>
    <row r="9" spans="1:8" s="258" customFormat="1" ht="13.5" customHeight="1">
      <c r="A9" s="948" t="s">
        <v>800</v>
      </c>
      <c r="B9" s="268" t="s">
        <v>2334</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2336</v>
      </c>
      <c r="C10" s="269">
        <f ca="1">ROUND(D10*E10,0)</f>
        <v>2325642</v>
      </c>
      <c r="D10" s="1030">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2337</v>
      </c>
      <c r="C11" s="255"/>
      <c r="D11" s="1032"/>
      <c r="E11" s="262"/>
      <c r="F11" s="262"/>
      <c r="G11" s="263"/>
    </row>
    <row r="12" spans="1:8" s="258" customFormat="1" ht="13.5" hidden="1" customHeight="1">
      <c r="A12" s="271" t="s">
        <v>8</v>
      </c>
      <c r="B12" s="259" t="s">
        <v>2420</v>
      </c>
      <c r="C12" s="255">
        <v>0</v>
      </c>
      <c r="D12" s="1032"/>
      <c r="E12" s="272"/>
      <c r="F12" s="265">
        <v>3.0499999999999999E-2</v>
      </c>
      <c r="G12" s="263"/>
    </row>
    <row r="13" spans="1:8" s="258" customFormat="1" ht="13.5" hidden="1" customHeight="1">
      <c r="A13" s="271" t="s">
        <v>9</v>
      </c>
      <c r="B13" s="259" t="s">
        <v>2421</v>
      </c>
      <c r="C13" s="255"/>
      <c r="D13" s="1032"/>
      <c r="E13" s="262"/>
      <c r="F13" s="262"/>
      <c r="G13" s="263"/>
    </row>
    <row r="14" spans="1:8" s="258" customFormat="1" ht="13.5" hidden="1" customHeight="1">
      <c r="A14" s="271" t="s">
        <v>10</v>
      </c>
      <c r="B14" s="259" t="s">
        <v>2333</v>
      </c>
      <c r="C14" s="255"/>
      <c r="D14" s="1032"/>
      <c r="E14" s="262"/>
      <c r="F14" s="262"/>
      <c r="G14" s="263" t="s">
        <v>2422</v>
      </c>
    </row>
    <row r="15" spans="1:8" s="258" customFormat="1" ht="13.5" hidden="1" customHeight="1">
      <c r="A15" s="271" t="s">
        <v>11</v>
      </c>
      <c r="B15" s="259" t="s">
        <v>2423</v>
      </c>
      <c r="C15" s="264"/>
      <c r="D15" s="1032"/>
      <c r="E15" s="262"/>
      <c r="F15" s="262"/>
      <c r="G15" s="263" t="s">
        <v>2424</v>
      </c>
    </row>
    <row r="16" spans="1:8" s="258" customFormat="1" ht="13.5" hidden="1" customHeight="1">
      <c r="A16" s="271" t="s">
        <v>12</v>
      </c>
      <c r="B16" s="259" t="s">
        <v>2333</v>
      </c>
      <c r="C16" s="264"/>
      <c r="D16" s="1032"/>
      <c r="E16" s="262"/>
      <c r="F16" s="262"/>
      <c r="G16" s="263"/>
    </row>
    <row r="17" spans="1:7" s="258" customFormat="1" ht="13.5" hidden="1" customHeight="1">
      <c r="A17" s="271" t="s">
        <v>13</v>
      </c>
      <c r="B17" s="259" t="s">
        <v>2425</v>
      </c>
      <c r="C17" s="273"/>
      <c r="D17" s="1033"/>
      <c r="E17" s="273"/>
      <c r="F17" s="273"/>
      <c r="G17" s="263" t="s">
        <v>2424</v>
      </c>
    </row>
    <row r="18" spans="1:7" s="258" customFormat="1" ht="13.5" hidden="1" customHeight="1">
      <c r="A18" s="271" t="s">
        <v>14</v>
      </c>
      <c r="B18" s="259" t="s">
        <v>2426</v>
      </c>
      <c r="C18" s="264">
        <v>0</v>
      </c>
      <c r="D18" s="1032"/>
      <c r="E18" s="262"/>
      <c r="F18" s="265">
        <v>3.0499999999999999E-2</v>
      </c>
      <c r="G18" s="263" t="s">
        <v>2427</v>
      </c>
    </row>
    <row r="19" spans="1:7" s="267" customFormat="1" ht="13.5" customHeight="1">
      <c r="A19" s="299" t="s">
        <v>2428</v>
      </c>
      <c r="B19" s="254" t="s">
        <v>2429</v>
      </c>
      <c r="C19" s="255">
        <f ca="1">IF(G19="已包含在土地取得成本中","0",ROUND(D19*E19,0))</f>
        <v>2325642</v>
      </c>
      <c r="D19" s="1034">
        <f ca="1">D9+D10</f>
        <v>11628.210000000001</v>
      </c>
      <c r="E19" s="255">
        <f>'数据-取费表'!B31</f>
        <v>200</v>
      </c>
      <c r="F19" s="275"/>
      <c r="G19" s="2548"/>
    </row>
    <row r="20" spans="1:7" s="258" customFormat="1" ht="13.5" customHeight="1">
      <c r="A20" s="299" t="s">
        <v>2430</v>
      </c>
      <c r="B20" s="254" t="s">
        <v>2431</v>
      </c>
      <c r="C20" s="276">
        <f ca="1">ROUND((C5+C19)*F20,0)</f>
        <v>93026</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8">
        <f ca="1">ROUND(SUM(C23:C25),0)</f>
        <v>456785</v>
      </c>
      <c r="D22" s="279">
        <f ca="1">C26</f>
        <v>1.4E-3</v>
      </c>
      <c r="E22" s="280" t="s">
        <v>2435</v>
      </c>
      <c r="F22" s="281">
        <f ca="1">'数据-取费表'!B40</f>
        <v>4.7500000000000001E-2</v>
      </c>
      <c r="G22" s="278" t="str">
        <f>IF('数据-取费表'!B22&lt;=1,"单利计息","复利计息")</f>
        <v>复利计息</v>
      </c>
    </row>
    <row r="23" spans="1:7" s="258" customFormat="1" ht="13.5" customHeight="1">
      <c r="A23" s="949" t="s">
        <v>2328</v>
      </c>
      <c r="B23" s="259" t="s">
        <v>2439</v>
      </c>
      <c r="C23" s="1379">
        <f ca="1">ROUND(IF('数据-取费表'!B22&lt;=1,C5*F22*'数据-取费表'!B22,C5*(POWER((1+F22),'数据-取费表'!B22)-1)),0)</f>
        <v>226183</v>
      </c>
      <c r="D23" s="282"/>
      <c r="E23" s="282"/>
      <c r="F23" s="283"/>
      <c r="G23" s="284" t="s">
        <v>2440</v>
      </c>
    </row>
    <row r="24" spans="1:7" s="258" customFormat="1" ht="13.5" customHeight="1">
      <c r="A24" s="949" t="s">
        <v>2330</v>
      </c>
      <c r="B24" s="259" t="s">
        <v>2441</v>
      </c>
      <c r="C24" s="1379">
        <f ca="1">ROUND(IF('数据-取费表'!B22&lt;=1,C19*F22*('数据-取费表'!B19/2+'数据-取费表'!B20),C19*(POWER((1+F22),('数据-取费表'!B19/2+'数据-取费表'!B20))-1)),0)</f>
        <v>226183</v>
      </c>
      <c r="D24" s="282"/>
      <c r="E24" s="282"/>
      <c r="F24" s="283"/>
      <c r="G24" s="284" t="s">
        <v>2442</v>
      </c>
    </row>
    <row r="25" spans="1:7" s="258" customFormat="1" ht="24">
      <c r="A25" s="949" t="s">
        <v>2332</v>
      </c>
      <c r="B25" s="259" t="s">
        <v>2443</v>
      </c>
      <c r="C25" s="1379">
        <f ca="1">ROUND(IF('数据-取费表'!B22&lt;=1,C20*F22*'数据-取费表'!B22/2,C20*(POWER((1+F22),'数据-取费表'!B22/2)-1)),0)</f>
        <v>4419</v>
      </c>
      <c r="D25" s="282"/>
      <c r="E25" s="285"/>
      <c r="F25" s="283"/>
      <c r="G25" s="286" t="s">
        <v>2444</v>
      </c>
    </row>
    <row r="26" spans="1:7" s="258" customFormat="1">
      <c r="A26" s="949"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711647</v>
      </c>
      <c r="D27" s="279">
        <f ca="1">C29</f>
        <v>4.4999999999999997E-3</v>
      </c>
      <c r="E27" s="280" t="s">
        <v>2370</v>
      </c>
      <c r="F27" s="290">
        <f ca="1">IF(B1="",'数据-取费表'!Q16,INDIRECT("'数据-取费表'!q"&amp;$G$1))</f>
        <v>0.15</v>
      </c>
      <c r="G27" s="291" t="s">
        <v>2371</v>
      </c>
    </row>
    <row r="28" spans="1:7" s="258" customFormat="1" ht="13.5" customHeight="1">
      <c r="A28" s="949" t="s">
        <v>791</v>
      </c>
      <c r="B28" s="292" t="s">
        <v>2372</v>
      </c>
      <c r="C28" s="293">
        <f ca="1">ROUND((C5+C19+C20)*F27,0)</f>
        <v>711647</v>
      </c>
      <c r="D28" s="279"/>
      <c r="E28" s="280"/>
      <c r="F28" s="290"/>
      <c r="G28" s="291"/>
    </row>
    <row r="29" spans="1:7" s="258" customFormat="1" ht="13.5" customHeight="1">
      <c r="A29" s="949" t="s">
        <v>792</v>
      </c>
      <c r="B29" s="292" t="s">
        <v>2373</v>
      </c>
      <c r="C29" s="282">
        <f ca="1">ROUND(C21*F27,4)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6491812</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37743932</v>
      </c>
      <c r="D33" s="276"/>
      <c r="E33" s="256"/>
      <c r="F33" s="285"/>
      <c r="G33" s="278"/>
    </row>
    <row r="34" spans="1:7" s="302" customFormat="1" ht="13.5" customHeight="1">
      <c r="A34" s="949" t="s">
        <v>791</v>
      </c>
      <c r="B34" s="259" t="s">
        <v>2381</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9" t="s">
        <v>796</v>
      </c>
      <c r="B35" s="259" t="s">
        <v>2383</v>
      </c>
      <c r="C35" s="264">
        <f ca="1">ROUND(C34*F35,0)</f>
        <v>1016793</v>
      </c>
      <c r="D35" s="264"/>
      <c r="E35" s="264"/>
      <c r="F35" s="303">
        <f>'数据-取费表'!B33</f>
        <v>0.03</v>
      </c>
      <c r="G35" s="263" t="s">
        <v>2384</v>
      </c>
    </row>
    <row r="36" spans="1:7" ht="24">
      <c r="A36" s="949"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49" t="s">
        <v>798</v>
      </c>
      <c r="B37" s="259" t="s">
        <v>2387</v>
      </c>
      <c r="C37" s="293">
        <f ca="1">ROUND(E37*D37,0)</f>
        <v>2325642</v>
      </c>
      <c r="D37" s="261">
        <f ca="1">D19</f>
        <v>11628.210000000001</v>
      </c>
      <c r="E37" s="293">
        <f>'数据-取费表'!B35</f>
        <v>200</v>
      </c>
      <c r="F37" s="303"/>
      <c r="G37" s="305"/>
    </row>
    <row r="38" spans="1:7" ht="13.5" customHeight="1">
      <c r="A38" s="949" t="s">
        <v>799</v>
      </c>
      <c r="B38" s="259" t="s">
        <v>2389</v>
      </c>
      <c r="C38" s="264">
        <f ca="1">ROUND(C34*F38,0)</f>
        <v>508397</v>
      </c>
      <c r="D38" s="264"/>
      <c r="E38" s="264"/>
      <c r="F38" s="303">
        <f>'数据-取费表'!B36</f>
        <v>1.4999999999999999E-2</v>
      </c>
      <c r="G38" s="263" t="s">
        <v>2384</v>
      </c>
    </row>
    <row r="39" spans="1:7" s="258" customFormat="1" ht="13.5" customHeight="1">
      <c r="A39" s="299" t="s">
        <v>2390</v>
      </c>
      <c r="B39" s="254" t="s">
        <v>2391</v>
      </c>
      <c r="C39" s="276">
        <f ca="1">ROUND(C33*F20,0)</f>
        <v>754879</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1828694</v>
      </c>
      <c r="D41" s="279">
        <f ca="1">C44</f>
        <v>1.4E-3</v>
      </c>
      <c r="E41" s="280" t="s">
        <v>2395</v>
      </c>
      <c r="F41" s="281"/>
      <c r="G41" s="278" t="str">
        <f>IF('数据-取费表'!B22&lt;=1,"单利计息","复利计息")</f>
        <v>复利计息</v>
      </c>
    </row>
    <row r="42" spans="1:7" ht="13.5" customHeight="1">
      <c r="A42" s="949" t="s">
        <v>791</v>
      </c>
      <c r="B42" s="259" t="s">
        <v>2399</v>
      </c>
      <c r="C42" s="282">
        <f ca="1">ROUND(IF('数据-取费表'!B22&lt;=1,C33*F22*'数据-取费表'!B20/2,C33*(POWER((1+F22),'数据-取费表'!B20/2)-1)),0)</f>
        <v>1792837</v>
      </c>
      <c r="D42" s="282"/>
      <c r="E42" s="282"/>
      <c r="F42" s="283"/>
      <c r="G42" s="3144" t="s">
        <v>2447</v>
      </c>
    </row>
    <row r="43" spans="1:7" ht="13.5" customHeight="1">
      <c r="A43" s="949" t="s">
        <v>792</v>
      </c>
      <c r="B43" s="259" t="s">
        <v>2401</v>
      </c>
      <c r="C43" s="282">
        <f ca="1">ROUND(IF('数据-取费表'!B22&lt;=1,C39*F22*'数据-取费表'!B20/2,C39*(POWER((1+F22),'数据-取费表'!B20/2)-1)),0)</f>
        <v>35857</v>
      </c>
      <c r="D43" s="282"/>
      <c r="E43" s="282"/>
      <c r="F43" s="283"/>
      <c r="G43" s="3145"/>
    </row>
    <row r="44" spans="1:7" ht="13.5" customHeight="1">
      <c r="A44" s="949" t="s">
        <v>793</v>
      </c>
      <c r="B44" s="259" t="s">
        <v>2402</v>
      </c>
      <c r="C44" s="282">
        <f ca="1">ROUND(IF('数据-取费表'!B22&lt;=1,C40*F22*'数据-取费表'!B20/2,C40*(POWER((1+F22),'数据-取费表'!B20/2)-1)),4)</f>
        <v>1.4E-3</v>
      </c>
      <c r="D44" s="282"/>
      <c r="E44" s="282"/>
      <c r="F44" s="283"/>
      <c r="G44" s="3146"/>
    </row>
    <row r="45" spans="1:7" s="258" customFormat="1" ht="13.5" customHeight="1">
      <c r="A45" s="299" t="s">
        <v>2403</v>
      </c>
      <c r="B45" s="288" t="s">
        <v>2369</v>
      </c>
      <c r="C45" s="289">
        <f ca="1">C46</f>
        <v>5774822</v>
      </c>
      <c r="D45" s="279">
        <f ca="1">C47</f>
        <v>4.4999999999999997E-3</v>
      </c>
      <c r="E45" s="280" t="s">
        <v>2395</v>
      </c>
      <c r="F45" s="290"/>
      <c r="G45" s="291" t="s">
        <v>2404</v>
      </c>
    </row>
    <row r="46" spans="1:7" s="258" customFormat="1" ht="13.5" customHeight="1">
      <c r="A46" s="949" t="s">
        <v>791</v>
      </c>
      <c r="B46" s="292" t="s">
        <v>2405</v>
      </c>
      <c r="C46" s="293">
        <f ca="1">ROUND((C33+C39)*F27,0)</f>
        <v>5774822</v>
      </c>
      <c r="D46" s="307"/>
      <c r="E46" s="280"/>
      <c r="F46" s="290"/>
      <c r="G46" s="291"/>
    </row>
    <row r="47" spans="1:7" s="258" customFormat="1" ht="13.5" customHeight="1">
      <c r="A47" s="949" t="s">
        <v>792</v>
      </c>
      <c r="B47" s="292" t="s">
        <v>2406</v>
      </c>
      <c r="C47" s="282">
        <f ca="1">ROUND(C40*F27,4)</f>
        <v>4.4999999999999997E-3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50617399</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45555659</v>
      </c>
      <c r="D51" s="276"/>
      <c r="E51" s="276"/>
      <c r="F51" s="308"/>
      <c r="G51" s="278" t="s">
        <v>2416</v>
      </c>
    </row>
    <row r="52" spans="1:7" s="252" customFormat="1" ht="16.5" thickBot="1">
      <c r="A52" s="309" t="s">
        <v>2417</v>
      </c>
      <c r="B52" s="310"/>
      <c r="C52" s="311">
        <f ca="1">C31+C51</f>
        <v>52047471</v>
      </c>
      <c r="D52" s="310"/>
      <c r="E52" s="310"/>
      <c r="F52" s="310"/>
      <c r="G52" s="312"/>
    </row>
    <row r="55" spans="1:7" ht="15">
      <c r="B55" s="314" t="s">
        <v>2418</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5" sqref="E1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2450</v>
      </c>
      <c r="B1" s="1579"/>
      <c r="C1" s="1580"/>
      <c r="D1" s="1578"/>
      <c r="E1" s="320"/>
      <c r="F1" s="320"/>
      <c r="G1" s="1579"/>
      <c r="H1" s="320"/>
      <c r="I1" s="320"/>
      <c r="J1" s="320"/>
      <c r="K1" s="320">
        <f>MATCH(C1,'数据-取费表'!A6:A16,0)+5</f>
        <v>9</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4" customFormat="1" ht="16.5" customHeight="1">
      <c r="A4" s="951" t="s">
        <v>2453</v>
      </c>
      <c r="B4" s="952"/>
      <c r="C4" s="994">
        <f>SUM(C8:K8)</f>
        <v>0</v>
      </c>
      <c r="D4" s="952"/>
      <c r="E4" s="952"/>
      <c r="F4" s="952"/>
      <c r="G4" s="952"/>
      <c r="H4" s="952"/>
      <c r="I4" s="952"/>
      <c r="J4" s="952"/>
      <c r="K4" s="953"/>
    </row>
    <row r="5" spans="1:33" s="958" customFormat="1" ht="24.75">
      <c r="A5" s="955" t="s">
        <v>2454</v>
      </c>
      <c r="B5" s="956" t="s">
        <v>2455</v>
      </c>
      <c r="C5" s="2552" t="s">
        <v>2456</v>
      </c>
      <c r="D5" s="2552" t="s">
        <v>2457</v>
      </c>
      <c r="E5" s="2552" t="s">
        <v>2458</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2459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991.5300000000002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2462</v>
      </c>
      <c r="B8" s="177" t="s">
        <v>2463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2464</v>
      </c>
      <c r="B9" s="952"/>
      <c r="C9" s="952"/>
      <c r="D9" s="952"/>
      <c r="E9" s="952"/>
      <c r="F9" s="952"/>
      <c r="G9" s="952"/>
      <c r="H9" s="952"/>
      <c r="I9" s="952"/>
      <c r="J9" s="952"/>
      <c r="K9" s="953"/>
    </row>
    <row r="10" spans="1:33" s="968" customFormat="1" ht="13.5" customHeight="1">
      <c r="A10" s="955" t="s">
        <v>2465</v>
      </c>
      <c r="B10" s="8" t="s">
        <v>2466</v>
      </c>
      <c r="C10" s="964" t="s">
        <v>2467</v>
      </c>
      <c r="D10" s="965" t="s">
        <v>2468</v>
      </c>
      <c r="E10" s="965" t="s">
        <v>2469</v>
      </c>
      <c r="F10" s="965" t="s">
        <v>2470</v>
      </c>
      <c r="G10" s="8"/>
      <c r="H10" s="966"/>
      <c r="I10" s="966"/>
      <c r="J10" s="966"/>
      <c r="K10" s="967"/>
    </row>
    <row r="11" spans="1:33" s="973" customFormat="1" ht="13.5" customHeight="1">
      <c r="A11" s="969" t="s">
        <v>1334</v>
      </c>
      <c r="B11" s="970" t="s">
        <v>2471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2472</v>
      </c>
      <c r="C12" s="24">
        <f ca="1">ROUND(C11*F12,0)</f>
        <v>0</v>
      </c>
      <c r="D12" s="971"/>
      <c r="E12" s="375"/>
      <c r="F12" s="974">
        <f>'数据-取费表'!B33</f>
        <v>0.03</v>
      </c>
      <c r="G12" s="8" t="s">
        <v>2473</v>
      </c>
      <c r="H12" s="966"/>
      <c r="I12" s="966"/>
      <c r="J12" s="966"/>
      <c r="K12" s="967"/>
    </row>
    <row r="13" spans="1:33" s="973" customFormat="1" ht="13.5" customHeight="1">
      <c r="A13" s="969" t="s">
        <v>1336</v>
      </c>
      <c r="B13" s="970" t="s">
        <v>2474</v>
      </c>
      <c r="C13" s="24">
        <f ca="1">ROUND(IF(C1="",SUMIF('数据-取费表'!C:C,"住宅",'数据-取费表'!P:P)*F13,IF(INDIRECT("'数据-取费表'!c"&amp;$K$1)="住宅",INDIRECT("'数据-取费表'!P"&amp;$K$1)*F13,0)),0)</f>
        <v>0</v>
      </c>
      <c r="D13" s="1031"/>
      <c r="E13" s="375"/>
      <c r="F13" s="974">
        <f>'数据-取费表'!B34</f>
        <v>0</v>
      </c>
      <c r="G13" s="8" t="s">
        <v>2475</v>
      </c>
      <c r="H13" s="966"/>
      <c r="I13" s="966"/>
      <c r="J13" s="966"/>
      <c r="K13" s="967"/>
    </row>
    <row r="14" spans="1:33" s="975" customFormat="1" ht="13.5" customHeight="1">
      <c r="A14" s="969" t="s">
        <v>1337</v>
      </c>
      <c r="B14" s="970" t="s">
        <v>2476</v>
      </c>
      <c r="C14" s="24">
        <f ca="1">ROUND(D14*E14*F11/10000,0)</f>
        <v>0</v>
      </c>
      <c r="D14" s="1031">
        <f ca="1">IF(C1="",'数据-汇总表'!E3,INDIRECT("'数据-取费表'!K"&amp;$K$1)+INDIRECT("'数据-取费表'!S"&amp;$K$1))</f>
        <v>11628.210000000001</v>
      </c>
      <c r="E14" s="24">
        <f>'数据-取费表'!B35</f>
        <v>200</v>
      </c>
      <c r="F14" s="974"/>
      <c r="G14" s="8" t="s">
        <v>2477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2478</v>
      </c>
      <c r="C15" s="981">
        <f ca="1">ROUND(C11*F15,0)</f>
        <v>0</v>
      </c>
      <c r="D15" s="976"/>
      <c r="E15" s="981"/>
      <c r="F15" s="982">
        <f>'数据-取费表'!B36</f>
        <v>1.4999999999999999E-2</v>
      </c>
      <c r="G15" s="140" t="s">
        <v>2479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2481</v>
      </c>
      <c r="C17" s="24">
        <f ca="1">ROUND(D17*E17/10000,0)</f>
        <v>0</v>
      </c>
      <c r="D17" s="1031">
        <f ca="1">D14</f>
        <v>11628.210000000001</v>
      </c>
      <c r="E17" s="24">
        <f>'数据-取费表'!B32</f>
        <v>0</v>
      </c>
      <c r="F17" s="976"/>
      <c r="G17" s="140" t="s">
        <v>2482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2483</v>
      </c>
      <c r="C18" s="24">
        <f ca="1">C19+C20-IF(C1="",'数据-取费表'!B29,IF(G18="已全部缴纳",C19+C20,H18))</f>
        <v>0</v>
      </c>
      <c r="D18" s="1031"/>
      <c r="E18" s="24"/>
      <c r="F18" s="974"/>
      <c r="G18" s="2554"/>
      <c r="H18" s="1575"/>
      <c r="I18" s="2555" t="s">
        <v>2484</v>
      </c>
      <c r="J18" s="977"/>
      <c r="K18" s="978"/>
    </row>
    <row r="19" spans="1:33" s="973" customFormat="1" ht="13.5" customHeight="1">
      <c r="A19" s="969" t="s">
        <v>805</v>
      </c>
      <c r="B19" s="970" t="s">
        <v>2485</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2486</v>
      </c>
      <c r="C20" s="24">
        <f ca="1">ROUND(D20*E20/10000,0)</f>
        <v>233</v>
      </c>
      <c r="D20" s="1031">
        <f ca="1">IF(C1="",'数据-汇总表'!E6,IF(INDIRECT("'数据-取费表'!c"&amp;$K$1)="住宅",INDIRECT("'数据-取费表'!s"&amp;$K$1),INDIRECT("'数据-取费表'!k"&amp;$K$1)+INDIRECT("'数据-取费表'!s"&amp;$K$1)))</f>
        <v>11628.210000000001</v>
      </c>
      <c r="E20" s="24">
        <f>'数据-取费表'!B28</f>
        <v>200</v>
      </c>
      <c r="F20" s="974"/>
      <c r="G20" s="15"/>
      <c r="H20" s="979"/>
      <c r="I20" s="979"/>
      <c r="J20" s="979"/>
      <c r="K20" s="980"/>
    </row>
    <row r="21" spans="1:33" s="973" customFormat="1" ht="13.5" customHeight="1">
      <c r="A21" s="959" t="s">
        <v>802</v>
      </c>
      <c r="B21" s="983" t="s">
        <v>2487</v>
      </c>
      <c r="C21" s="984">
        <f ca="1">C16+C17+C18</f>
        <v>0</v>
      </c>
      <c r="D21" s="985"/>
      <c r="E21" s="325"/>
      <c r="F21" s="325"/>
      <c r="G21" s="140" t="s">
        <v>2488</v>
      </c>
      <c r="H21" s="977"/>
      <c r="I21" s="977"/>
      <c r="J21" s="977"/>
      <c r="K21" s="978"/>
    </row>
    <row r="22" spans="1:33" s="973" customFormat="1" ht="13.5" customHeight="1">
      <c r="A22" s="959" t="s">
        <v>2460</v>
      </c>
      <c r="B22" s="983" t="s">
        <v>2489</v>
      </c>
      <c r="C22" s="984">
        <f ca="1">ROUND(C21*F22,0)</f>
        <v>0</v>
      </c>
      <c r="D22" s="325"/>
      <c r="E22" s="325"/>
      <c r="F22" s="986">
        <f>'数据-取费表'!B37</f>
        <v>0.02</v>
      </c>
      <c r="G22" s="8" t="s">
        <v>2490</v>
      </c>
      <c r="H22" s="966"/>
      <c r="I22" s="966"/>
      <c r="J22" s="966"/>
      <c r="K22" s="967"/>
    </row>
    <row r="23" spans="1:33" s="973" customFormat="1" ht="13.5" customHeight="1">
      <c r="A23" s="959" t="s">
        <v>2462</v>
      </c>
      <c r="B23" s="983" t="s">
        <v>2491</v>
      </c>
      <c r="C23" s="984">
        <f ca="1">ROUND(C4*F23*F11,0)</f>
        <v>0</v>
      </c>
      <c r="D23" s="325"/>
      <c r="E23" s="325"/>
      <c r="F23" s="986">
        <f>'数据-取费表'!B38</f>
        <v>0.03</v>
      </c>
      <c r="G23" s="8" t="s">
        <v>2492</v>
      </c>
      <c r="H23" s="966"/>
      <c r="I23" s="966"/>
      <c r="J23" s="966"/>
      <c r="K23" s="967"/>
    </row>
    <row r="24" spans="1:33" s="973" customFormat="1" ht="13.5" customHeight="1">
      <c r="A24" s="959" t="s">
        <v>2493</v>
      </c>
      <c r="B24" s="983" t="s">
        <v>2494</v>
      </c>
      <c r="C24" s="324">
        <f>ROUND(F24/(1+'数据-取费表'!C42),4)</f>
        <v>2.9000000000000001E-2</v>
      </c>
      <c r="D24" s="325" t="s">
        <v>15</v>
      </c>
      <c r="E24" s="325"/>
      <c r="F24" s="986">
        <f>'数据-取费表'!B48+'数据-取费表'!B49</f>
        <v>3.0499999999999999E-2</v>
      </c>
      <c r="G24" s="8" t="s">
        <v>2495</v>
      </c>
      <c r="H24" s="988"/>
      <c r="I24" s="988"/>
      <c r="J24" s="988"/>
      <c r="K24" s="989"/>
    </row>
    <row r="25" spans="1:33" s="973" customFormat="1" ht="13.5" customHeight="1">
      <c r="A25" s="959" t="s">
        <v>2496</v>
      </c>
      <c r="B25" s="985" t="s">
        <v>2497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2498</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2499</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7"/>
      <c r="I27" s="977"/>
      <c r="J27" s="977"/>
      <c r="K27" s="978"/>
    </row>
    <row r="28" spans="1:33" s="333" customFormat="1" ht="13.5" customHeight="1">
      <c r="A28" s="959" t="s">
        <v>2500</v>
      </c>
      <c r="B28" s="2557" t="s">
        <v>2501</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2502</v>
      </c>
      <c r="C29" s="328">
        <f ca="1">ROUND((1+C24)*F28*'数据-取费表'!B24/'数据-取费表'!B20,4)</f>
        <v>0</v>
      </c>
      <c r="D29" s="328"/>
      <c r="E29" s="329"/>
      <c r="F29" s="334"/>
      <c r="G29" s="140" t="s">
        <v>2503</v>
      </c>
      <c r="H29" s="977"/>
      <c r="I29" s="977"/>
      <c r="J29" s="977"/>
      <c r="K29" s="978"/>
    </row>
    <row r="30" spans="1:33" s="335" customFormat="1" ht="13.5" customHeight="1">
      <c r="A30" s="969" t="s">
        <v>804</v>
      </c>
      <c r="B30" s="992" t="s">
        <v>2504</v>
      </c>
      <c r="C30" s="336">
        <f ca="1">ROUND((C21+C22+C23)*F28,0)</f>
        <v>0</v>
      </c>
      <c r="D30" s="328"/>
      <c r="E30" s="329"/>
      <c r="F30" s="334"/>
      <c r="G30" s="140"/>
      <c r="H30" s="977"/>
      <c r="I30" s="977"/>
      <c r="J30" s="977"/>
      <c r="K30" s="978"/>
    </row>
    <row r="31" spans="1:33" s="973" customFormat="1" ht="13.5" customHeight="1" thickBot="1">
      <c r="A31" s="2558" t="s">
        <v>2505</v>
      </c>
      <c r="B31" s="1003" t="s">
        <v>2506</v>
      </c>
      <c r="C31" s="1004">
        <f>ROUND(C4*F31/(1+'数据-取费表'!C42),0)</f>
        <v>0</v>
      </c>
      <c r="D31" s="1005"/>
      <c r="E31" s="1006"/>
      <c r="F31" s="1007">
        <f>'数据-取费表'!B41</f>
        <v>5.6000000000000001E-2</v>
      </c>
      <c r="G31" s="1008" t="s">
        <v>2507</v>
      </c>
      <c r="H31" s="1009"/>
      <c r="I31" s="1009"/>
      <c r="J31" s="1009"/>
      <c r="K31" s="1010"/>
    </row>
    <row r="32" spans="1:33" s="968" customFormat="1" ht="13.5" customHeight="1" thickBot="1">
      <c r="A32" s="998" t="s">
        <v>2508</v>
      </c>
      <c r="B32" s="999"/>
      <c r="C32" s="1000">
        <f ca="1">ROUND((C4-C21-C22-C23-C25-C28-C31)/(1+C24+D25+D28),0)</f>
        <v>0</v>
      </c>
      <c r="D32" s="999"/>
      <c r="E32" s="999"/>
      <c r="F32" s="999"/>
      <c r="G32" s="1001" t="s">
        <v>2509</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E15" sqref="E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c r="D1" s="1818"/>
      <c r="E1" s="1819" t="s">
        <v>1387</v>
      </c>
      <c r="F1" s="1281"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0">
        <f ca="1">C6+C10+C12</f>
        <v>0</v>
      </c>
      <c r="D5" s="1820" t="s">
        <v>1601</v>
      </c>
      <c r="E5" s="1291"/>
      <c r="F5" s="1292"/>
      <c r="G5" s="1849"/>
      <c r="H5" s="344">
        <v>1</v>
      </c>
      <c r="I5" s="345" t="s">
        <v>1600</v>
      </c>
      <c r="J5" s="1290">
        <f ca="1">J6+J10+J12</f>
        <v>0</v>
      </c>
      <c r="K5" s="1820" t="s">
        <v>1601</v>
      </c>
      <c r="L5" s="1291"/>
      <c r="M5" s="1292"/>
    </row>
    <row r="6" spans="1:37" ht="18" customHeight="1">
      <c r="A6" s="1289" t="s">
        <v>1035</v>
      </c>
      <c r="B6" s="3149" t="s">
        <v>1403</v>
      </c>
      <c r="C6" s="1294">
        <f ca="1">ROUND(F6*F8*F7*(1-F9),0)</f>
        <v>0</v>
      </c>
      <c r="D6" s="164" t="s">
        <v>3021</v>
      </c>
      <c r="E6" s="347" t="s">
        <v>1405</v>
      </c>
      <c r="F6" s="348">
        <f ca="1">INDIRECT("'数据-取费表'!u"&amp;$G$1)</f>
        <v>0</v>
      </c>
      <c r="G6" s="1849"/>
      <c r="H6" s="1289" t="s">
        <v>1035</v>
      </c>
      <c r="I6" s="3149" t="s">
        <v>1403</v>
      </c>
      <c r="J6" s="346">
        <f ca="1">ROUND(M6*M8*M7*(1-M9),0)</f>
        <v>0</v>
      </c>
      <c r="K6" s="1832" t="s">
        <v>3022</v>
      </c>
      <c r="L6" s="347" t="s">
        <v>1405</v>
      </c>
      <c r="M6" s="348">
        <f ca="1">INDIRECT("'数据-取费表'!z"&amp;$G$1)</f>
        <v>0</v>
      </c>
    </row>
    <row r="7" spans="1:37" ht="18" customHeight="1">
      <c r="A7" s="1293"/>
      <c r="B7" s="3150"/>
      <c r="C7" s="1295"/>
      <c r="D7" s="352"/>
      <c r="E7" s="1296" t="s">
        <v>1406</v>
      </c>
      <c r="F7" s="348">
        <f ca="1">IF(INDIRECT("'数据-取费表'!ah"&amp;$G$1)="",INDIRECT("'数据-取费表'!k"&amp;$G$1),INDIRECT("'数据-取费表'!ah"&amp;$G$1))</f>
        <v>0</v>
      </c>
      <c r="G7" s="1849"/>
      <c r="H7" s="349"/>
      <c r="I7" s="3150"/>
      <c r="J7" s="351"/>
      <c r="K7" s="352"/>
      <c r="L7" s="347" t="s">
        <v>1406</v>
      </c>
      <c r="M7" s="348">
        <f ca="1">F7</f>
        <v>0</v>
      </c>
    </row>
    <row r="8" spans="1:37" ht="18" customHeight="1">
      <c r="A8" s="349"/>
      <c r="B8" s="3150"/>
      <c r="C8" s="351"/>
      <c r="D8" s="352"/>
      <c r="E8" s="347" t="s">
        <v>1407</v>
      </c>
      <c r="F8" s="348">
        <f ca="1">INDIRECT("'数据-取费表'!ai"&amp;$G$1)</f>
        <v>0</v>
      </c>
      <c r="G8" s="1849"/>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49"/>
      <c r="H9" s="349"/>
      <c r="I9" s="3151"/>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3032</v>
      </c>
      <c r="E10" s="358" t="s">
        <v>1410</v>
      </c>
      <c r="F10" s="1364"/>
      <c r="G10" s="1849"/>
      <c r="H10" s="1289" t="s">
        <v>1039</v>
      </c>
      <c r="I10" s="1821" t="s">
        <v>1409</v>
      </c>
      <c r="J10" s="346">
        <f ca="1">ROUND(IF(M10="押一",J6/12*M11,IF(M10="押二",J6/12*2*M11,IF(M10="押三",J6/12*3*M11,J11*M11))),0)</f>
        <v>0</v>
      </c>
      <c r="K10" s="1833" t="s">
        <v>3034</v>
      </c>
      <c r="L10" s="358" t="s">
        <v>1410</v>
      </c>
      <c r="M10" s="1364"/>
    </row>
    <row r="11" spans="1:37" ht="18" customHeight="1">
      <c r="A11" s="353"/>
      <c r="B11" s="1823" t="s">
        <v>1602</v>
      </c>
      <c r="C11" s="1176"/>
      <c r="D11" s="352"/>
      <c r="E11" s="358" t="s">
        <v>1412</v>
      </c>
      <c r="F11" s="359">
        <f ca="1">'数据-取费表'!B39</f>
        <v>1.4999999999999999E-2</v>
      </c>
      <c r="G11" s="1849"/>
      <c r="H11" s="1297"/>
      <c r="I11" s="1823" t="s">
        <v>1603</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7" t="s">
        <v>1417</v>
      </c>
      <c r="C14" s="363">
        <f ca="1">ROUND(INDIRECT("'数据-取费表'!l"&amp;$G$1)*F43+'数据-取费表'!L14*INDIRECT("'数据-取费表'!S"&amp;$G$1),0)</f>
        <v>0</v>
      </c>
      <c r="D14" s="1798" t="s">
        <v>1418</v>
      </c>
      <c r="E14" s="1792"/>
      <c r="F14" s="364"/>
      <c r="G14" s="1849"/>
      <c r="H14" s="1199" t="s">
        <v>1035</v>
      </c>
      <c r="I14" s="347" t="s">
        <v>1419</v>
      </c>
      <c r="J14" s="24">
        <f ca="1">C29</f>
        <v>0</v>
      </c>
      <c r="K14" s="15"/>
      <c r="L14" s="977"/>
      <c r="M14" s="978"/>
    </row>
    <row r="15" spans="1:37" s="1856" customFormat="1" ht="18" customHeight="1" thickBot="1">
      <c r="A15" s="1199" t="s">
        <v>1036</v>
      </c>
      <c r="B15" s="347" t="s">
        <v>1420</v>
      </c>
      <c r="C15" s="24">
        <f ca="1">ROUND(C14*F15,0)</f>
        <v>0</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9"/>
      <c r="H16" s="1327" t="s">
        <v>1030</v>
      </c>
      <c r="I16" s="1328" t="s">
        <v>1424</v>
      </c>
      <c r="J16" s="355">
        <f ca="1">ROUND(J17+J22+J23+J24,0)</f>
        <v>0</v>
      </c>
      <c r="K16" s="1335" t="s">
        <v>1425</v>
      </c>
      <c r="L16" s="1336"/>
      <c r="M16" s="1292"/>
    </row>
    <row r="17" spans="1:37" s="1856" customFormat="1" ht="18" customHeight="1">
      <c r="A17" s="1199" t="s">
        <v>1390</v>
      </c>
      <c r="B17" s="347" t="s">
        <v>1426</v>
      </c>
      <c r="C17" s="24">
        <f ca="1">ROUND(F17*(F43+INDIRECT("'数据-取费表'!S"&amp;$G$1)),0)</f>
        <v>0</v>
      </c>
      <c r="D17" s="347" t="s">
        <v>1427</v>
      </c>
      <c r="E17" s="347" t="s">
        <v>1428</v>
      </c>
      <c r="F17" s="26">
        <f>'数据-取费表'!B35</f>
        <v>200</v>
      </c>
      <c r="G17" s="1852"/>
      <c r="H17" s="1199"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0</v>
      </c>
      <c r="D18" s="347" t="s">
        <v>1421</v>
      </c>
      <c r="E18" s="347" t="s">
        <v>1422</v>
      </c>
      <c r="F18" s="367">
        <f>'数据-取费表'!B36</f>
        <v>1.4999999999999999E-2</v>
      </c>
      <c r="G18" s="1852"/>
      <c r="H18" s="1199"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0</v>
      </c>
      <c r="D19" s="140" t="s">
        <v>1436</v>
      </c>
      <c r="E19" s="1816"/>
      <c r="F19" s="26"/>
      <c r="G19" s="1849"/>
      <c r="H19" s="1199"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199" t="s">
        <v>1039</v>
      </c>
      <c r="B20" s="347" t="s">
        <v>1439</v>
      </c>
      <c r="C20" s="24">
        <f ca="1">ROUND(C19*F20,0)</f>
        <v>0</v>
      </c>
      <c r="D20" s="369" t="s">
        <v>1440</v>
      </c>
      <c r="E20" s="347" t="s">
        <v>1422</v>
      </c>
      <c r="F20" s="367">
        <f>'数据-取费表'!B37</f>
        <v>0.02</v>
      </c>
      <c r="G20" s="1852"/>
      <c r="H20" s="1199" t="s">
        <v>1389</v>
      </c>
      <c r="I20" s="164" t="s">
        <v>1441</v>
      </c>
      <c r="J20" s="25">
        <f ca="1">ROUND(M20*M21,0)</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6"/>
      <c r="F22" s="26"/>
      <c r="G22" s="1849"/>
      <c r="H22" s="1199" t="s">
        <v>1039</v>
      </c>
      <c r="I22" s="347" t="s">
        <v>1449</v>
      </c>
      <c r="J22" s="24">
        <f ca="1">ROUND(J14*M22,0)</f>
        <v>0</v>
      </c>
      <c r="K22" s="1796" t="s">
        <v>1450</v>
      </c>
      <c r="L22" s="347" t="s">
        <v>1422</v>
      </c>
      <c r="M22" s="374">
        <f ca="1">INDIRECT("'数据-取费表'!Ak"&amp;$G$1)</f>
        <v>0</v>
      </c>
    </row>
    <row r="23" spans="1:37" s="1856"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7" t="s">
        <v>1461</v>
      </c>
      <c r="C25" s="24"/>
      <c r="D25" s="140" t="s">
        <v>1462</v>
      </c>
      <c r="E25" s="1816"/>
      <c r="F25" s="26"/>
      <c r="G25" s="1849"/>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0</v>
      </c>
      <c r="D30" s="1335" t="s">
        <v>1425</v>
      </c>
      <c r="E30" s="1336"/>
      <c r="F30" s="1292"/>
      <c r="G30" s="1849"/>
      <c r="H30" s="745"/>
      <c r="I30" s="746"/>
      <c r="J30" s="747"/>
      <c r="K30" s="748"/>
      <c r="L30" s="749"/>
      <c r="M30" s="750"/>
    </row>
    <row r="31" spans="1:37" ht="18" customHeight="1">
      <c r="A31" s="1199"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89" t="s">
        <v>1389</v>
      </c>
      <c r="B34" s="164" t="s">
        <v>1441</v>
      </c>
      <c r="C34" s="25">
        <f ca="1">IF(项目基本情况!B11="自然人","——",ROUND(F34*F35,))</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199"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5">
        <f ca="1">C5-C30</f>
        <v>0</v>
      </c>
      <c r="D39" s="1343" t="s">
        <v>1484</v>
      </c>
      <c r="E39" s="1344"/>
      <c r="F39" s="1345"/>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2"/>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5" t="s">
        <v>1401</v>
      </c>
      <c r="C48" s="1815">
        <f ca="1">C49+C53+C55</f>
        <v>0</v>
      </c>
      <c r="D48" s="1360"/>
      <c r="E48" s="1361"/>
      <c r="F48" s="1179"/>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3"/>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9" t="s">
        <v>1409</v>
      </c>
      <c r="C53" s="361">
        <f ca="1">ROUND(IF(F53="押一",C49/12*F11,IF(F53="押二",C49/12*2*F11,IF(F53="押三",C49/12*3*F11,C54*F11))),0)</f>
        <v>0</v>
      </c>
      <c r="D53" s="1822" t="s">
        <v>3035</v>
      </c>
      <c r="E53" s="358" t="s">
        <v>1410</v>
      </c>
      <c r="F53" s="1364"/>
      <c r="I53" s="1903" t="s">
        <v>1547</v>
      </c>
      <c r="J53" s="1904" t="b">
        <f>IF(M47="住宅",J51,IF(D1="——",MIN(J51,L48),IF(D1="在建（套用方法）",MIN(J51,L48-'数据-取费表'!B24),IF(D1="土地（套用方法）",MIN(J51,L48-'数据-取费表'!B20)))))</f>
        <v>0</v>
      </c>
      <c r="K53" s="3147" t="s">
        <v>1548</v>
      </c>
      <c r="L53" s="3148"/>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60" t="s">
        <v>1030</v>
      </c>
      <c r="B58" s="1175" t="s">
        <v>1424</v>
      </c>
      <c r="C58" s="361">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1">
        <f t="shared" si="0"/>
        <v>24</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7">
        <f t="shared" ca="1" si="0"/>
        <v>0</v>
      </c>
      <c r="O66" s="1882" t="s">
        <v>1041</v>
      </c>
      <c r="P66" s="1883" t="s">
        <v>1558</v>
      </c>
      <c r="Q66" s="1884" t="e">
        <f ca="1">L60</f>
        <v>#DIV/0!</v>
      </c>
      <c r="R66" s="1884" t="s">
        <v>1581</v>
      </c>
    </row>
    <row r="67" spans="1:18" s="1840" customFormat="1" ht="16.5" thickBot="1">
      <c r="A67" s="1174" t="s">
        <v>1031</v>
      </c>
      <c r="B67" s="1184" t="s">
        <v>1463</v>
      </c>
      <c r="C67" s="361">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6" t="e">
        <f ca="1">ROUND(C67*(1-((1+F70)/(1+F68))^F69)/(F68-F70),0)</f>
        <v>#DIV/0!</v>
      </c>
      <c r="D68" s="1182" t="s">
        <v>1469</v>
      </c>
      <c r="E68" s="1167" t="s">
        <v>1470</v>
      </c>
      <c r="F68" s="357">
        <f ca="1">F40</f>
        <v>0</v>
      </c>
      <c r="O68" s="1892" t="s">
        <v>1043</v>
      </c>
      <c r="P68" s="1932" t="s">
        <v>1583</v>
      </c>
      <c r="Q68" s="1884">
        <f ca="1">ROUND(Q69-Q70*Q71,0)</f>
        <v>0</v>
      </c>
      <c r="R68" s="1884" t="s">
        <v>1051</v>
      </c>
    </row>
    <row r="69" spans="1:18" s="1840" customFormat="1" ht="13.5" thickBot="1">
      <c r="A69" s="1168"/>
      <c r="B69" s="1169"/>
      <c r="C69" s="351"/>
      <c r="D69" s="1187" t="s">
        <v>1473</v>
      </c>
      <c r="E69" s="1167" t="s">
        <v>1474</v>
      </c>
      <c r="F69" s="379">
        <f ca="1">F41</f>
        <v>0</v>
      </c>
      <c r="O69" s="1892" t="s">
        <v>1048</v>
      </c>
      <c r="P69" s="1932" t="s">
        <v>1584</v>
      </c>
      <c r="Q69" s="1884">
        <f ca="1">C39</f>
        <v>0</v>
      </c>
      <c r="R69" s="1884" t="s">
        <v>1529</v>
      </c>
    </row>
    <row r="70" spans="1:18" s="1840" customFormat="1" ht="13.5" thickBot="1">
      <c r="A70" s="1171"/>
      <c r="B70" s="1172"/>
      <c r="C70" s="355"/>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2" t="e">
        <f ca="1">ROUND(C68/F71,0)</f>
        <v>#DIV/0!</v>
      </c>
      <c r="D71" s="1190" t="s">
        <v>1488</v>
      </c>
      <c r="E71" s="1191" t="s">
        <v>1489</v>
      </c>
      <c r="F71" s="385">
        <f ca="1">F43</f>
        <v>0</v>
      </c>
      <c r="O71" s="1892" t="s">
        <v>1050</v>
      </c>
      <c r="P71" s="1932" t="s">
        <v>1586</v>
      </c>
      <c r="Q71" s="1895">
        <f ca="1">C76</f>
        <v>0</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53" t="s">
        <v>1076</v>
      </c>
      <c r="B1" s="3154"/>
      <c r="C1" s="3155"/>
      <c r="D1" s="3156">
        <f>SUM(I10,I15,I20,I21,I23)</f>
        <v>0</v>
      </c>
      <c r="E1" s="3156"/>
      <c r="F1" s="3156"/>
      <c r="G1" s="3156"/>
      <c r="H1" s="3156"/>
      <c r="I1" s="3157"/>
    </row>
    <row r="2" spans="1:9">
      <c r="A2" s="3158" t="s">
        <v>1077</v>
      </c>
      <c r="B2" s="3159" t="s">
        <v>1078</v>
      </c>
      <c r="C2" s="3159"/>
      <c r="D2" s="1299" t="s">
        <v>1079</v>
      </c>
      <c r="E2" s="1299" t="s">
        <v>1080</v>
      </c>
      <c r="F2" s="1299" t="s">
        <v>1081</v>
      </c>
      <c r="G2" s="1299" t="s">
        <v>1082</v>
      </c>
      <c r="H2" s="1299" t="s">
        <v>1083</v>
      </c>
      <c r="I2" s="1300" t="s">
        <v>1084</v>
      </c>
    </row>
    <row r="3" spans="1:9">
      <c r="A3" s="3158"/>
      <c r="B3" s="3159" t="s">
        <v>1085</v>
      </c>
      <c r="C3" s="3159"/>
      <c r="D3" s="1301"/>
      <c r="E3" s="1299"/>
      <c r="F3" s="1302"/>
      <c r="G3" s="1302"/>
      <c r="H3" s="1303"/>
      <c r="I3" s="1304">
        <f>ROUND(D3*E3*F3*G3*H3/10000,0)</f>
        <v>0</v>
      </c>
    </row>
    <row r="4" spans="1:9">
      <c r="A4" s="3158"/>
      <c r="B4" s="3159" t="s">
        <v>1086</v>
      </c>
      <c r="C4" s="3159"/>
      <c r="D4" s="1301"/>
      <c r="E4" s="1299"/>
      <c r="F4" s="1302"/>
      <c r="G4" s="1302"/>
      <c r="H4" s="1303"/>
      <c r="I4" s="1304">
        <f t="shared" ref="I4:I9" si="0">ROUND(D4*E4*F4*G4*H4/10000,0)</f>
        <v>0</v>
      </c>
    </row>
    <row r="5" spans="1:9">
      <c r="A5" s="3158"/>
      <c r="B5" s="3159" t="s">
        <v>1087</v>
      </c>
      <c r="C5" s="3159"/>
      <c r="D5" s="1301"/>
      <c r="E5" s="1299"/>
      <c r="F5" s="1302"/>
      <c r="G5" s="1302"/>
      <c r="H5" s="1303"/>
      <c r="I5" s="1304">
        <f t="shared" si="0"/>
        <v>0</v>
      </c>
    </row>
    <row r="6" spans="1:9">
      <c r="A6" s="3158"/>
      <c r="B6" s="3159" t="s">
        <v>1088</v>
      </c>
      <c r="C6" s="3159"/>
      <c r="D6" s="1301"/>
      <c r="E6" s="1299"/>
      <c r="F6" s="1302"/>
      <c r="G6" s="1302"/>
      <c r="H6" s="1303"/>
      <c r="I6" s="1304">
        <f t="shared" si="0"/>
        <v>0</v>
      </c>
    </row>
    <row r="7" spans="1:9">
      <c r="A7" s="3158"/>
      <c r="B7" s="3159" t="s">
        <v>1089</v>
      </c>
      <c r="C7" s="3159"/>
      <c r="D7" s="1301"/>
      <c r="E7" s="1299"/>
      <c r="F7" s="1302"/>
      <c r="G7" s="1302"/>
      <c r="H7" s="1303"/>
      <c r="I7" s="1304">
        <f t="shared" si="0"/>
        <v>0</v>
      </c>
    </row>
    <row r="8" spans="1:9">
      <c r="A8" s="3158"/>
      <c r="B8" s="3159" t="s">
        <v>1090</v>
      </c>
      <c r="C8" s="3159"/>
      <c r="D8" s="1301"/>
      <c r="E8" s="1299"/>
      <c r="F8" s="1302"/>
      <c r="G8" s="1302"/>
      <c r="H8" s="1303"/>
      <c r="I8" s="1304">
        <f t="shared" si="0"/>
        <v>0</v>
      </c>
    </row>
    <row r="9" spans="1:9">
      <c r="A9" s="3158"/>
      <c r="B9" s="3159" t="s">
        <v>1091</v>
      </c>
      <c r="C9" s="3159"/>
      <c r="D9" s="1301"/>
      <c r="E9" s="1299"/>
      <c r="F9" s="1302"/>
      <c r="G9" s="1302"/>
      <c r="H9" s="1303"/>
      <c r="I9" s="1304">
        <f t="shared" si="0"/>
        <v>0</v>
      </c>
    </row>
    <row r="10" spans="1:9">
      <c r="A10" s="3158"/>
      <c r="B10" s="3160" t="s">
        <v>1092</v>
      </c>
      <c r="C10" s="3160"/>
      <c r="D10" s="1305"/>
      <c r="E10" s="1305" t="e">
        <f>ROUND(D1*10000/D10/H9,0)</f>
        <v>#DIV/0!</v>
      </c>
      <c r="F10" s="1306"/>
      <c r="G10" s="1306"/>
      <c r="H10" s="1307"/>
      <c r="I10" s="1308">
        <f>SUM(I3:I9)</f>
        <v>0</v>
      </c>
    </row>
    <row r="11" spans="1:9" ht="14.25">
      <c r="A11" s="3158" t="s">
        <v>1093</v>
      </c>
      <c r="B11" s="3159" t="s">
        <v>1094</v>
      </c>
      <c r="C11" s="3159"/>
      <c r="D11" s="1301" t="s">
        <v>1095</v>
      </c>
      <c r="E11" s="1301" t="s">
        <v>1096</v>
      </c>
      <c r="F11" s="1302" t="s">
        <v>1097</v>
      </c>
      <c r="G11" s="1302" t="s">
        <v>1083</v>
      </c>
      <c r="H11" s="1309" t="s">
        <v>1098</v>
      </c>
      <c r="I11" s="1300" t="s">
        <v>1084</v>
      </c>
    </row>
    <row r="12" spans="1:9">
      <c r="A12" s="3158"/>
      <c r="B12" s="3159" t="s">
        <v>1099</v>
      </c>
      <c r="C12" s="3159"/>
      <c r="D12" s="1301"/>
      <c r="E12" s="1301"/>
      <c r="F12" s="1302"/>
      <c r="G12" s="1303"/>
      <c r="H12" s="1310"/>
      <c r="I12" s="1300">
        <f>ROUND(D12*E12*F12*G12/10000,0)</f>
        <v>0</v>
      </c>
    </row>
    <row r="13" spans="1:9">
      <c r="A13" s="3158"/>
      <c r="B13" s="3159" t="s">
        <v>1100</v>
      </c>
      <c r="C13" s="3159"/>
      <c r="D13" s="1301"/>
      <c r="E13" s="1301"/>
      <c r="F13" s="1302"/>
      <c r="G13" s="1303"/>
      <c r="H13" s="1310"/>
      <c r="I13" s="1300">
        <f>ROUND(D13*E13*F13*G13/10000,0)</f>
        <v>0</v>
      </c>
    </row>
    <row r="14" spans="1:9">
      <c r="A14" s="3158"/>
      <c r="B14" s="3159" t="s">
        <v>1101</v>
      </c>
      <c r="C14" s="3159"/>
      <c r="D14" s="1301"/>
      <c r="E14" s="1301"/>
      <c r="F14" s="1302"/>
      <c r="G14" s="1303"/>
      <c r="H14" s="1310"/>
      <c r="I14" s="1300">
        <f>ROUND(D14*E14*F14*G14/10000,0)</f>
        <v>0</v>
      </c>
    </row>
    <row r="15" spans="1:9">
      <c r="A15" s="3158"/>
      <c r="B15" s="3160" t="s">
        <v>1092</v>
      </c>
      <c r="C15" s="3160"/>
      <c r="D15" s="1305"/>
      <c r="E15" s="1305">
        <f>SUM(E12:E14)</f>
        <v>0</v>
      </c>
      <c r="F15" s="1306"/>
      <c r="G15" s="1303"/>
      <c r="H15" s="1310"/>
      <c r="I15" s="1311">
        <f>SUM(I12:I14)</f>
        <v>0</v>
      </c>
    </row>
    <row r="16" spans="1:9" ht="24">
      <c r="A16" s="3158" t="s">
        <v>1102</v>
      </c>
      <c r="B16" s="3159" t="s">
        <v>1103</v>
      </c>
      <c r="C16" s="3159"/>
      <c r="D16" s="1301" t="s">
        <v>1079</v>
      </c>
      <c r="E16" s="1312" t="s">
        <v>1104</v>
      </c>
      <c r="F16" s="1302" t="s">
        <v>1105</v>
      </c>
      <c r="G16" s="1303" t="s">
        <v>1083</v>
      </c>
      <c r="H16" s="1309" t="s">
        <v>1098</v>
      </c>
      <c r="I16" s="1300" t="s">
        <v>1084</v>
      </c>
    </row>
    <row r="17" spans="1:9" ht="14.25">
      <c r="A17" s="3158"/>
      <c r="B17" s="3159" t="s">
        <v>1106</v>
      </c>
      <c r="C17" s="3159"/>
      <c r="D17" s="1301"/>
      <c r="E17" s="1301"/>
      <c r="F17" s="1302"/>
      <c r="G17" s="1303"/>
      <c r="H17" s="1313"/>
      <c r="I17" s="1314">
        <f>ROUND(D17*E17*F17*G17/10000,0)</f>
        <v>0</v>
      </c>
    </row>
    <row r="18" spans="1:9" ht="14.25">
      <c r="A18" s="3158"/>
      <c r="B18" s="3159" t="s">
        <v>1107</v>
      </c>
      <c r="C18" s="3159"/>
      <c r="D18" s="1301"/>
      <c r="E18" s="1301"/>
      <c r="F18" s="1302"/>
      <c r="G18" s="1303"/>
      <c r="H18" s="1313"/>
      <c r="I18" s="1314">
        <f>ROUND(D18*E18*F18*G18/10000,0)</f>
        <v>0</v>
      </c>
    </row>
    <row r="19" spans="1:9" ht="14.25">
      <c r="A19" s="3158"/>
      <c r="B19" s="3159" t="s">
        <v>1108</v>
      </c>
      <c r="C19" s="3159"/>
      <c r="D19" s="1301"/>
      <c r="E19" s="1301"/>
      <c r="F19" s="1302"/>
      <c r="G19" s="1303"/>
      <c r="H19" s="1313"/>
      <c r="I19" s="1314">
        <f>ROUND(D19*E19*F19*G19/10000,0)</f>
        <v>0</v>
      </c>
    </row>
    <row r="20" spans="1:9">
      <c r="A20" s="3158"/>
      <c r="B20" s="3160" t="s">
        <v>1092</v>
      </c>
      <c r="C20" s="3160"/>
      <c r="D20" s="1305">
        <f>SUM(D17:D19)</f>
        <v>0</v>
      </c>
      <c r="E20" s="1305"/>
      <c r="F20" s="1306"/>
      <c r="G20" s="1303"/>
      <c r="H20" s="1310"/>
      <c r="I20" s="1311">
        <f>SUM(I17:I19)</f>
        <v>0</v>
      </c>
    </row>
    <row r="21" spans="1:9">
      <c r="A21" s="3158" t="s">
        <v>1109</v>
      </c>
      <c r="B21" s="3162"/>
      <c r="C21" s="3162"/>
      <c r="D21" s="3162"/>
      <c r="E21" s="3162"/>
      <c r="F21" s="3162"/>
      <c r="G21" s="3162"/>
      <c r="H21" s="1763">
        <v>0.1</v>
      </c>
      <c r="I21" s="1308">
        <f>ROUND(I10*H21,0)</f>
        <v>0</v>
      </c>
    </row>
    <row r="22" spans="1:9" ht="14.25">
      <c r="A22" s="3163" t="s">
        <v>1110</v>
      </c>
      <c r="B22" s="3164"/>
      <c r="C22" s="3165"/>
      <c r="D22" s="1315" t="s">
        <v>1111</v>
      </c>
      <c r="E22" s="1315" t="s">
        <v>1112</v>
      </c>
      <c r="F22" s="1316" t="s">
        <v>1113</v>
      </c>
      <c r="G22" s="1316" t="s">
        <v>1114</v>
      </c>
      <c r="H22" s="1309" t="s">
        <v>1115</v>
      </c>
      <c r="I22" s="1300" t="s">
        <v>1116</v>
      </c>
    </row>
    <row r="23" spans="1:9" ht="14.25" thickBot="1">
      <c r="A23" s="3166"/>
      <c r="B23" s="3167"/>
      <c r="C23" s="3168"/>
      <c r="D23" s="1317"/>
      <c r="E23" s="1317"/>
      <c r="F23" s="1317"/>
      <c r="G23" s="1318"/>
      <c r="H23" s="1319"/>
      <c r="I23" s="1320">
        <f>ROUND(E23*D23*F23*(1-G23)/10000,0)</f>
        <v>0</v>
      </c>
    </row>
    <row r="26" spans="1:9">
      <c r="A26" s="1321" t="s">
        <v>1117</v>
      </c>
      <c r="B26" s="1321"/>
      <c r="C26" s="1321"/>
      <c r="D26" s="1321"/>
      <c r="E26" s="3169">
        <f>C27-C30-C31-C32</f>
        <v>0</v>
      </c>
      <c r="F26" s="3169"/>
      <c r="G26" s="3169"/>
      <c r="H26" s="1735" t="s">
        <v>1340</v>
      </c>
    </row>
    <row r="27" spans="1:9">
      <c r="A27" s="1322">
        <v>1</v>
      </c>
      <c r="B27" s="1323" t="s">
        <v>1118</v>
      </c>
      <c r="C27" s="1323">
        <f>C28+C29</f>
        <v>0</v>
      </c>
      <c r="D27" s="1323"/>
      <c r="E27" s="3170"/>
      <c r="F27" s="3170"/>
      <c r="G27" s="3170"/>
    </row>
    <row r="28" spans="1:9">
      <c r="A28" s="1324" t="s">
        <v>1119</v>
      </c>
      <c r="B28" s="1323" t="s">
        <v>1120</v>
      </c>
      <c r="C28" s="1323"/>
      <c r="D28" s="1323"/>
      <c r="E28" s="3170"/>
      <c r="F28" s="3170"/>
      <c r="G28" s="3170"/>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161"/>
      <c r="F32" s="3161"/>
      <c r="G32" s="3161"/>
    </row>
    <row r="33" spans="1:7" hidden="1">
      <c r="A33" s="3171" t="s">
        <v>1129</v>
      </c>
      <c r="B33" s="3172"/>
      <c r="C33" s="3172"/>
      <c r="D33" s="3173"/>
      <c r="E33" s="3169"/>
      <c r="F33" s="3169"/>
      <c r="G33" s="3169"/>
    </row>
    <row r="34" spans="1:7" hidden="1">
      <c r="A34" s="1326">
        <v>1</v>
      </c>
      <c r="B34" s="1323" t="s">
        <v>1130</v>
      </c>
      <c r="C34" s="1323"/>
      <c r="D34" s="1323"/>
      <c r="E34" s="3170"/>
      <c r="F34" s="3170"/>
      <c r="G34" s="3170"/>
    </row>
    <row r="35" spans="1:7" hidden="1">
      <c r="A35" s="1326">
        <v>2</v>
      </c>
      <c r="B35" s="1323" t="s">
        <v>1131</v>
      </c>
      <c r="C35" s="1323"/>
      <c r="D35" s="1323"/>
      <c r="E35" s="3170"/>
      <c r="F35" s="3170"/>
      <c r="G35" s="3170"/>
    </row>
    <row r="36" spans="1:7" hidden="1">
      <c r="A36" s="1326">
        <v>3</v>
      </c>
      <c r="B36" s="1323" t="s">
        <v>1132</v>
      </c>
      <c r="C36" s="1323"/>
      <c r="D36" s="1323"/>
      <c r="E36" s="3170"/>
      <c r="F36" s="3170"/>
      <c r="G36" s="3170"/>
    </row>
    <row r="37" spans="1:7" hidden="1">
      <c r="A37" s="1326">
        <v>4</v>
      </c>
      <c r="B37" s="1323" t="s">
        <v>1133</v>
      </c>
      <c r="C37" s="1323"/>
      <c r="D37" s="1323"/>
      <c r="E37" s="3170"/>
      <c r="F37" s="3170"/>
      <c r="G37" s="3170"/>
    </row>
    <row r="38" spans="1:7" hidden="1">
      <c r="A38" s="3171" t="s">
        <v>1134</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80" t="s">
        <v>2520</v>
      </c>
      <c r="C1" s="1632" t="s">
        <v>2521</v>
      </c>
      <c r="D1" s="1619"/>
      <c r="E1" s="2581"/>
      <c r="F1" s="2582" t="s">
        <v>2522</v>
      </c>
      <c r="G1" s="1629" t="s">
        <v>2523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1394</v>
      </c>
      <c r="B2" s="1416" t="e">
        <f ca="1">IF(C2="——",ROUND(C49*D3/10000,0),ROUND(C49*D3/10000,0)-D2)</f>
        <v>#DIV/0!</v>
      </c>
      <c r="C2" s="2584"/>
      <c r="D2" s="1363" t="e">
        <f ca="1">SUMIF(INDIRECT("'"&amp;F2&amp;"'"&amp;"!A:A"),"承租人权益价值",INDIRECT("'"&amp;F2&amp;"'"&amp;"!c:c"))</f>
        <v>#REF!</v>
      </c>
      <c r="E2" s="2585" t="s">
        <v>2524</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2525</v>
      </c>
      <c r="D3" s="399">
        <f>IF(D1="",'数据-汇总表'!E3,SUMIF('数据-汇总表'!$C19:$C33,D1,'数据-汇总表'!$E19:$E33))</f>
        <v>11628.210000000001</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1" t="s">
        <v>2526</v>
      </c>
      <c r="B4" s="402"/>
      <c r="C4" s="3192" t="s">
        <v>2527</v>
      </c>
      <c r="D4" s="3193"/>
      <c r="E4" s="3194" t="s">
        <v>2528</v>
      </c>
      <c r="F4" s="3195"/>
      <c r="G4" s="3192" t="s">
        <v>2529</v>
      </c>
      <c r="H4" s="3193"/>
      <c r="I4" s="3192" t="s">
        <v>2530</v>
      </c>
      <c r="J4" s="3193"/>
      <c r="K4" s="2594" t="s">
        <v>2531</v>
      </c>
      <c r="L4" s="1128"/>
      <c r="M4" s="1129"/>
      <c r="N4" s="1129"/>
      <c r="O4" s="1129"/>
      <c r="P4" s="3196" t="s">
        <v>2532</v>
      </c>
      <c r="Q4" s="3197"/>
      <c r="R4" s="3179" t="s">
        <v>2528</v>
      </c>
      <c r="S4" s="3180"/>
      <c r="T4" s="3179" t="s">
        <v>2529</v>
      </c>
      <c r="U4" s="3180"/>
      <c r="V4" s="3204" t="s">
        <v>2530</v>
      </c>
      <c r="W4" s="3204"/>
      <c r="X4" s="1811"/>
      <c r="Y4" s="3179" t="s">
        <v>2532</v>
      </c>
      <c r="Z4" s="3180"/>
      <c r="AA4" s="3174" t="s">
        <v>2528</v>
      </c>
      <c r="AB4" s="3174" t="s">
        <v>2529</v>
      </c>
      <c r="AC4" s="3174" t="s">
        <v>2530</v>
      </c>
    </row>
    <row r="5" spans="1:29" ht="15">
      <c r="A5" s="404"/>
      <c r="B5" s="405"/>
      <c r="C5" s="3185" t="s">
        <v>2533</v>
      </c>
      <c r="D5" s="3186"/>
      <c r="E5" s="3183" t="s">
        <v>2534</v>
      </c>
      <c r="F5" s="3184"/>
      <c r="G5" s="3185" t="s">
        <v>2535</v>
      </c>
      <c r="H5" s="3186"/>
      <c r="I5" s="3185" t="s">
        <v>2536</v>
      </c>
      <c r="J5" s="3186"/>
      <c r="K5" s="2595"/>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187" t="s">
        <v>2537</v>
      </c>
      <c r="D6" s="3188"/>
      <c r="E6" s="3189" t="s">
        <v>2537</v>
      </c>
      <c r="F6" s="3190"/>
      <c r="G6" s="3187" t="s">
        <v>2537</v>
      </c>
      <c r="H6" s="3188"/>
      <c r="I6" s="3187" t="s">
        <v>2537</v>
      </c>
      <c r="J6" s="3188"/>
      <c r="K6" s="2595"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c r="F7" s="413">
        <f>SUMIF(58:58,YEAR(E7)&amp;"-"&amp;MONTH(E7),59:59)</f>
        <v>0</v>
      </c>
      <c r="G7" s="412"/>
      <c r="H7" s="411">
        <f>SUMIF(58:58,YEAR(G7)&amp;"-"&amp;MONTH(G7),59:59)</f>
        <v>0</v>
      </c>
      <c r="I7" s="412"/>
      <c r="J7" s="411">
        <f>SUMIF(58:58,YEAR(I7)&amp;"-"&amp;MONTH(I7),59:59)</f>
        <v>0</v>
      </c>
      <c r="K7" s="2596"/>
      <c r="L7" s="1130"/>
      <c r="M7" s="1131"/>
      <c r="N7" s="1131"/>
      <c r="O7" s="1131"/>
      <c r="P7" s="3177" t="s">
        <v>2540</v>
      </c>
      <c r="Q7" s="3205"/>
      <c r="R7" s="770" t="s">
        <v>23</v>
      </c>
      <c r="S7" s="771">
        <f t="shared" ref="S7:S15" si="0">F7</f>
        <v>0</v>
      </c>
      <c r="T7" s="770" t="s">
        <v>23</v>
      </c>
      <c r="U7" s="771">
        <f t="shared" ref="U7:U15" si="1">H7</f>
        <v>0</v>
      </c>
      <c r="V7" s="770" t="s">
        <v>23</v>
      </c>
      <c r="W7" s="771">
        <f t="shared" ref="W7:W15" si="2">J7</f>
        <v>0</v>
      </c>
      <c r="X7" s="772"/>
      <c r="Y7" s="3177" t="s">
        <v>2540</v>
      </c>
      <c r="Z7" s="3178"/>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0"/>
      <c r="M8" s="1131"/>
      <c r="N8" s="1131"/>
      <c r="O8" s="1131"/>
      <c r="P8" s="3177" t="s">
        <v>2543</v>
      </c>
      <c r="Q8" s="3178"/>
      <c r="R8" s="770" t="s">
        <v>23</v>
      </c>
      <c r="S8" s="771">
        <f t="shared" si="0"/>
        <v>0</v>
      </c>
      <c r="T8" s="770" t="s">
        <v>23</v>
      </c>
      <c r="U8" s="771">
        <f t="shared" si="1"/>
        <v>0</v>
      </c>
      <c r="V8" s="770" t="s">
        <v>23</v>
      </c>
      <c r="W8" s="771">
        <f t="shared" si="2"/>
        <v>0</v>
      </c>
      <c r="X8" s="772"/>
      <c r="Y8" s="3177" t="s">
        <v>2543</v>
      </c>
      <c r="Z8" s="317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0"/>
      <c r="M9" s="1131"/>
      <c r="N9" s="1131"/>
      <c r="O9" s="1131"/>
      <c r="P9" s="3191"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1"/>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1"/>
      <c r="Q11" s="1793"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0"/>
      <c r="M12" s="1131"/>
      <c r="N12" s="1131"/>
      <c r="O12" s="1131"/>
      <c r="P12" s="3191"/>
      <c r="Q12" s="1793">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8"/>
      <c r="M13" s="1129"/>
      <c r="N13" s="1129"/>
      <c r="O13" s="1129"/>
      <c r="P13" s="3191"/>
      <c r="Q13" s="1793">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8"/>
      <c r="M14" s="1129"/>
      <c r="N14" s="1129"/>
      <c r="O14" s="1129"/>
      <c r="P14" s="3191"/>
      <c r="Q14" s="1793">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2550</v>
      </c>
      <c r="B15" s="69" t="s">
        <v>2083</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8" t="s">
        <v>2551</v>
      </c>
      <c r="Q15" s="1808" t="str">
        <f t="shared" si="6"/>
        <v>居住社区成熟度</v>
      </c>
      <c r="R15" s="774" t="s">
        <v>21</v>
      </c>
      <c r="S15" s="775">
        <f t="shared" si="0"/>
        <v>100</v>
      </c>
      <c r="T15" s="774" t="s">
        <v>21</v>
      </c>
      <c r="U15" s="775">
        <f t="shared" si="1"/>
        <v>100</v>
      </c>
      <c r="V15" s="774" t="s">
        <v>21</v>
      </c>
      <c r="W15" s="775">
        <f t="shared" si="2"/>
        <v>100</v>
      </c>
      <c r="X15" s="1811"/>
      <c r="Y15" s="3211" t="s">
        <v>2551</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38"/>
      <c r="M16" s="1129"/>
      <c r="N16" s="1129"/>
      <c r="O16" s="1129"/>
      <c r="P16" s="3219"/>
      <c r="Q16" s="1808"/>
      <c r="R16" s="774"/>
      <c r="S16" s="775"/>
      <c r="T16" s="774"/>
      <c r="U16" s="775"/>
      <c r="V16" s="774"/>
      <c r="W16" s="775"/>
      <c r="X16" s="1811"/>
      <c r="Y16" s="3212"/>
      <c r="Z16" s="1812"/>
      <c r="AA16" s="1809">
        <v>1</v>
      </c>
      <c r="AB16" s="1809">
        <v>1</v>
      </c>
      <c r="AC16" s="1809">
        <v>1</v>
      </c>
    </row>
    <row r="17" spans="1:29" ht="85.5">
      <c r="A17" s="428"/>
      <c r="B17" s="451" t="s">
        <v>2089</v>
      </c>
      <c r="C17" s="2605"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9"/>
      <c r="Q17" s="1808" t="str">
        <f>B17</f>
        <v>交通便捷度</v>
      </c>
      <c r="R17" s="774" t="s">
        <v>21</v>
      </c>
      <c r="S17" s="775">
        <f>F17</f>
        <v>100</v>
      </c>
      <c r="T17" s="774" t="s">
        <v>21</v>
      </c>
      <c r="U17" s="775">
        <f>H17</f>
        <v>100</v>
      </c>
      <c r="V17" s="774" t="s">
        <v>21</v>
      </c>
      <c r="W17" s="775">
        <f>J17</f>
        <v>100</v>
      </c>
      <c r="X17" s="1811"/>
      <c r="Y17" s="3212"/>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38"/>
      <c r="M18" s="1129"/>
      <c r="N18" s="1129"/>
      <c r="O18" s="1129"/>
      <c r="P18" s="3219"/>
      <c r="Q18" s="1808"/>
      <c r="R18" s="774"/>
      <c r="S18" s="775"/>
      <c r="T18" s="774"/>
      <c r="U18" s="775"/>
      <c r="V18" s="774"/>
      <c r="W18" s="775"/>
      <c r="X18" s="1811"/>
      <c r="Y18" s="3212"/>
      <c r="Z18" s="1812"/>
      <c r="AA18" s="1809">
        <v>1</v>
      </c>
      <c r="AB18" s="1809">
        <v>1</v>
      </c>
      <c r="AC18" s="1809">
        <v>1</v>
      </c>
    </row>
    <row r="19" spans="1:29" ht="42.75">
      <c r="A19" s="428"/>
      <c r="B19" s="451" t="s">
        <v>2088</v>
      </c>
      <c r="C19" s="2605"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9"/>
      <c r="Q19" s="1808" t="str">
        <f>B19</f>
        <v>公共配套设施</v>
      </c>
      <c r="R19" s="774" t="s">
        <v>21</v>
      </c>
      <c r="S19" s="775">
        <f>F19</f>
        <v>100</v>
      </c>
      <c r="T19" s="774" t="s">
        <v>21</v>
      </c>
      <c r="U19" s="775">
        <f>H19</f>
        <v>100</v>
      </c>
      <c r="V19" s="774" t="s">
        <v>21</v>
      </c>
      <c r="W19" s="775">
        <f>J19</f>
        <v>100</v>
      </c>
      <c r="X19" s="1811"/>
      <c r="Y19" s="3212"/>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38"/>
      <c r="M20" s="1129"/>
      <c r="N20" s="1129"/>
      <c r="O20" s="1129"/>
      <c r="P20" s="3219"/>
      <c r="Q20" s="1808"/>
      <c r="R20" s="774"/>
      <c r="S20" s="775"/>
      <c r="T20" s="774"/>
      <c r="U20" s="775"/>
      <c r="V20" s="774"/>
      <c r="W20" s="775"/>
      <c r="X20" s="1811"/>
      <c r="Y20" s="3212"/>
      <c r="Z20" s="1812"/>
      <c r="AA20" s="1809">
        <v>1</v>
      </c>
      <c r="AB20" s="1809">
        <v>1</v>
      </c>
      <c r="AC20" s="1809">
        <v>1</v>
      </c>
    </row>
    <row r="21" spans="1:29" ht="28.5">
      <c r="A21" s="428"/>
      <c r="B21" s="1382" t="s">
        <v>2090</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9"/>
      <c r="Q21" s="1808" t="str">
        <f>B21</f>
        <v>基础设施水平</v>
      </c>
      <c r="R21" s="774" t="s">
        <v>17</v>
      </c>
      <c r="S21" s="775">
        <f>F21</f>
        <v>100</v>
      </c>
      <c r="T21" s="774" t="s">
        <v>17</v>
      </c>
      <c r="U21" s="775">
        <f>H21</f>
        <v>100</v>
      </c>
      <c r="V21" s="774" t="s">
        <v>17</v>
      </c>
      <c r="W21" s="775">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8"/>
      <c r="G22" s="2609"/>
      <c r="H22" s="448"/>
      <c r="I22" s="447"/>
      <c r="J22" s="448"/>
      <c r="K22" s="2610"/>
      <c r="L22" s="1138"/>
      <c r="M22" s="1129"/>
      <c r="N22" s="1129"/>
      <c r="O22" s="1129"/>
      <c r="P22" s="3219"/>
      <c r="Q22" s="1808"/>
      <c r="R22" s="774"/>
      <c r="S22" s="775"/>
      <c r="T22" s="774"/>
      <c r="U22" s="775"/>
      <c r="V22" s="774"/>
      <c r="W22" s="775"/>
      <c r="X22" s="1811"/>
      <c r="Y22" s="3212"/>
      <c r="Z22" s="1812"/>
      <c r="AA22" s="1809">
        <v>1</v>
      </c>
      <c r="AB22" s="1809">
        <v>1</v>
      </c>
      <c r="AC22" s="1809">
        <v>1</v>
      </c>
    </row>
    <row r="23" spans="1:29" ht="57">
      <c r="A23" s="428"/>
      <c r="B23" s="451" t="s">
        <v>2092</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9"/>
      <c r="Q23" s="1808" t="str">
        <f>B23</f>
        <v>自然及人文环境</v>
      </c>
      <c r="R23" s="774" t="s">
        <v>21</v>
      </c>
      <c r="S23" s="775">
        <f>F23</f>
        <v>100</v>
      </c>
      <c r="T23" s="774" t="s">
        <v>21</v>
      </c>
      <c r="U23" s="775">
        <f>H23</f>
        <v>100</v>
      </c>
      <c r="V23" s="774" t="s">
        <v>21</v>
      </c>
      <c r="W23" s="775">
        <f>J23</f>
        <v>100</v>
      </c>
      <c r="X23" s="1811"/>
      <c r="Y23" s="3212"/>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38"/>
      <c r="M24" s="1129"/>
      <c r="N24" s="1129"/>
      <c r="O24" s="1129"/>
      <c r="P24" s="3219"/>
      <c r="Q24" s="1808"/>
      <c r="R24" s="774"/>
      <c r="S24" s="775"/>
      <c r="T24" s="774"/>
      <c r="U24" s="775"/>
      <c r="V24" s="774"/>
      <c r="W24" s="775"/>
      <c r="X24" s="1811"/>
      <c r="Y24" s="3212"/>
      <c r="Z24" s="1812"/>
      <c r="AA24" s="1809">
        <v>1</v>
      </c>
      <c r="AB24" s="1809">
        <v>1</v>
      </c>
      <c r="AC24" s="1809">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38"/>
      <c r="M25" s="1129"/>
      <c r="N25" s="1129"/>
      <c r="O25" s="1129"/>
      <c r="P25" s="3219"/>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12"/>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38"/>
      <c r="M26" s="1129"/>
      <c r="N26" s="1129"/>
      <c r="O26" s="1129"/>
      <c r="P26" s="3219"/>
      <c r="Q26" s="1808" t="str">
        <f t="shared" si="11"/>
        <v>朝向</v>
      </c>
      <c r="R26" s="774" t="s">
        <v>21</v>
      </c>
      <c r="S26" s="775">
        <f t="shared" si="12"/>
        <v>100</v>
      </c>
      <c r="T26" s="774" t="s">
        <v>21</v>
      </c>
      <c r="U26" s="775">
        <f t="shared" si="13"/>
        <v>100</v>
      </c>
      <c r="V26" s="774" t="s">
        <v>21</v>
      </c>
      <c r="W26" s="775">
        <f t="shared" si="14"/>
        <v>100</v>
      </c>
      <c r="X26" s="1811"/>
      <c r="Y26" s="3212"/>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0"/>
      <c r="M27" s="1131"/>
      <c r="N27" s="1131"/>
      <c r="O27" s="1131"/>
      <c r="P27" s="3219"/>
      <c r="Q27" s="1793">
        <f t="shared" si="11"/>
        <v>111</v>
      </c>
      <c r="R27" s="770" t="s">
        <v>21</v>
      </c>
      <c r="S27" s="771">
        <f t="shared" si="12"/>
        <v>100</v>
      </c>
      <c r="T27" s="770" t="s">
        <v>21</v>
      </c>
      <c r="U27" s="771">
        <f t="shared" si="13"/>
        <v>100</v>
      </c>
      <c r="V27" s="770" t="s">
        <v>21</v>
      </c>
      <c r="W27" s="771">
        <f t="shared" si="14"/>
        <v>100</v>
      </c>
      <c r="X27" s="772"/>
      <c r="Y27" s="3212"/>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8"/>
      <c r="M28" s="1129"/>
      <c r="N28" s="1129"/>
      <c r="O28" s="1129"/>
      <c r="P28" s="3219"/>
      <c r="Q28" s="1808">
        <f t="shared" si="11"/>
        <v>111</v>
      </c>
      <c r="R28" s="774" t="s">
        <v>21</v>
      </c>
      <c r="S28" s="775">
        <f t="shared" si="12"/>
        <v>100</v>
      </c>
      <c r="T28" s="774" t="s">
        <v>21</v>
      </c>
      <c r="U28" s="775">
        <f t="shared" si="13"/>
        <v>100</v>
      </c>
      <c r="V28" s="774" t="s">
        <v>21</v>
      </c>
      <c r="W28" s="775">
        <f t="shared" si="14"/>
        <v>100</v>
      </c>
      <c r="X28" s="1811"/>
      <c r="Y28" s="3212"/>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8"/>
      <c r="M29" s="1129"/>
      <c r="N29" s="1129"/>
      <c r="O29" s="1129"/>
      <c r="P29" s="3219"/>
      <c r="Q29" s="1808">
        <f t="shared" si="11"/>
        <v>111</v>
      </c>
      <c r="R29" s="774" t="s">
        <v>21</v>
      </c>
      <c r="S29" s="775">
        <f t="shared" si="12"/>
        <v>100</v>
      </c>
      <c r="T29" s="774" t="s">
        <v>21</v>
      </c>
      <c r="U29" s="775">
        <f t="shared" si="13"/>
        <v>100</v>
      </c>
      <c r="V29" s="774" t="s">
        <v>21</v>
      </c>
      <c r="W29" s="775">
        <f t="shared" si="14"/>
        <v>100</v>
      </c>
      <c r="X29" s="1811"/>
      <c r="Y29" s="3212"/>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8"/>
      <c r="M30" s="1129"/>
      <c r="N30" s="1129"/>
      <c r="O30" s="1129"/>
      <c r="P30" s="3219"/>
      <c r="Q30" s="1808">
        <f t="shared" si="11"/>
        <v>111</v>
      </c>
      <c r="R30" s="774" t="s">
        <v>21</v>
      </c>
      <c r="S30" s="775">
        <f t="shared" si="12"/>
        <v>100</v>
      </c>
      <c r="T30" s="774" t="s">
        <v>21</v>
      </c>
      <c r="U30" s="775">
        <f t="shared" si="13"/>
        <v>100</v>
      </c>
      <c r="V30" s="774" t="s">
        <v>21</v>
      </c>
      <c r="W30" s="775">
        <f t="shared" si="14"/>
        <v>100</v>
      </c>
      <c r="X30" s="1811"/>
      <c r="Y30" s="3212"/>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8"/>
      <c r="M31" s="1129"/>
      <c r="N31" s="1129"/>
      <c r="O31" s="1129"/>
      <c r="P31" s="3219"/>
      <c r="Q31" s="1808">
        <f t="shared" si="11"/>
        <v>111</v>
      </c>
      <c r="R31" s="774" t="s">
        <v>21</v>
      </c>
      <c r="S31" s="775">
        <f t="shared" si="12"/>
        <v>100</v>
      </c>
      <c r="T31" s="774" t="s">
        <v>21</v>
      </c>
      <c r="U31" s="775">
        <f t="shared" si="13"/>
        <v>100</v>
      </c>
      <c r="V31" s="774" t="s">
        <v>21</v>
      </c>
      <c r="W31" s="775">
        <f t="shared" si="14"/>
        <v>100</v>
      </c>
      <c r="X31" s="1811"/>
      <c r="Y31" s="3212"/>
      <c r="Z31" s="1812">
        <f t="shared" si="18"/>
        <v>111</v>
      </c>
      <c r="AA31" s="1809">
        <f t="shared" si="15"/>
        <v>1</v>
      </c>
      <c r="AB31" s="1809">
        <f t="shared" si="16"/>
        <v>1</v>
      </c>
      <c r="AC31" s="1809">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8"/>
      <c r="M32" s="1129"/>
      <c r="N32" s="1129"/>
      <c r="O32" s="1129"/>
      <c r="P32" s="3213" t="s">
        <v>2556</v>
      </c>
      <c r="Q32" s="1808" t="str">
        <f t="shared" si="11"/>
        <v>建筑类型</v>
      </c>
      <c r="R32" s="774" t="s">
        <v>21</v>
      </c>
      <c r="S32" s="775">
        <f t="shared" si="12"/>
        <v>100</v>
      </c>
      <c r="T32" s="774" t="s">
        <v>21</v>
      </c>
      <c r="U32" s="775">
        <f t="shared" si="13"/>
        <v>100</v>
      </c>
      <c r="V32" s="774" t="s">
        <v>21</v>
      </c>
      <c r="W32" s="775">
        <f t="shared" si="14"/>
        <v>100</v>
      </c>
      <c r="X32" s="1811"/>
      <c r="Y32" s="3216"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6"/>
      <c r="M33" s="1139"/>
      <c r="N33" s="1139"/>
      <c r="O33" s="1139"/>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09" t="e">
        <f t="shared" si="15"/>
        <v>#N/A</v>
      </c>
      <c r="AB33" s="1809" t="e">
        <f t="shared" si="16"/>
        <v>#N/A</v>
      </c>
      <c r="AC33" s="1809"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8"/>
      <c r="M34" s="1129"/>
      <c r="N34" s="1129"/>
      <c r="O34" s="1129"/>
      <c r="P34" s="3214"/>
      <c r="Q34" s="1808" t="str">
        <f t="shared" si="11"/>
        <v>建筑结构</v>
      </c>
      <c r="R34" s="774" t="s">
        <v>21</v>
      </c>
      <c r="S34" s="775">
        <f t="shared" si="12"/>
        <v>100</v>
      </c>
      <c r="T34" s="774" t="s">
        <v>21</v>
      </c>
      <c r="U34" s="775">
        <f t="shared" si="13"/>
        <v>100</v>
      </c>
      <c r="V34" s="774" t="s">
        <v>21</v>
      </c>
      <c r="W34" s="775">
        <f t="shared" si="14"/>
        <v>100</v>
      </c>
      <c r="X34" s="1811"/>
      <c r="Y34" s="3216"/>
      <c r="Z34" s="1812" t="str">
        <f t="shared" si="18"/>
        <v>建筑结构</v>
      </c>
      <c r="AA34" s="1809">
        <f t="shared" si="15"/>
        <v>1</v>
      </c>
      <c r="AB34" s="1809">
        <f t="shared" si="16"/>
        <v>1</v>
      </c>
      <c r="AC34" s="1809">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8"/>
      <c r="M35" s="1129"/>
      <c r="N35" s="1129"/>
      <c r="O35" s="1129"/>
      <c r="P35" s="3214"/>
      <c r="Q35" s="1808" t="str">
        <f t="shared" si="11"/>
        <v>建筑品质</v>
      </c>
      <c r="R35" s="774" t="s">
        <v>21</v>
      </c>
      <c r="S35" s="775">
        <f t="shared" si="12"/>
        <v>100</v>
      </c>
      <c r="T35" s="774" t="s">
        <v>21</v>
      </c>
      <c r="U35" s="775">
        <f t="shared" si="13"/>
        <v>100</v>
      </c>
      <c r="V35" s="774" t="s">
        <v>21</v>
      </c>
      <c r="W35" s="775">
        <f t="shared" si="14"/>
        <v>100</v>
      </c>
      <c r="X35" s="1811"/>
      <c r="Y35" s="3216"/>
      <c r="Z35" s="1812" t="str">
        <f t="shared" si="18"/>
        <v>建筑品质</v>
      </c>
      <c r="AA35" s="1809">
        <f t="shared" si="15"/>
        <v>1</v>
      </c>
      <c r="AB35" s="1809">
        <f t="shared" si="16"/>
        <v>1</v>
      </c>
      <c r="AC35" s="1809">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8"/>
      <c r="M36" s="1129"/>
      <c r="N36" s="1129"/>
      <c r="O36" s="1129"/>
      <c r="P36" s="3214"/>
      <c r="Q36" s="1808" t="str">
        <f t="shared" si="11"/>
        <v>公共部分装修</v>
      </c>
      <c r="R36" s="774" t="s">
        <v>21</v>
      </c>
      <c r="S36" s="775">
        <f t="shared" si="12"/>
        <v>100</v>
      </c>
      <c r="T36" s="774" t="s">
        <v>21</v>
      </c>
      <c r="U36" s="775">
        <f t="shared" si="13"/>
        <v>100</v>
      </c>
      <c r="V36" s="774" t="s">
        <v>21</v>
      </c>
      <c r="W36" s="775">
        <f t="shared" si="14"/>
        <v>100</v>
      </c>
      <c r="X36" s="1811"/>
      <c r="Y36" s="3216"/>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4"/>
      <c r="Q37" s="1793"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8"/>
      <c r="M38" s="1129"/>
      <c r="N38" s="1129"/>
      <c r="O38" s="1129"/>
      <c r="P38" s="3214" t="s">
        <v>2556</v>
      </c>
      <c r="Q38" s="1808" t="str">
        <f t="shared" si="11"/>
        <v>物业管理</v>
      </c>
      <c r="R38" s="774" t="s">
        <v>21</v>
      </c>
      <c r="S38" s="775">
        <f t="shared" si="12"/>
        <v>100</v>
      </c>
      <c r="T38" s="774" t="s">
        <v>21</v>
      </c>
      <c r="U38" s="775">
        <f t="shared" si="13"/>
        <v>100</v>
      </c>
      <c r="V38" s="774" t="s">
        <v>21</v>
      </c>
      <c r="W38" s="775">
        <f t="shared" si="14"/>
        <v>100</v>
      </c>
      <c r="X38" s="1811"/>
      <c r="Y38" s="3216" t="s">
        <v>2556</v>
      </c>
      <c r="Z38" s="1812" t="str">
        <f t="shared" si="18"/>
        <v>物业管理</v>
      </c>
      <c r="AA38" s="1809">
        <f t="shared" si="15"/>
        <v>1</v>
      </c>
      <c r="AB38" s="1809">
        <f t="shared" si="16"/>
        <v>1</v>
      </c>
      <c r="AC38" s="1809">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8"/>
      <c r="M39" s="1129"/>
      <c r="N39" s="1129"/>
      <c r="O39" s="1129"/>
      <c r="P39" s="3214"/>
      <c r="Q39" s="1808" t="str">
        <f t="shared" si="11"/>
        <v>市政基础设施</v>
      </c>
      <c r="R39" s="774" t="s">
        <v>21</v>
      </c>
      <c r="S39" s="775">
        <f t="shared" si="12"/>
        <v>100</v>
      </c>
      <c r="T39" s="774" t="s">
        <v>21</v>
      </c>
      <c r="U39" s="775">
        <f t="shared" si="13"/>
        <v>100</v>
      </c>
      <c r="V39" s="774" t="s">
        <v>21</v>
      </c>
      <c r="W39" s="775">
        <f t="shared" si="14"/>
        <v>100</v>
      </c>
      <c r="X39" s="1811"/>
      <c r="Y39" s="3216"/>
      <c r="Z39" s="1812" t="str">
        <f t="shared" si="18"/>
        <v>市政基础设施</v>
      </c>
      <c r="AA39" s="1809">
        <f t="shared" si="15"/>
        <v>1</v>
      </c>
      <c r="AB39" s="1809">
        <f t="shared" si="16"/>
        <v>1</v>
      </c>
      <c r="AC39" s="1809">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8"/>
      <c r="M40" s="1129"/>
      <c r="N40" s="1129"/>
      <c r="O40" s="1129"/>
      <c r="P40" s="3214"/>
      <c r="Q40" s="1808" t="str">
        <f t="shared" si="11"/>
        <v>房型</v>
      </c>
      <c r="R40" s="774" t="s">
        <v>21</v>
      </c>
      <c r="S40" s="775">
        <f t="shared" si="12"/>
        <v>100</v>
      </c>
      <c r="T40" s="774" t="s">
        <v>21</v>
      </c>
      <c r="U40" s="775">
        <f t="shared" si="13"/>
        <v>100</v>
      </c>
      <c r="V40" s="774" t="s">
        <v>21</v>
      </c>
      <c r="W40" s="775">
        <f t="shared" si="14"/>
        <v>100</v>
      </c>
      <c r="X40" s="1811"/>
      <c r="Y40" s="3216"/>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6"/>
      <c r="M41" s="1139"/>
      <c r="N41" s="1139"/>
      <c r="O41" s="1139"/>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09">
        <f t="shared" si="15"/>
        <v>1</v>
      </c>
      <c r="AB41" s="1809">
        <f t="shared" si="16"/>
        <v>1</v>
      </c>
      <c r="AC41" s="1809">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8"/>
      <c r="M42" s="1129"/>
      <c r="N42" s="1129"/>
      <c r="O42" s="1129"/>
      <c r="P42" s="3214"/>
      <c r="Q42" s="1808" t="str">
        <f t="shared" si="11"/>
        <v>内部装修</v>
      </c>
      <c r="R42" s="774" t="s">
        <v>21</v>
      </c>
      <c r="S42" s="775">
        <f t="shared" si="12"/>
        <v>100</v>
      </c>
      <c r="T42" s="774" t="s">
        <v>21</v>
      </c>
      <c r="U42" s="775">
        <f t="shared" si="13"/>
        <v>100</v>
      </c>
      <c r="V42" s="774" t="s">
        <v>21</v>
      </c>
      <c r="W42" s="775">
        <f t="shared" si="14"/>
        <v>100</v>
      </c>
      <c r="X42" s="1811"/>
      <c r="Y42" s="3216"/>
      <c r="Z42" s="1812" t="str">
        <f t="shared" si="18"/>
        <v>内部装修</v>
      </c>
      <c r="AA42" s="1809">
        <f t="shared" si="15"/>
        <v>1</v>
      </c>
      <c r="AB42" s="1809">
        <f t="shared" si="16"/>
        <v>1</v>
      </c>
      <c r="AC42" s="1809">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8"/>
      <c r="M43" s="1129"/>
      <c r="N43" s="1129"/>
      <c r="O43" s="1129"/>
      <c r="P43" s="3214"/>
      <c r="Q43" s="1808" t="str">
        <f t="shared" si="11"/>
        <v>内部装修维护情况</v>
      </c>
      <c r="R43" s="774" t="s">
        <v>21</v>
      </c>
      <c r="S43" s="775">
        <f t="shared" si="12"/>
        <v>100</v>
      </c>
      <c r="T43" s="774" t="s">
        <v>21</v>
      </c>
      <c r="U43" s="775">
        <f t="shared" si="13"/>
        <v>100</v>
      </c>
      <c r="V43" s="774" t="s">
        <v>21</v>
      </c>
      <c r="W43" s="775">
        <f t="shared" si="14"/>
        <v>100</v>
      </c>
      <c r="X43" s="1811"/>
      <c r="Y43" s="3216"/>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0"/>
      <c r="M44" s="1131"/>
      <c r="N44" s="1131"/>
      <c r="O44" s="1131"/>
      <c r="P44" s="3214"/>
      <c r="Q44" s="1793">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8"/>
      <c r="M45" s="1129"/>
      <c r="N45" s="1129"/>
      <c r="O45" s="1129"/>
      <c r="P45" s="3214"/>
      <c r="Q45" s="1808">
        <f t="shared" si="11"/>
        <v>111</v>
      </c>
      <c r="R45" s="774" t="s">
        <v>21</v>
      </c>
      <c r="S45" s="775">
        <f t="shared" si="12"/>
        <v>100</v>
      </c>
      <c r="T45" s="774" t="s">
        <v>21</v>
      </c>
      <c r="U45" s="775">
        <f t="shared" si="13"/>
        <v>100</v>
      </c>
      <c r="V45" s="774" t="s">
        <v>21</v>
      </c>
      <c r="W45" s="775">
        <f t="shared" si="14"/>
        <v>100</v>
      </c>
      <c r="X45" s="1811"/>
      <c r="Y45" s="3216"/>
      <c r="Z45" s="1812">
        <f t="shared" si="18"/>
        <v>111</v>
      </c>
      <c r="AA45" s="1809">
        <f t="shared" si="15"/>
        <v>1</v>
      </c>
      <c r="AB45" s="1809">
        <f t="shared" si="16"/>
        <v>1</v>
      </c>
      <c r="AC45" s="1809">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8"/>
      <c r="M46" s="1129"/>
      <c r="N46" s="1129"/>
      <c r="O46" s="1129"/>
      <c r="P46" s="3215"/>
      <c r="Q46" s="1808">
        <f t="shared" si="11"/>
        <v>111</v>
      </c>
      <c r="R46" s="774" t="s">
        <v>20</v>
      </c>
      <c r="S46" s="775">
        <f t="shared" si="12"/>
        <v>100</v>
      </c>
      <c r="T46" s="774" t="s">
        <v>20</v>
      </c>
      <c r="U46" s="775">
        <f t="shared" si="13"/>
        <v>100</v>
      </c>
      <c r="V46" s="774" t="s">
        <v>20</v>
      </c>
      <c r="W46" s="775">
        <f t="shared" si="14"/>
        <v>100</v>
      </c>
      <c r="X46" s="1811"/>
      <c r="Y46" s="3217"/>
      <c r="Z46" s="1812">
        <f t="shared" si="18"/>
        <v>111</v>
      </c>
      <c r="AA46" s="1809">
        <f t="shared" si="15"/>
        <v>1</v>
      </c>
      <c r="AB46" s="1809">
        <f t="shared" si="16"/>
        <v>1</v>
      </c>
      <c r="AC46" s="1809">
        <f t="shared" si="17"/>
        <v>1</v>
      </c>
    </row>
    <row r="47" spans="1:29" ht="15">
      <c r="A47" s="479" t="s">
        <v>2568</v>
      </c>
      <c r="B47" s="480"/>
      <c r="C47" s="1405" t="s">
        <v>19</v>
      </c>
      <c r="D47" s="1406"/>
      <c r="E47" s="1407"/>
      <c r="F47" s="1408"/>
      <c r="G47" s="1409"/>
      <c r="H47" s="1410"/>
      <c r="I47" s="1407"/>
      <c r="J47" s="1410"/>
      <c r="K47" s="2619"/>
      <c r="L47" s="1141"/>
      <c r="M47" s="1142"/>
      <c r="N47" s="1129"/>
      <c r="O47" s="1142"/>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75" thickBot="1">
      <c r="A48" s="486" t="s">
        <v>2569</v>
      </c>
      <c r="B48" s="487"/>
      <c r="C48" s="1411" t="e">
        <f>R49</f>
        <v>#DIV/0!</v>
      </c>
      <c r="D48" s="1412"/>
      <c r="E48" s="1413" t="e">
        <f>R48</f>
        <v>#DIV/0!</v>
      </c>
      <c r="F48" s="1413"/>
      <c r="G48" s="1411" t="e">
        <f>T48</f>
        <v>#DIV/0!</v>
      </c>
      <c r="H48" s="1412"/>
      <c r="I48" s="1413" t="e">
        <f>V48</f>
        <v>#DIV/0!</v>
      </c>
      <c r="J48" s="1412"/>
      <c r="K48" s="2620"/>
      <c r="L48" s="1141"/>
      <c r="M48" s="1142"/>
      <c r="N48" s="1142"/>
      <c r="O48" s="1142"/>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2570</v>
      </c>
      <c r="B49" s="493"/>
      <c r="C49" s="1414" t="e">
        <f>R49</f>
        <v>#DIV/0!</v>
      </c>
      <c r="D49" s="1415"/>
      <c r="E49" s="1415"/>
      <c r="F49" s="1415"/>
      <c r="G49" s="1415"/>
      <c r="H49" s="1415"/>
      <c r="I49" s="1415"/>
      <c r="J49" s="1415"/>
      <c r="K49" s="2621"/>
      <c r="L49" s="1141"/>
      <c r="M49" s="1142"/>
      <c r="N49" s="1142"/>
      <c r="O49" s="1142"/>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3"/>
    </row>
    <row r="55" spans="1:29" s="502"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3" t="s">
        <v>2574</v>
      </c>
      <c r="B57" s="759"/>
      <c r="C57" s="764"/>
      <c r="D57" s="764"/>
      <c r="E57" s="764"/>
      <c r="F57" s="765"/>
      <c r="G57" s="765"/>
      <c r="H57" s="764"/>
      <c r="I57" s="764"/>
      <c r="J57" s="764"/>
      <c r="K57" s="1158"/>
      <c r="L57" s="1159"/>
      <c r="M57" s="1157"/>
      <c r="N57" s="1157"/>
      <c r="O57" s="1157"/>
      <c r="P57" s="2624"/>
      <c r="Q57" s="504"/>
    </row>
    <row r="58" spans="1:29" s="508" customFormat="1" ht="15">
      <c r="A58" s="505" t="s">
        <v>2575</v>
      </c>
      <c r="B58" s="506"/>
      <c r="C58" s="1574" t="str">
        <f>YEAR(C7)&amp;"-"&amp;MONTH(C7)</f>
        <v>2018-3</v>
      </c>
      <c r="D58" s="1573">
        <f>EDATE(C58,-1)</f>
        <v>43132</v>
      </c>
      <c r="E58" s="1573">
        <f>EDATE(D58,-1)</f>
        <v>43101</v>
      </c>
      <c r="F58" s="1573">
        <f t="shared" ref="F58:O58" si="19">EDATE(E58,-1)</f>
        <v>43070</v>
      </c>
      <c r="G58" s="1573">
        <f t="shared" si="19"/>
        <v>43040</v>
      </c>
      <c r="H58" s="1573">
        <f t="shared" si="19"/>
        <v>43009</v>
      </c>
      <c r="I58" s="1573">
        <f t="shared" si="19"/>
        <v>42979</v>
      </c>
      <c r="J58" s="1573">
        <f t="shared" si="19"/>
        <v>42948</v>
      </c>
      <c r="K58" s="1573">
        <f t="shared" si="19"/>
        <v>42917</v>
      </c>
      <c r="L58" s="1573">
        <f t="shared" si="19"/>
        <v>42887</v>
      </c>
      <c r="M58" s="1573">
        <f t="shared" si="19"/>
        <v>42856</v>
      </c>
      <c r="N58" s="1573">
        <f t="shared" si="19"/>
        <v>42826</v>
      </c>
      <c r="O58" s="1573">
        <f t="shared" si="19"/>
        <v>42795</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2579</v>
      </c>
      <c r="B63" s="528" t="s">
        <v>2545</v>
      </c>
      <c r="C63" s="529">
        <f>C9</f>
        <v>0</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0"/>
      <c r="O65" s="1150"/>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8"/>
      <c r="Q67" s="504"/>
    </row>
    <row r="68" spans="1:17" ht="15">
      <c r="A68" s="534"/>
      <c r="B68" s="548"/>
      <c r="C68" s="549"/>
      <c r="D68" s="549"/>
      <c r="E68" s="549"/>
      <c r="F68" s="549"/>
      <c r="G68" s="549"/>
      <c r="H68" s="549"/>
      <c r="I68" s="549"/>
      <c r="J68" s="549"/>
      <c r="K68" s="550"/>
      <c r="L68" s="551"/>
      <c r="M68" s="552"/>
      <c r="N68" s="1150"/>
      <c r="O68" s="1150"/>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8"/>
      <c r="Q69" s="504"/>
    </row>
    <row r="70" spans="1:17" s="471" customFormat="1" ht="15.75" thickTop="1">
      <c r="A70" s="553"/>
      <c r="B70" s="538">
        <f>B12</f>
        <v>111</v>
      </c>
      <c r="C70" s="554"/>
      <c r="D70" s="554"/>
      <c r="E70" s="554"/>
      <c r="F70" s="554"/>
      <c r="G70" s="554"/>
      <c r="H70" s="555"/>
      <c r="I70" s="555"/>
      <c r="J70" s="555"/>
      <c r="K70" s="555"/>
      <c r="L70" s="556"/>
      <c r="M70" s="557"/>
      <c r="N70" s="1152"/>
      <c r="O70" s="1152"/>
      <c r="P70" s="2629"/>
      <c r="Q70" s="559"/>
    </row>
    <row r="71" spans="1:17" s="471" customFormat="1" ht="15.75" thickBot="1">
      <c r="A71" s="553"/>
      <c r="B71" s="543"/>
      <c r="C71" s="560"/>
      <c r="D71" s="536"/>
      <c r="E71" s="536"/>
      <c r="F71" s="536"/>
      <c r="G71" s="536"/>
      <c r="H71" s="536"/>
      <c r="I71" s="536"/>
      <c r="J71" s="536"/>
      <c r="K71" s="536"/>
      <c r="L71" s="536"/>
      <c r="M71" s="537"/>
      <c r="N71" s="1151"/>
      <c r="O71" s="1151"/>
      <c r="P71" s="2629"/>
      <c r="Q71" s="559"/>
    </row>
    <row r="72" spans="1:17" s="471" customFormat="1" ht="15.75" thickTop="1">
      <c r="A72" s="553"/>
      <c r="B72" s="538">
        <f>B13</f>
        <v>111</v>
      </c>
      <c r="C72" s="554"/>
      <c r="D72" s="554"/>
      <c r="E72" s="554"/>
      <c r="F72" s="554"/>
      <c r="G72" s="554"/>
      <c r="H72" s="555"/>
      <c r="I72" s="555"/>
      <c r="J72" s="555"/>
      <c r="K72" s="555"/>
      <c r="L72" s="556"/>
      <c r="M72" s="557"/>
      <c r="N72" s="1152"/>
      <c r="O72" s="1152"/>
      <c r="P72" s="2630"/>
      <c r="Q72" s="561"/>
    </row>
    <row r="73" spans="1:17" s="471" customFormat="1" ht="15.75" thickBot="1">
      <c r="A73" s="553"/>
      <c r="B73" s="543"/>
      <c r="C73" s="560"/>
      <c r="D73" s="560"/>
      <c r="E73" s="560"/>
      <c r="F73" s="560"/>
      <c r="G73" s="560"/>
      <c r="H73" s="562"/>
      <c r="I73" s="562"/>
      <c r="J73" s="562"/>
      <c r="K73" s="562"/>
      <c r="L73" s="562"/>
      <c r="M73" s="563"/>
      <c r="N73" s="1152"/>
      <c r="O73" s="1152"/>
      <c r="P73" s="2629"/>
      <c r="Q73" s="559"/>
    </row>
    <row r="74" spans="1:17" s="471" customFormat="1" ht="15.75" thickTop="1">
      <c r="A74" s="553"/>
      <c r="B74" s="546">
        <f>B14</f>
        <v>111</v>
      </c>
      <c r="C74" s="554"/>
      <c r="D74" s="554"/>
      <c r="E74" s="554"/>
      <c r="F74" s="554"/>
      <c r="G74" s="523"/>
      <c r="H74" s="564"/>
      <c r="I74" s="564"/>
      <c r="J74" s="564"/>
      <c r="K74" s="564"/>
      <c r="L74" s="565"/>
      <c r="M74" s="566"/>
      <c r="N74" s="1152"/>
      <c r="O74" s="1152"/>
      <c r="P74" s="2631"/>
      <c r="Q74" s="559"/>
    </row>
    <row r="75" spans="1:17" s="471" customFormat="1" ht="15.75" thickBot="1">
      <c r="A75" s="568"/>
      <c r="B75" s="569"/>
      <c r="C75" s="570"/>
      <c r="D75" s="570"/>
      <c r="E75" s="570"/>
      <c r="F75" s="570"/>
      <c r="G75" s="570"/>
      <c r="H75" s="571"/>
      <c r="I75" s="571"/>
      <c r="J75" s="571"/>
      <c r="K75" s="571"/>
      <c r="L75" s="571"/>
      <c r="M75" s="572"/>
      <c r="N75" s="1152"/>
      <c r="O75" s="1152"/>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0"/>
      <c r="O76" s="1150"/>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0"/>
      <c r="O78" s="1150"/>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0"/>
      <c r="O80" s="1150"/>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8"/>
      <c r="Q81" s="504"/>
    </row>
    <row r="82" spans="1:17" ht="15.75" thickTop="1">
      <c r="A82" s="534"/>
      <c r="B82" s="546" t="s">
        <v>2090</v>
      </c>
      <c r="C82" s="539" t="s">
        <v>2595</v>
      </c>
      <c r="D82" s="539" t="s">
        <v>2596</v>
      </c>
      <c r="E82" s="539" t="s">
        <v>2597</v>
      </c>
      <c r="F82" s="539" t="s">
        <v>2598</v>
      </c>
      <c r="G82" s="539" t="s">
        <v>2599</v>
      </c>
      <c r="H82" s="539"/>
      <c r="I82" s="539"/>
      <c r="J82" s="539"/>
      <c r="K82" s="539"/>
      <c r="L82" s="539"/>
      <c r="M82" s="1380"/>
      <c r="N82" s="1151"/>
      <c r="O82" s="1151"/>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0"/>
      <c r="O84" s="1150"/>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8"/>
      <c r="Q85" s="504"/>
    </row>
    <row r="86" spans="1:17" s="117" customFormat="1" ht="15.75" thickTop="1">
      <c r="A86" s="579"/>
      <c r="B86" s="538" t="s">
        <v>2601</v>
      </c>
      <c r="C86" s="554"/>
      <c r="D86" s="554"/>
      <c r="E86" s="554"/>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8"/>
      <c r="Q87" s="504"/>
    </row>
    <row r="88" spans="1:17" s="117" customFormat="1" ht="15.75" thickTop="1">
      <c r="A88" s="579"/>
      <c r="B88" s="538" t="s">
        <v>2602</v>
      </c>
      <c r="C88" s="554"/>
      <c r="D88" s="554"/>
      <c r="E88" s="554"/>
      <c r="F88" s="2633"/>
      <c r="G88" s="554"/>
      <c r="H88" s="554"/>
      <c r="I88" s="554"/>
      <c r="J88" s="554"/>
      <c r="K88" s="554"/>
      <c r="L88" s="554"/>
      <c r="M88" s="581"/>
      <c r="N88" s="1149"/>
      <c r="O88" s="1149"/>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8"/>
      <c r="Q89" s="504"/>
    </row>
    <row r="90" spans="1:17" s="471" customFormat="1" ht="15.75" thickTop="1">
      <c r="A90" s="553"/>
      <c r="B90" s="538">
        <f>B27</f>
        <v>111</v>
      </c>
      <c r="C90" s="554"/>
      <c r="D90" s="554"/>
      <c r="E90" s="554"/>
      <c r="F90" s="554"/>
      <c r="G90" s="554"/>
      <c r="H90" s="555"/>
      <c r="I90" s="555"/>
      <c r="J90" s="555"/>
      <c r="K90" s="555"/>
      <c r="L90" s="556"/>
      <c r="M90" s="557"/>
      <c r="N90" s="1152"/>
      <c r="O90" s="1152"/>
      <c r="P90" s="2629"/>
      <c r="Q90" s="559"/>
    </row>
    <row r="91" spans="1:17" s="471" customFormat="1" ht="15.75" thickBot="1">
      <c r="A91" s="553"/>
      <c r="B91" s="543"/>
      <c r="C91" s="560"/>
      <c r="D91" s="560"/>
      <c r="E91" s="560"/>
      <c r="F91" s="560"/>
      <c r="G91" s="560"/>
      <c r="H91" s="562"/>
      <c r="I91" s="562"/>
      <c r="J91" s="562"/>
      <c r="K91" s="562"/>
      <c r="L91" s="562"/>
      <c r="M91" s="563"/>
      <c r="N91" s="1152"/>
      <c r="O91" s="1152"/>
      <c r="P91" s="2629"/>
      <c r="Q91" s="559"/>
    </row>
    <row r="92" spans="1:17" ht="15.75" thickTop="1">
      <c r="A92" s="534"/>
      <c r="B92" s="538">
        <f>B28</f>
        <v>111</v>
      </c>
      <c r="C92" s="554"/>
      <c r="D92" s="554"/>
      <c r="E92" s="554"/>
      <c r="F92" s="554"/>
      <c r="G92" s="583"/>
      <c r="H92" s="583"/>
      <c r="I92" s="583"/>
      <c r="J92" s="583"/>
      <c r="K92" s="584"/>
      <c r="L92" s="585"/>
      <c r="M92" s="586"/>
      <c r="N92" s="1150"/>
      <c r="O92" s="1150"/>
      <c r="P92" s="2628"/>
      <c r="Q92" s="504"/>
    </row>
    <row r="93" spans="1:17" ht="15.75" thickBot="1">
      <c r="A93" s="534"/>
      <c r="B93" s="543"/>
      <c r="C93" s="560"/>
      <c r="D93" s="536"/>
      <c r="E93" s="536"/>
      <c r="F93" s="536"/>
      <c r="G93" s="536"/>
      <c r="H93" s="536"/>
      <c r="I93" s="536"/>
      <c r="J93" s="536"/>
      <c r="K93" s="536"/>
      <c r="L93" s="536"/>
      <c r="M93" s="537"/>
      <c r="N93" s="1151"/>
      <c r="O93" s="1151"/>
      <c r="P93" s="2628"/>
      <c r="Q93" s="504"/>
    </row>
    <row r="94" spans="1:17" ht="15.75" thickTop="1">
      <c r="A94" s="534"/>
      <c r="B94" s="538">
        <f>B29</f>
        <v>111</v>
      </c>
      <c r="C94" s="554"/>
      <c r="D94" s="554"/>
      <c r="E94" s="554"/>
      <c r="F94" s="554"/>
      <c r="G94" s="583"/>
      <c r="H94" s="583"/>
      <c r="I94" s="583"/>
      <c r="J94" s="583"/>
      <c r="K94" s="584"/>
      <c r="L94" s="585"/>
      <c r="M94" s="586"/>
      <c r="N94" s="1150"/>
      <c r="O94" s="1150"/>
      <c r="P94" s="2628"/>
      <c r="Q94" s="504"/>
    </row>
    <row r="95" spans="1:17" ht="15.75" thickBot="1">
      <c r="A95" s="534"/>
      <c r="B95" s="543"/>
      <c r="C95" s="560"/>
      <c r="D95" s="560"/>
      <c r="E95" s="560"/>
      <c r="F95" s="560"/>
      <c r="G95" s="536"/>
      <c r="H95" s="536"/>
      <c r="I95" s="536"/>
      <c r="J95" s="536"/>
      <c r="K95" s="536"/>
      <c r="L95" s="536"/>
      <c r="M95" s="537"/>
      <c r="N95" s="1151"/>
      <c r="O95" s="1151"/>
      <c r="P95" s="2628"/>
      <c r="Q95" s="504"/>
    </row>
    <row r="96" spans="1:17" ht="15.75" thickTop="1">
      <c r="A96" s="534"/>
      <c r="B96" s="538">
        <f>B30</f>
        <v>111</v>
      </c>
      <c r="C96" s="554"/>
      <c r="D96" s="554"/>
      <c r="E96" s="554"/>
      <c r="F96" s="554"/>
      <c r="G96" s="583"/>
      <c r="H96" s="583"/>
      <c r="I96" s="583"/>
      <c r="J96" s="583"/>
      <c r="K96" s="584"/>
      <c r="L96" s="585"/>
      <c r="M96" s="586"/>
      <c r="N96" s="1150"/>
      <c r="O96" s="1150"/>
      <c r="P96" s="2628"/>
      <c r="Q96" s="504"/>
    </row>
    <row r="97" spans="1:17" ht="15.75" thickBot="1">
      <c r="A97" s="534"/>
      <c r="B97" s="543"/>
      <c r="C97" s="570"/>
      <c r="D97" s="570"/>
      <c r="E97" s="570"/>
      <c r="F97" s="570"/>
      <c r="G97" s="536"/>
      <c r="H97" s="536"/>
      <c r="I97" s="536"/>
      <c r="J97" s="536"/>
      <c r="K97" s="536"/>
      <c r="L97" s="536"/>
      <c r="M97" s="537"/>
      <c r="N97" s="1151"/>
      <c r="O97" s="1151"/>
      <c r="P97" s="2628"/>
      <c r="Q97" s="504"/>
    </row>
    <row r="98" spans="1:17" ht="15.75" thickTop="1">
      <c r="A98" s="534"/>
      <c r="B98" s="546">
        <f>B31</f>
        <v>111</v>
      </c>
      <c r="C98" s="587"/>
      <c r="D98" s="587"/>
      <c r="E98" s="587"/>
      <c r="F98" s="587"/>
      <c r="G98" s="587"/>
      <c r="H98" s="587"/>
      <c r="I98" s="587"/>
      <c r="J98" s="587"/>
      <c r="K98" s="588"/>
      <c r="L98" s="589"/>
      <c r="M98" s="590"/>
      <c r="N98" s="1150"/>
      <c r="O98" s="1150"/>
      <c r="P98" s="2628"/>
      <c r="Q98" s="504"/>
    </row>
    <row r="99" spans="1:17" ht="15.75" thickBot="1">
      <c r="A99" s="2634"/>
      <c r="B99" s="569"/>
      <c r="C99" s="591"/>
      <c r="D99" s="591"/>
      <c r="E99" s="591"/>
      <c r="F99" s="591"/>
      <c r="G99" s="591"/>
      <c r="H99" s="591"/>
      <c r="I99" s="591"/>
      <c r="J99" s="591"/>
      <c r="K99" s="591"/>
      <c r="L99" s="591"/>
      <c r="M99" s="592"/>
      <c r="N99" s="1151"/>
      <c r="O99" s="1151"/>
      <c r="P99" s="2628"/>
      <c r="Q99" s="504"/>
    </row>
    <row r="100" spans="1:17">
      <c r="A100" s="527" t="s">
        <v>2554</v>
      </c>
      <c r="B100" s="528" t="s">
        <v>2603</v>
      </c>
      <c r="C100" s="530"/>
      <c r="D100" s="530"/>
      <c r="E100" s="530"/>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8"/>
      <c r="Q102" s="504"/>
    </row>
    <row r="103" spans="1:17" s="471" customFormat="1">
      <c r="A103" s="593"/>
      <c r="B103" s="594"/>
      <c r="C103" s="595"/>
      <c r="D103" s="595"/>
      <c r="E103" s="595"/>
      <c r="F103" s="595"/>
      <c r="G103" s="595"/>
      <c r="H103" s="595"/>
      <c r="I103" s="595"/>
      <c r="J103" s="596"/>
      <c r="K103" s="596"/>
      <c r="L103" s="597"/>
      <c r="M103" s="598"/>
      <c r="N103" s="1152"/>
      <c r="O103" s="1152"/>
      <c r="P103" s="2629"/>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9"/>
      <c r="Q104" s="559"/>
    </row>
    <row r="105" spans="1:17" ht="15" thickTop="1">
      <c r="A105" s="599"/>
      <c r="B105" s="538" t="s">
        <v>2605</v>
      </c>
      <c r="C105" s="554"/>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8"/>
      <c r="Q106" s="504"/>
    </row>
    <row r="107" spans="1:17" ht="15" thickTop="1">
      <c r="A107" s="599"/>
      <c r="B107" s="538" t="s">
        <v>2606</v>
      </c>
      <c r="C107" s="583"/>
      <c r="D107" s="583"/>
      <c r="E107" s="583"/>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8"/>
      <c r="Q108" s="504"/>
    </row>
    <row r="109" spans="1:17" ht="15" thickTop="1">
      <c r="A109" s="599"/>
      <c r="B109" s="538" t="s">
        <v>2607</v>
      </c>
      <c r="C109" s="554"/>
      <c r="D109" s="554"/>
      <c r="E109" s="554"/>
      <c r="F109" s="583"/>
      <c r="G109" s="583"/>
      <c r="H109" s="583"/>
      <c r="I109" s="583"/>
      <c r="J109" s="583"/>
      <c r="K109" s="584"/>
      <c r="L109" s="585"/>
      <c r="M109" s="586"/>
      <c r="N109" s="1150"/>
      <c r="O109" s="1150"/>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9"/>
      <c r="Q113" s="559"/>
    </row>
    <row r="114" spans="1:17" ht="15" thickTop="1">
      <c r="A114" s="599"/>
      <c r="B114" s="538" t="s">
        <v>2608</v>
      </c>
      <c r="C114" s="554"/>
      <c r="D114" s="554"/>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8"/>
      <c r="Q115" s="504"/>
    </row>
    <row r="116" spans="1:17" ht="15" thickTop="1">
      <c r="A116" s="599"/>
      <c r="B116" s="538" t="s">
        <v>2609</v>
      </c>
      <c r="C116" s="554"/>
      <c r="D116" s="554"/>
      <c r="E116" s="554"/>
      <c r="F116" s="554"/>
      <c r="G116" s="554"/>
      <c r="H116" s="583"/>
      <c r="I116" s="583"/>
      <c r="J116" s="583"/>
      <c r="K116" s="584"/>
      <c r="L116" s="585"/>
      <c r="M116" s="586"/>
      <c r="N116" s="1150"/>
      <c r="O116" s="1150"/>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8"/>
      <c r="Q117" s="504"/>
    </row>
    <row r="118" spans="1:17" ht="15" thickTop="1">
      <c r="A118" s="599"/>
      <c r="B118" s="538" t="s">
        <v>2610</v>
      </c>
      <c r="C118" s="583"/>
      <c r="D118" s="583"/>
      <c r="E118" s="583"/>
      <c r="F118" s="583"/>
      <c r="G118" s="583"/>
      <c r="H118" s="583"/>
      <c r="I118" s="583"/>
      <c r="J118" s="583"/>
      <c r="K118" s="584"/>
      <c r="L118" s="585"/>
      <c r="M118" s="586"/>
      <c r="N118" s="1150"/>
      <c r="O118" s="1150"/>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8"/>
      <c r="Q119" s="504"/>
    </row>
    <row r="120" spans="1:17" s="471" customFormat="1" ht="28.5" thickTop="1">
      <c r="A120" s="593"/>
      <c r="B120" s="538" t="s">
        <v>2565</v>
      </c>
      <c r="C120" s="554"/>
      <c r="D120" s="554"/>
      <c r="E120" s="554"/>
      <c r="F120" s="554"/>
      <c r="G120" s="554"/>
      <c r="H120" s="554"/>
      <c r="I120" s="554"/>
      <c r="J120" s="554"/>
      <c r="K120" s="554"/>
      <c r="L120" s="580"/>
      <c r="M120" s="581"/>
      <c r="N120" s="1152"/>
      <c r="O120" s="1152"/>
      <c r="P120" s="2629"/>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9"/>
      <c r="Q121" s="559"/>
    </row>
    <row r="122" spans="1:17" ht="15" thickTop="1">
      <c r="A122" s="599"/>
      <c r="B122" s="538" t="s">
        <v>2611</v>
      </c>
      <c r="C122" s="554"/>
      <c r="D122" s="554"/>
      <c r="E122" s="554"/>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0"/>
      <c r="O124" s="1150"/>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8"/>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9"/>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9"/>
      <c r="Q127" s="559"/>
    </row>
    <row r="128" spans="1:17" ht="15" thickTop="1">
      <c r="A128" s="599"/>
      <c r="B128" s="538">
        <f>B45</f>
        <v>111</v>
      </c>
      <c r="C128" s="554"/>
      <c r="D128" s="554"/>
      <c r="E128" s="554"/>
      <c r="F128" s="554"/>
      <c r="G128" s="583"/>
      <c r="H128" s="583"/>
      <c r="I128" s="583"/>
      <c r="J128" s="583"/>
      <c r="K128" s="584"/>
      <c r="L128" s="585"/>
      <c r="M128" s="586"/>
      <c r="N128" s="1150"/>
      <c r="O128" s="1150"/>
      <c r="P128" s="2628"/>
      <c r="Q128" s="504"/>
    </row>
    <row r="129" spans="1:17" ht="15.75" thickBot="1">
      <c r="A129" s="534"/>
      <c r="B129" s="543"/>
      <c r="C129" s="560"/>
      <c r="D129" s="560"/>
      <c r="E129" s="560"/>
      <c r="F129" s="560"/>
      <c r="G129" s="536"/>
      <c r="H129" s="536"/>
      <c r="I129" s="536"/>
      <c r="J129" s="536"/>
      <c r="K129" s="536"/>
      <c r="L129" s="536"/>
      <c r="M129" s="537"/>
      <c r="N129" s="1151"/>
      <c r="O129" s="1151"/>
      <c r="P129" s="2628"/>
      <c r="Q129" s="504"/>
    </row>
    <row r="130" spans="1:17" ht="15" thickTop="1">
      <c r="A130" s="599"/>
      <c r="B130" s="546">
        <f>B46</f>
        <v>111</v>
      </c>
      <c r="C130" s="554"/>
      <c r="D130" s="554"/>
      <c r="E130" s="554"/>
      <c r="F130" s="554"/>
      <c r="G130" s="587"/>
      <c r="H130" s="587"/>
      <c r="I130" s="587"/>
      <c r="J130" s="587"/>
      <c r="K130" s="523"/>
      <c r="L130" s="524"/>
      <c r="M130" s="590"/>
      <c r="N130" s="1150"/>
      <c r="O130" s="1150"/>
      <c r="P130" s="2628"/>
      <c r="Q130" s="504"/>
    </row>
    <row r="131" spans="1:17" ht="15.75" thickBot="1">
      <c r="A131" s="2634"/>
      <c r="B131" s="569"/>
      <c r="C131" s="570"/>
      <c r="D131" s="570"/>
      <c r="E131" s="570"/>
      <c r="F131" s="570"/>
      <c r="G131" s="591"/>
      <c r="H131" s="591"/>
      <c r="I131" s="591"/>
      <c r="J131" s="591"/>
      <c r="K131" s="591"/>
      <c r="L131" s="591"/>
      <c r="M131" s="592"/>
      <c r="N131" s="1151"/>
      <c r="O131" s="1151"/>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2">
        <v>6</v>
      </c>
      <c r="C139" s="1083">
        <v>96</v>
      </c>
      <c r="D139" s="2646" t="s">
        <v>2622</v>
      </c>
      <c r="E139" s="1084">
        <v>100</v>
      </c>
      <c r="F139" s="1085">
        <v>102.5</v>
      </c>
      <c r="G139" s="2646" t="s">
        <v>2622</v>
      </c>
      <c r="H139" s="1086">
        <v>105</v>
      </c>
      <c r="I139" s="2647" t="s">
        <v>2623</v>
      </c>
      <c r="J139" s="1083">
        <v>20</v>
      </c>
      <c r="K139" s="1087">
        <f>C145/(J139-2)</f>
        <v>4.0555555555555553E-3</v>
      </c>
    </row>
    <row r="140" spans="1:17" ht="15">
      <c r="B140" s="1088">
        <v>5</v>
      </c>
      <c r="C140" s="1089">
        <v>100</v>
      </c>
      <c r="D140" s="1089"/>
      <c r="E140" s="1090"/>
      <c r="F140" s="1091">
        <v>102</v>
      </c>
      <c r="G140" s="1089"/>
      <c r="H140" s="1092"/>
      <c r="I140" s="2648" t="s">
        <v>2624</v>
      </c>
      <c r="J140" s="315">
        <f>ROUNDUP((J139-1)/2,0)</f>
        <v>10</v>
      </c>
      <c r="K140" s="1093">
        <v>100</v>
      </c>
    </row>
    <row r="141" spans="1:17" ht="15">
      <c r="B141" s="1088">
        <v>4</v>
      </c>
      <c r="C141" s="1089">
        <v>102</v>
      </c>
      <c r="D141" s="1089"/>
      <c r="E141" s="1090"/>
      <c r="F141" s="1091">
        <v>101.5</v>
      </c>
      <c r="G141" s="1089"/>
      <c r="H141" s="1092"/>
      <c r="I141" s="2648" t="s">
        <v>2625</v>
      </c>
      <c r="J141" s="315">
        <v>1</v>
      </c>
      <c r="K141" s="1094">
        <f>ROUND(100+(J141-J140)*K139*100,1)</f>
        <v>96.4</v>
      </c>
    </row>
    <row r="142" spans="1:17" ht="15">
      <c r="B142" s="1088">
        <v>3</v>
      </c>
      <c r="C142" s="1089">
        <v>103</v>
      </c>
      <c r="D142" s="1089"/>
      <c r="E142" s="1090"/>
      <c r="F142" s="1091">
        <v>101</v>
      </c>
      <c r="G142" s="1089"/>
      <c r="H142" s="1092"/>
      <c r="I142" s="2648" t="s">
        <v>2626</v>
      </c>
      <c r="J142" s="315">
        <f>J139</f>
        <v>20</v>
      </c>
      <c r="K142" s="1095">
        <v>95</v>
      </c>
    </row>
    <row r="143" spans="1:17" ht="15">
      <c r="B143" s="1088">
        <v>2</v>
      </c>
      <c r="C143" s="1089">
        <v>100</v>
      </c>
      <c r="D143" s="1089"/>
      <c r="E143" s="1090"/>
      <c r="F143" s="1091">
        <v>100.5</v>
      </c>
      <c r="G143" s="1089"/>
      <c r="H143" s="1092"/>
      <c r="I143" s="2648" t="s">
        <v>2627</v>
      </c>
      <c r="J143" s="1089">
        <v>15</v>
      </c>
      <c r="K143" s="1094">
        <f>ROUND(100+(J143-J140)*K139*100,1)</f>
        <v>102</v>
      </c>
    </row>
    <row r="144" spans="1:17" ht="15">
      <c r="B144" s="1088">
        <v>1</v>
      </c>
      <c r="C144" s="1089">
        <v>98</v>
      </c>
      <c r="D144" s="2649" t="s">
        <v>2628</v>
      </c>
      <c r="E144" s="1090">
        <v>102</v>
      </c>
      <c r="F144" s="1096">
        <v>100</v>
      </c>
      <c r="G144" s="2649" t="s">
        <v>2628</v>
      </c>
      <c r="H144" s="1092">
        <v>105</v>
      </c>
      <c r="I144" s="2648" t="s">
        <v>2627</v>
      </c>
      <c r="J144" s="1089">
        <v>18</v>
      </c>
      <c r="K144" s="1094">
        <f>ROUND(100+(J144-J140)*K139*100,1)</f>
        <v>103.2</v>
      </c>
    </row>
    <row r="145" spans="2:11" ht="15.75" thickBot="1">
      <c r="B145" s="2650" t="s">
        <v>2629</v>
      </c>
      <c r="C145" s="1097">
        <f>ROUND(MAX(C139:C144)/MIN(C139:C144)-1,3)</f>
        <v>7.2999999999999995E-2</v>
      </c>
      <c r="D145" s="1098"/>
      <c r="E145" s="1098"/>
      <c r="F145" s="2651" t="s">
        <v>2630</v>
      </c>
      <c r="G145" s="2652"/>
      <c r="H145" s="2653"/>
      <c r="I145" s="2654" t="s">
        <v>2627</v>
      </c>
      <c r="J145" s="1099">
        <v>8</v>
      </c>
      <c r="K145" s="1100">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0" priority="15" stopIfTrue="1" operator="containsText" text="超过">
      <formula>NOT(ISERROR(SEARCH("超过",F52)))</formula>
    </cfRule>
  </conditionalFormatting>
  <conditionalFormatting sqref="J54">
    <cfRule type="containsText" dxfId="179" priority="14" stopIfTrue="1" operator="containsText" text="超过">
      <formula>NOT(ISERROR(SEARCH("超过",J54)))</formula>
    </cfRule>
  </conditionalFormatting>
  <conditionalFormatting sqref="H54">
    <cfRule type="containsText" dxfId="178" priority="13" stopIfTrue="1" operator="containsText" text="超过">
      <formula>NOT(ISERROR(SEARCH("超过",H54)))</formula>
    </cfRule>
  </conditionalFormatting>
  <conditionalFormatting sqref="F54">
    <cfRule type="containsText" dxfId="177" priority="12" stopIfTrue="1" operator="containsText" text="超过">
      <formula>NOT(ISERROR(SEARCH("超过",F54)))</formula>
    </cfRule>
  </conditionalFormatting>
  <conditionalFormatting sqref="F53 H53 J53">
    <cfRule type="containsText" dxfId="176" priority="11" stopIfTrue="1" operator="containsText" text="超过">
      <formula>NOT(ISERROR(SEARCH("超过",F53)))</formula>
    </cfRule>
  </conditionalFormatting>
  <conditionalFormatting sqref="E52">
    <cfRule type="expression" dxfId="175" priority="10" stopIfTrue="1">
      <formula>$F$52="超过30%"</formula>
    </cfRule>
  </conditionalFormatting>
  <conditionalFormatting sqref="G54">
    <cfRule type="expression" dxfId="174" priority="8" stopIfTrue="1">
      <formula>$H$54="超过30%"</formula>
    </cfRule>
  </conditionalFormatting>
  <conditionalFormatting sqref="E53">
    <cfRule type="expression" dxfId="173" priority="7" stopIfTrue="1">
      <formula>$F$53="超过20%"</formula>
    </cfRule>
  </conditionalFormatting>
  <conditionalFormatting sqref="E54">
    <cfRule type="expression" dxfId="172" priority="6" stopIfTrue="1">
      <formula>$F$54="超过30%"</formula>
    </cfRule>
  </conditionalFormatting>
  <conditionalFormatting sqref="G52">
    <cfRule type="expression" dxfId="171" priority="5" stopIfTrue="1">
      <formula>$H$52="超过30%"</formula>
    </cfRule>
  </conditionalFormatting>
  <conditionalFormatting sqref="G53">
    <cfRule type="expression" dxfId="170" priority="4" stopIfTrue="1">
      <formula>$H$53="超过20%"</formula>
    </cfRule>
  </conditionalFormatting>
  <conditionalFormatting sqref="I52">
    <cfRule type="expression" dxfId="169" priority="3" stopIfTrue="1">
      <formula>$J$52="超过30%"</formula>
    </cfRule>
  </conditionalFormatting>
  <conditionalFormatting sqref="I53">
    <cfRule type="expression" dxfId="168" priority="2" stopIfTrue="1">
      <formula>$J$53="超过20%"</formula>
    </cfRule>
  </conditionalFormatting>
  <conditionalFormatting sqref="I54">
    <cfRule type="expression" dxfId="16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14" sqref="D14:D1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t="s">
        <v>1377</v>
      </c>
      <c r="D1" s="2414"/>
      <c r="E1" s="2414"/>
      <c r="F1" s="2416" t="s">
        <v>2109</v>
      </c>
      <c r="G1" s="2067" t="s">
        <v>3056</v>
      </c>
      <c r="H1" s="2417" t="str">
        <f>IF(G1="现房","——","估价对象范围")</f>
        <v>——</v>
      </c>
      <c r="I1" s="2418" t="s">
        <v>3584</v>
      </c>
    </row>
    <row r="2" spans="1:12" ht="21.75" customHeight="1" thickBot="1">
      <c r="A2" s="3123" t="str">
        <f>项目基本情况!S2</f>
        <v>北京市海淀区西四环北路160号房地产</v>
      </c>
      <c r="B2" s="3124"/>
      <c r="C2" s="3124"/>
      <c r="D2" s="3124"/>
      <c r="E2" s="3124"/>
      <c r="F2" s="3124"/>
      <c r="G2" s="3124"/>
      <c r="H2" s="3124"/>
      <c r="I2" s="3125"/>
    </row>
    <row r="3" spans="1:12" ht="12.75">
      <c r="A3" s="3126" t="s">
        <v>2110</v>
      </c>
      <c r="B3" s="3127"/>
      <c r="C3" s="3127"/>
      <c r="D3" s="3127"/>
      <c r="E3" s="3127"/>
      <c r="F3" s="3127"/>
      <c r="G3" s="3127"/>
      <c r="H3" s="3127"/>
      <c r="I3" s="3127"/>
    </row>
    <row r="4" spans="1:12" ht="14.25">
      <c r="A4" s="2421" t="s">
        <v>2111</v>
      </c>
      <c r="B4" s="2422" t="s">
        <v>2112</v>
      </c>
      <c r="C4" s="2423" t="s">
        <v>3724</v>
      </c>
      <c r="D4" s="2423" t="s">
        <v>3038</v>
      </c>
      <c r="E4" s="3107" t="s">
        <v>2113</v>
      </c>
      <c r="F4" s="3120"/>
      <c r="G4" s="3120"/>
      <c r="H4" s="3120"/>
      <c r="I4" s="3108"/>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098" t="s">
        <v>2114</v>
      </c>
      <c r="B5" s="3024">
        <v>25</v>
      </c>
      <c r="C5" s="3128"/>
      <c r="D5" s="3116"/>
      <c r="E5" s="140" t="s">
        <v>2115</v>
      </c>
      <c r="F5" s="2425"/>
      <c r="G5" s="2425"/>
      <c r="H5" s="2425"/>
      <c r="I5" s="1829"/>
    </row>
    <row r="6" spans="1:12" ht="12.75">
      <c r="A6" s="3098"/>
      <c r="B6" s="3024"/>
      <c r="C6" s="3130"/>
      <c r="D6" s="3116"/>
      <c r="E6" s="140" t="s">
        <v>2116</v>
      </c>
      <c r="F6" s="2425"/>
      <c r="G6" s="2425"/>
      <c r="H6" s="2425"/>
      <c r="I6" s="1829"/>
    </row>
    <row r="7" spans="1:12" ht="12.75">
      <c r="A7" s="3098"/>
      <c r="B7" s="3024"/>
      <c r="C7" s="3129"/>
      <c r="D7" s="3116"/>
      <c r="E7" s="140" t="s">
        <v>2117</v>
      </c>
      <c r="F7" s="2425"/>
      <c r="G7" s="2425"/>
      <c r="H7" s="2425"/>
      <c r="I7" s="1829"/>
    </row>
    <row r="8" spans="1:12" ht="12.75">
      <c r="A8" s="3098" t="s">
        <v>2118</v>
      </c>
      <c r="B8" s="3024">
        <v>15</v>
      </c>
      <c r="C8" s="3128"/>
      <c r="D8" s="3116"/>
      <c r="E8" s="140" t="s">
        <v>2119</v>
      </c>
      <c r="F8" s="2425"/>
      <c r="G8" s="2425"/>
      <c r="H8" s="2425"/>
      <c r="I8" s="1829"/>
    </row>
    <row r="9" spans="1:12" ht="12.75">
      <c r="A9" s="3098"/>
      <c r="B9" s="3024"/>
      <c r="C9" s="3129"/>
      <c r="D9" s="3116"/>
      <c r="E9" s="140" t="s">
        <v>2120</v>
      </c>
      <c r="F9" s="2425"/>
      <c r="G9" s="2425"/>
      <c r="H9" s="2425"/>
      <c r="I9" s="1829"/>
    </row>
    <row r="10" spans="1:12" ht="12.75">
      <c r="A10" s="3098" t="s">
        <v>2121</v>
      </c>
      <c r="B10" s="3024">
        <v>15</v>
      </c>
      <c r="C10" s="3128"/>
      <c r="D10" s="3116"/>
      <c r="E10" s="140" t="s">
        <v>2122</v>
      </c>
      <c r="F10" s="2425"/>
      <c r="G10" s="2425"/>
      <c r="H10" s="2425"/>
      <c r="I10" s="1829"/>
    </row>
    <row r="11" spans="1:12" ht="12.75">
      <c r="A11" s="3098"/>
      <c r="B11" s="3024"/>
      <c r="C11" s="3129"/>
      <c r="D11" s="3116"/>
      <c r="E11" s="140" t="s">
        <v>2123</v>
      </c>
      <c r="F11" s="2425"/>
      <c r="G11" s="2425"/>
      <c r="H11" s="2425"/>
      <c r="I11" s="1829"/>
    </row>
    <row r="12" spans="1:12" ht="12.75">
      <c r="A12" s="3098" t="s">
        <v>2124</v>
      </c>
      <c r="B12" s="3024">
        <v>15</v>
      </c>
      <c r="C12" s="3128"/>
      <c r="D12" s="3116"/>
      <c r="E12" s="140" t="s">
        <v>2125</v>
      </c>
      <c r="F12" s="2425"/>
      <c r="G12" s="2425"/>
      <c r="H12" s="2425"/>
      <c r="I12" s="1829"/>
    </row>
    <row r="13" spans="1:12" ht="12.75">
      <c r="A13" s="3098"/>
      <c r="B13" s="3024"/>
      <c r="C13" s="3129"/>
      <c r="D13" s="3116"/>
      <c r="E13" s="140" t="s">
        <v>2126</v>
      </c>
      <c r="F13" s="2425"/>
      <c r="G13" s="2425"/>
      <c r="H13" s="2425"/>
      <c r="I13" s="1829"/>
    </row>
    <row r="14" spans="1:12" ht="12.75">
      <c r="A14" s="3098" t="s">
        <v>2127</v>
      </c>
      <c r="B14" s="3024">
        <v>30</v>
      </c>
      <c r="C14" s="3128">
        <v>7</v>
      </c>
      <c r="D14" s="3116">
        <v>3</v>
      </c>
      <c r="E14" s="140" t="s">
        <v>2128</v>
      </c>
      <c r="F14" s="2425"/>
      <c r="G14" s="2425"/>
      <c r="H14" s="2425"/>
      <c r="I14" s="1829"/>
    </row>
    <row r="15" spans="1:12" ht="12.75">
      <c r="A15" s="3098"/>
      <c r="B15" s="3024"/>
      <c r="C15" s="3130"/>
      <c r="D15" s="3116"/>
      <c r="E15" s="140" t="s">
        <v>2129</v>
      </c>
      <c r="F15" s="2425"/>
      <c r="G15" s="2425"/>
      <c r="H15" s="2425"/>
      <c r="I15" s="1829"/>
    </row>
    <row r="16" spans="1:12" ht="12.75">
      <c r="A16" s="3098"/>
      <c r="B16" s="3024"/>
      <c r="C16" s="3129"/>
      <c r="D16" s="3116"/>
      <c r="E16" s="140" t="s">
        <v>2130</v>
      </c>
      <c r="F16" s="2425"/>
      <c r="G16" s="2425"/>
      <c r="H16" s="2425"/>
      <c r="I16" s="1829"/>
    </row>
    <row r="17" spans="1:35" ht="15">
      <c r="A17" s="2426" t="s">
        <v>2131</v>
      </c>
      <c r="B17" s="64"/>
      <c r="C17" s="141">
        <f>SUM(C5:C16)</f>
        <v>7</v>
      </c>
      <c r="D17" s="141">
        <f>SUM(D5:D16)</f>
        <v>3</v>
      </c>
      <c r="E17" s="138"/>
      <c r="F17" s="138"/>
      <c r="G17" s="138"/>
      <c r="H17" s="138"/>
      <c r="I17" s="138"/>
      <c r="K17" s="2424"/>
      <c r="L17" s="2427" t="s">
        <v>2132</v>
      </c>
      <c r="M17" s="2427" t="s">
        <v>2133</v>
      </c>
    </row>
    <row r="18" spans="1:35" ht="15.75" thickBot="1">
      <c r="A18" s="2428" t="s">
        <v>2134</v>
      </c>
      <c r="B18" s="2429"/>
      <c r="C18" s="142">
        <f>ROUND(C17/SUM(C17:D17),2)</f>
        <v>0.7</v>
      </c>
      <c r="D18" s="142">
        <f>1-C18</f>
        <v>0.30000000000000004</v>
      </c>
      <c r="E18" s="138"/>
      <c r="F18" s="138"/>
      <c r="G18" s="138"/>
      <c r="H18" s="138"/>
      <c r="I18" s="138"/>
      <c r="K18" s="2424" t="s">
        <v>2135</v>
      </c>
      <c r="L18" s="2424">
        <f>IF(C1="",'数据-汇总表'!E3,SUMIF(项目类型,C1,'数据-汇总表'!E17:E26)+SUMIF(项目类型,C1,'数据-汇总表'!I17:I26))</f>
        <v>2104.29</v>
      </c>
      <c r="M18" s="2424">
        <f>IF(C1="",'数据-汇总表'!E3,SUMIF(项目类型,C1,'数据-汇总表'!E17:E26))</f>
        <v>2104.29</v>
      </c>
    </row>
    <row r="19" spans="1:35" ht="15">
      <c r="A19" s="2430" t="s">
        <v>2136</v>
      </c>
      <c r="B19" s="2431" t="s">
        <v>2137</v>
      </c>
      <c r="C19" s="143">
        <f ca="1">SUMIF(INDIRECT("'"&amp;C4&amp;"'"&amp;"!A:A"),'结果表（商业）'!B19,INDIRECT("'"&amp;C4&amp;"'"&amp;"!B:B"))</f>
        <v>9585</v>
      </c>
      <c r="D19" s="144">
        <f ca="1">SUMIF(INDIRECT("'"&amp;D4&amp;"'"&amp;"!A:A"),'结果表（商业）'!B19,INDIRECT("'"&amp;D4&amp;"'"&amp;"!B:B"))</f>
        <v>8914</v>
      </c>
      <c r="E19" s="2430" t="s">
        <v>2138</v>
      </c>
      <c r="F19" s="2431" t="s">
        <v>2137</v>
      </c>
      <c r="G19" s="145">
        <f ca="1">ROUND(C19*$C$18+D19*$D$18,0)</f>
        <v>9384</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5" t="s">
        <v>2141</v>
      </c>
      <c r="C20" s="146">
        <f ca="1">SUMIF(INDIRECT("'"&amp;C4&amp;"'"&amp;"!A:A"),'结果表（商业）'!B20,INDIRECT("'"&amp;C4&amp;"'"&amp;"!B:B"))</f>
        <v>45548</v>
      </c>
      <c r="D20" s="147">
        <f ca="1">SUMIF(INDIRECT("'"&amp;D4&amp;"'"&amp;"!A:A"),'结果表（商业）'!B20,INDIRECT("'"&amp;D4&amp;"'"&amp;"!B:B"))</f>
        <v>42361</v>
      </c>
      <c r="E20" s="2433"/>
      <c r="F20" s="1245" t="s">
        <v>2141</v>
      </c>
      <c r="G20" s="148">
        <f ca="1">ROUND(C20*$C$18+D20*$D$18,0)</f>
        <v>44592</v>
      </c>
      <c r="H20" s="978" t="s">
        <v>2142</v>
      </c>
      <c r="I20" s="138"/>
    </row>
    <row r="21" spans="1:35" ht="15" customHeight="1" thickBot="1">
      <c r="A21" s="998"/>
      <c r="B21" s="2434" t="s">
        <v>2143</v>
      </c>
      <c r="C21" s="789" t="e">
        <f ca="1">ROUND(C19*10000/L19,0)</f>
        <v>#DIV/0!</v>
      </c>
      <c r="D21" s="790" t="e">
        <f ca="1">ROUND(D19*10000/L19,0)</f>
        <v>#DIV/0!</v>
      </c>
      <c r="E21" s="998"/>
      <c r="F21" s="2434" t="s">
        <v>2143</v>
      </c>
      <c r="G21" s="149" t="e">
        <f ca="1">ROUND(G19*10000/L19,0)</f>
        <v>#DIV/0!</v>
      </c>
      <c r="H21" s="2435" t="s">
        <v>2142</v>
      </c>
      <c r="I21" s="138"/>
    </row>
    <row r="22" spans="1:35" ht="15" thickBot="1">
      <c r="A22" s="2276" t="s">
        <v>2144</v>
      </c>
      <c r="B22" s="2436"/>
      <c r="C22" s="2437"/>
      <c r="D22" s="791">
        <f ca="1">IF(C19&lt;D19,D19/C19-1,C19/D19-1)</f>
        <v>7.527484855283828E-2</v>
      </c>
      <c r="E22" s="138"/>
      <c r="F22" s="138"/>
      <c r="G22" s="138"/>
      <c r="H22" s="138"/>
      <c r="I22" s="138"/>
    </row>
    <row r="23" spans="1:35" ht="13.5" thickBot="1">
      <c r="A23" s="2414"/>
      <c r="B23" s="2414"/>
      <c r="C23" s="2414"/>
      <c r="D23" s="2414"/>
      <c r="E23" s="138"/>
      <c r="F23" s="138"/>
      <c r="G23" s="138"/>
      <c r="H23" s="138"/>
      <c r="I23" s="138"/>
    </row>
    <row r="24" spans="1:35" ht="14.25">
      <c r="A24" s="3137" t="s">
        <v>2145</v>
      </c>
      <c r="B24" s="2431" t="s">
        <v>2137</v>
      </c>
      <c r="C24" s="145">
        <f>IF(B30=0,0,D30)</f>
        <v>0</v>
      </c>
      <c r="D24" s="2438"/>
      <c r="E24" s="138"/>
      <c r="F24" s="138"/>
      <c r="G24" s="138"/>
      <c r="H24" s="138"/>
      <c r="I24" s="138"/>
    </row>
    <row r="25" spans="1:35" ht="14.25">
      <c r="A25" s="3138"/>
      <c r="B25" s="1245"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9384</v>
      </c>
      <c r="D32" s="2445" t="s">
        <v>2152</v>
      </c>
      <c r="E32" s="138"/>
      <c r="F32" s="138"/>
      <c r="G32" s="138"/>
      <c r="H32" s="138"/>
      <c r="I32" s="138"/>
    </row>
    <row r="33" spans="1:15" ht="15">
      <c r="A33" s="955" t="s">
        <v>2153</v>
      </c>
      <c r="B33" s="2446"/>
      <c r="C33" s="2447"/>
      <c r="D33" s="2448"/>
      <c r="E33" s="2449" t="s">
        <v>2154</v>
      </c>
      <c r="F33" s="2939" t="str">
        <f>IF(D32="楼面单价","取值（单价）","取值（总价）")</f>
        <v>取值（总价）</v>
      </c>
      <c r="G33" s="138"/>
      <c r="H33" s="138"/>
      <c r="I33" s="138"/>
    </row>
    <row r="34" spans="1:15" ht="15">
      <c r="A34" s="2451"/>
      <c r="B34" s="2452" t="s">
        <v>2155</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2156</v>
      </c>
      <c r="F34" s="1734"/>
      <c r="G34" s="138"/>
      <c r="H34" s="138"/>
      <c r="I34" s="138"/>
    </row>
    <row r="35" spans="1:15" ht="15.75" thickBot="1">
      <c r="A35" s="2454"/>
      <c r="B35" s="2455" t="s">
        <v>2157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117" t="s">
        <v>2159</v>
      </c>
      <c r="B36" s="2457" t="s">
        <v>2160</v>
      </c>
      <c r="C36" s="154"/>
      <c r="D36" s="2458"/>
      <c r="E36" s="2459"/>
      <c r="F36" s="2460"/>
      <c r="G36" s="138"/>
      <c r="H36" s="138"/>
      <c r="I36" s="138"/>
    </row>
    <row r="37" spans="1:15" ht="15.75" thickBot="1">
      <c r="A37" s="3118"/>
      <c r="B37" s="2262" t="s">
        <v>2161</v>
      </c>
      <c r="C37" s="156"/>
      <c r="D37" s="1390"/>
      <c r="E37" s="1390"/>
      <c r="F37" s="2460"/>
      <c r="G37" s="138"/>
      <c r="H37" s="138"/>
      <c r="I37" s="138"/>
    </row>
    <row r="38" spans="1:15" ht="15.75" thickBot="1">
      <c r="A38" s="3119"/>
      <c r="B38" s="2461" t="s">
        <v>2162</v>
      </c>
      <c r="C38" s="727"/>
      <c r="D38" s="2462" t="s">
        <v>2163</v>
      </c>
      <c r="E38" s="1390"/>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34" t="s">
        <v>2173</v>
      </c>
      <c r="B45" s="3135"/>
      <c r="C45" s="3136"/>
      <c r="D45" s="164">
        <f ca="1">ROUND(H101*F45,0)</f>
        <v>9384</v>
      </c>
      <c r="E45" s="165" t="s">
        <v>2174</v>
      </c>
      <c r="F45" s="166">
        <v>1</v>
      </c>
      <c r="G45" s="167" t="s">
        <v>2175</v>
      </c>
      <c r="H45" s="138"/>
      <c r="I45" s="138"/>
      <c r="J45" s="3053" t="s">
        <v>2176</v>
      </c>
      <c r="K45" s="3053"/>
      <c r="L45" s="3053"/>
      <c r="M45" s="3053"/>
      <c r="N45" s="3053"/>
      <c r="O45" s="3053"/>
    </row>
    <row r="46" spans="1:15" ht="14.25" customHeight="1">
      <c r="A46" s="3131" t="s">
        <v>2177</v>
      </c>
      <c r="B46" s="3132"/>
      <c r="C46" s="3132"/>
      <c r="D46" s="3132"/>
      <c r="E46" s="3132"/>
      <c r="F46" s="3132"/>
      <c r="G46" s="3133"/>
      <c r="H46" s="2476"/>
      <c r="I46" s="168"/>
      <c r="J46" s="2952">
        <v>1</v>
      </c>
      <c r="K46" s="3053" t="s">
        <v>2178</v>
      </c>
      <c r="L46" s="3053"/>
      <c r="M46" s="3054"/>
      <c r="N46" s="3054"/>
      <c r="O46" s="3054"/>
    </row>
    <row r="47" spans="1:15" ht="12" customHeight="1">
      <c r="A47" s="169" t="s">
        <v>2179</v>
      </c>
      <c r="B47" s="170"/>
      <c r="C47" s="171"/>
      <c r="D47" s="172" t="s">
        <v>2180</v>
      </c>
      <c r="E47" s="24" t="s">
        <v>2181</v>
      </c>
      <c r="F47" s="173" t="s">
        <v>2182</v>
      </c>
      <c r="G47" s="174" t="s">
        <v>2183</v>
      </c>
      <c r="H47" s="2476"/>
      <c r="I47" s="168"/>
      <c r="J47" s="2952">
        <v>2</v>
      </c>
      <c r="K47" s="3053" t="s">
        <v>2184</v>
      </c>
      <c r="L47" s="3053"/>
      <c r="M47" s="3055">
        <f>'数据-取费表'!B2</f>
        <v>43185</v>
      </c>
      <c r="N47" s="3055"/>
      <c r="O47" s="3055"/>
    </row>
    <row r="48" spans="1:15" ht="25.5">
      <c r="A48" s="3121" t="s">
        <v>2185</v>
      </c>
      <c r="B48" s="3122"/>
      <c r="C48" s="3122"/>
      <c r="D48" s="140">
        <f>IF(H48="情况1",0,IF(H48="情况2",D52,IF(H48="情况3",D53,IF(H48="情况4",D54))))</f>
        <v>0</v>
      </c>
      <c r="E48" s="2944" t="str">
        <f>IF(H48="情况4","(销售额-原购置价)×税（费）率","销售额×税（费）率")</f>
        <v>销售额×税（费）率</v>
      </c>
      <c r="F48" s="175" t="str">
        <f>IF(H48="情况1","免征",'数据-取费表'!B41)</f>
        <v>免征</v>
      </c>
      <c r="G48" s="2477" t="s">
        <v>2186</v>
      </c>
      <c r="H48" s="2478" t="s">
        <v>2187</v>
      </c>
      <c r="I48" s="2476"/>
      <c r="J48" s="2952">
        <v>3</v>
      </c>
      <c r="K48" s="3053" t="s">
        <v>2188</v>
      </c>
      <c r="L48" s="3053"/>
      <c r="M48" s="3056">
        <f ca="1">H101</f>
        <v>9384</v>
      </c>
      <c r="N48" s="3056"/>
      <c r="O48" s="3056"/>
    </row>
    <row r="49" spans="1:35" ht="25.5" customHeight="1">
      <c r="A49" s="176" t="s">
        <v>2189</v>
      </c>
      <c r="B49" s="3101" t="s">
        <v>2190</v>
      </c>
      <c r="C49" s="3101"/>
      <c r="D49" s="177">
        <v>0</v>
      </c>
      <c r="E49" s="23" t="s">
        <v>2191</v>
      </c>
      <c r="F49" s="28" t="s">
        <v>34</v>
      </c>
      <c r="G49" s="3082"/>
      <c r="H49" s="138"/>
      <c r="I49" s="2479"/>
      <c r="J49" s="2952">
        <v>4</v>
      </c>
      <c r="K49" s="3053" t="str">
        <f>IF(项目基本情况!E8="房地产抵押价值","房地产抵押价值","抵押担保权已注销时的房地产抵押价值")</f>
        <v>房地产抵押价值</v>
      </c>
      <c r="L49" s="3053"/>
      <c r="M49" s="3056">
        <f ca="1">IF(项目基本情况!E8="房地产抵押价值",H107,H109)</f>
        <v>9384</v>
      </c>
      <c r="N49" s="3056"/>
      <c r="O49" s="3056"/>
    </row>
    <row r="50" spans="1:35" ht="25.5" customHeight="1">
      <c r="A50" s="178"/>
      <c r="B50" s="3101" t="s">
        <v>2192</v>
      </c>
      <c r="C50" s="3101"/>
      <c r="D50" s="179"/>
      <c r="E50" s="31"/>
      <c r="F50" s="180"/>
      <c r="G50" s="3083"/>
      <c r="H50" s="138"/>
      <c r="I50" s="2479"/>
      <c r="J50" s="3053" t="s">
        <v>2193</v>
      </c>
      <c r="K50" s="3053"/>
      <c r="L50" s="3053"/>
      <c r="M50" s="3053"/>
      <c r="N50" s="3053"/>
      <c r="O50" s="3053"/>
    </row>
    <row r="51" spans="1:35" ht="12" customHeight="1">
      <c r="A51" s="181"/>
      <c r="B51" s="3101" t="s">
        <v>2194</v>
      </c>
      <c r="C51" s="3101"/>
      <c r="D51" s="182"/>
      <c r="E51" s="30"/>
      <c r="F51" s="180"/>
      <c r="G51" s="3084"/>
      <c r="H51" s="138"/>
      <c r="I51" s="2479"/>
      <c r="J51" s="2951" t="s">
        <v>2195</v>
      </c>
      <c r="K51" s="3053" t="s">
        <v>2196</v>
      </c>
      <c r="L51" s="3053"/>
      <c r="M51" s="2951" t="s">
        <v>2197</v>
      </c>
      <c r="N51" s="2951" t="s">
        <v>2198</v>
      </c>
      <c r="O51" s="2951" t="s">
        <v>2199</v>
      </c>
    </row>
    <row r="52" spans="1:35" ht="24" customHeight="1">
      <c r="A52" s="183" t="s">
        <v>2200</v>
      </c>
      <c r="B52" s="3101" t="s">
        <v>2201</v>
      </c>
      <c r="C52" s="3101"/>
      <c r="D52" s="182">
        <f ca="1">ROUND(D45*'数据-取费表'!B41/(1+'数据-取费表'!C42),0)</f>
        <v>500</v>
      </c>
      <c r="E52" s="11" t="s">
        <v>2202</v>
      </c>
      <c r="F52" s="184">
        <f>'数据-取费表'!B41</f>
        <v>5.6000000000000001E-2</v>
      </c>
      <c r="G52" s="2481"/>
      <c r="H52" s="138"/>
      <c r="I52" s="2479"/>
      <c r="J52" s="2952">
        <v>1</v>
      </c>
      <c r="K52" s="3076" t="s">
        <v>2203</v>
      </c>
      <c r="L52" s="3076"/>
      <c r="M52" s="1749">
        <f>D48</f>
        <v>0</v>
      </c>
      <c r="N52" s="2952" t="str">
        <f>E48</f>
        <v>销售额×税（费）率</v>
      </c>
      <c r="O52" s="1750" t="str">
        <f>F48</f>
        <v>免征</v>
      </c>
    </row>
    <row r="53" spans="1:35" ht="12" customHeight="1">
      <c r="A53" s="183" t="s">
        <v>2204</v>
      </c>
      <c r="B53" s="3102" t="s">
        <v>2205</v>
      </c>
      <c r="C53" s="3103"/>
      <c r="D53" s="182">
        <f ca="1">ROUND(D45*'数据-取费表'!B41/(1+'数据-取费表'!C42),0)</f>
        <v>500</v>
      </c>
      <c r="E53" s="11" t="s">
        <v>2202</v>
      </c>
      <c r="F53" s="184">
        <f>'数据-取费表'!B41</f>
        <v>5.6000000000000001E-2</v>
      </c>
      <c r="G53" s="2481"/>
      <c r="H53" s="138"/>
      <c r="I53" s="2479"/>
      <c r="J53" s="2952">
        <v>2</v>
      </c>
      <c r="K53" s="3076" t="s">
        <v>2206</v>
      </c>
      <c r="L53" s="3076"/>
      <c r="M53" s="1749">
        <f t="shared" ref="M53:O54" ca="1" si="0">D55</f>
        <v>5</v>
      </c>
      <c r="N53" s="2952" t="str">
        <f t="shared" si="0"/>
        <v>销售额×税（费）率</v>
      </c>
      <c r="O53" s="1750">
        <f t="shared" si="0"/>
        <v>5.0000000000000001E-4</v>
      </c>
    </row>
    <row r="54" spans="1:35" ht="12" customHeight="1">
      <c r="A54" s="183" t="s">
        <v>2207</v>
      </c>
      <c r="B54" s="3102" t="s">
        <v>2208</v>
      </c>
      <c r="C54" s="3103"/>
      <c r="D54" s="182">
        <f ca="1">C68</f>
        <v>500</v>
      </c>
      <c r="E54" s="30" t="s">
        <v>2209</v>
      </c>
      <c r="F54" s="184">
        <f>'数据-取费表'!B41</f>
        <v>5.6000000000000001E-2</v>
      </c>
      <c r="G54" s="2481"/>
      <c r="H54" s="2482"/>
      <c r="I54" s="2479"/>
      <c r="J54" s="2952">
        <v>3</v>
      </c>
      <c r="K54" s="3076" t="s">
        <v>2210</v>
      </c>
      <c r="L54" s="3076"/>
      <c r="M54" s="1749">
        <f t="shared" ca="1" si="0"/>
        <v>5311</v>
      </c>
      <c r="N54" s="2952" t="str">
        <f t="shared" si="0"/>
        <v>增值额×税（费）率</v>
      </c>
      <c r="O54" s="1751" t="str">
        <f t="shared" si="0"/>
        <v>——</v>
      </c>
    </row>
    <row r="55" spans="1:35" ht="24" customHeight="1">
      <c r="A55" s="3140" t="s">
        <v>2211</v>
      </c>
      <c r="B55" s="3122"/>
      <c r="C55" s="3122"/>
      <c r="D55" s="185">
        <f ca="1">IF(H55="个人住宅",0,ROUND(D45*I55,0))</f>
        <v>5</v>
      </c>
      <c r="E55" s="11" t="s">
        <v>2212</v>
      </c>
      <c r="F55" s="184">
        <f>IF(H55="正常",I55,"免征")</f>
        <v>5.0000000000000001E-4</v>
      </c>
      <c r="G55" s="2481"/>
      <c r="H55" s="2478" t="s">
        <v>2213</v>
      </c>
      <c r="I55" s="186">
        <f>'数据-取费表'!B49</f>
        <v>5.0000000000000001E-4</v>
      </c>
      <c r="J55" s="2952" t="str">
        <f>IF(H59="非个人房产","",4)</f>
        <v/>
      </c>
      <c r="K55" s="3076" t="str">
        <f>IF(H59="非个人房产","——","个人所得税")</f>
        <v>——</v>
      </c>
      <c r="L55" s="3076"/>
      <c r="M55" s="1752" t="str">
        <f>D59</f>
        <v>——</v>
      </c>
      <c r="N55" s="2953" t="str">
        <f>E59</f>
        <v>——</v>
      </c>
      <c r="O55" s="1753" t="str">
        <f>F59</f>
        <v>——</v>
      </c>
    </row>
    <row r="56" spans="1:35" ht="24.75">
      <c r="A56" s="3140" t="s">
        <v>2214</v>
      </c>
      <c r="B56" s="3122"/>
      <c r="C56" s="3122"/>
      <c r="D56" s="185">
        <f ca="1">IF(H56="个人住宅",D57,D58)</f>
        <v>5311</v>
      </c>
      <c r="E56" s="11" t="s">
        <v>2215</v>
      </c>
      <c r="F56" s="184" t="str">
        <f>IF(H56="正常",F58,"免征")</f>
        <v>——</v>
      </c>
      <c r="G56" s="2483" t="s">
        <v>2216</v>
      </c>
      <c r="H56" s="2484" t="s">
        <v>2213</v>
      </c>
      <c r="I56" s="2485"/>
      <c r="J56" s="2952" t="str">
        <f>IF(项目基本情况!K6="上海银行",IF(J55="",4,J55+1),"")</f>
        <v/>
      </c>
      <c r="K56" s="3059" t="str">
        <f>IF(项目基本情况!K6="上海银行","其他处置费用","")</f>
        <v/>
      </c>
      <c r="L56" s="3060"/>
      <c r="M56" s="1749" t="str">
        <f>IF(项目基本情况!K6="上海银行",M69,"")</f>
        <v/>
      </c>
      <c r="N56" s="3062" t="str">
        <f>IF(项目基本情况!K6="上海银行","包含处置中涉及的律师、诉讼、拍卖、评估等费用","")</f>
        <v/>
      </c>
      <c r="O56" s="3063"/>
    </row>
    <row r="57" spans="1:35" ht="12.75">
      <c r="A57" s="183" t="s">
        <v>2189</v>
      </c>
      <c r="B57" s="3107" t="s">
        <v>2217</v>
      </c>
      <c r="C57" s="3108"/>
      <c r="D57" s="187">
        <v>0</v>
      </c>
      <c r="E57" s="23" t="s">
        <v>2191</v>
      </c>
      <c r="F57" s="155"/>
      <c r="G57" s="2481"/>
      <c r="H57" s="2485"/>
      <c r="I57" s="2485"/>
      <c r="J57" s="3076">
        <f>IF(AND(J55="",J56=""),4,IF(项目基本情况!K6="上海银行",'结果表（商业）'!J56+1,'结果表（商业）'!J55+1))</f>
        <v>4</v>
      </c>
      <c r="K57" s="3076" t="s">
        <v>2218</v>
      </c>
      <c r="L57" s="2486" t="s">
        <v>2219</v>
      </c>
      <c r="M57" s="1754"/>
      <c r="N57" s="1755">
        <f ca="1">SUMIF(M52:M56,"&lt;9e307")</f>
        <v>5316</v>
      </c>
      <c r="O57" s="2487"/>
      <c r="P57" s="1748">
        <f ca="1">N57/M49</f>
        <v>0.56649616368286448</v>
      </c>
    </row>
    <row r="58" spans="1:35" ht="24.75">
      <c r="A58" s="183" t="s">
        <v>2200</v>
      </c>
      <c r="B58" s="3107" t="s">
        <v>2220</v>
      </c>
      <c r="C58" s="3120"/>
      <c r="D58" s="185">
        <f ca="1">IF(H58="转让取得",C81,C97)</f>
        <v>5311</v>
      </c>
      <c r="E58" s="11" t="s">
        <v>2215</v>
      </c>
      <c r="F58" s="24" t="s">
        <v>34</v>
      </c>
      <c r="G58" s="2481"/>
      <c r="H58" s="2484" t="s">
        <v>2221</v>
      </c>
      <c r="I58" s="2485"/>
      <c r="J58" s="3076"/>
      <c r="K58" s="3076"/>
      <c r="L58" s="2486" t="s">
        <v>2222</v>
      </c>
      <c r="M58" s="1756"/>
      <c r="N58" s="2488" t="str">
        <f ca="1">NUMBERSTRING(INT(N57*10000),2)&amp;"元整"</f>
        <v>伍仟叁佰壹拾陆万元整</v>
      </c>
      <c r="O58" s="2489"/>
    </row>
    <row r="59" spans="1:35" ht="24.75" thickBot="1">
      <c r="A59" s="3080" t="s">
        <v>2223</v>
      </c>
      <c r="B59" s="3081"/>
      <c r="C59" s="3081"/>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078">
        <f>J57+1</f>
        <v>5</v>
      </c>
      <c r="K59" s="3076" t="s">
        <v>2225</v>
      </c>
      <c r="L59" s="2952" t="s">
        <v>2219</v>
      </c>
      <c r="M59" s="1757"/>
      <c r="N59" s="1758">
        <f ca="1">M49-N57</f>
        <v>4068</v>
      </c>
      <c r="O59" s="2491"/>
    </row>
    <row r="60" spans="1:35" ht="12" customHeight="1">
      <c r="A60" s="2492"/>
      <c r="B60" s="2414"/>
      <c r="C60" s="2414"/>
      <c r="D60" s="2414"/>
      <c r="E60" s="2162"/>
      <c r="F60" s="2485"/>
      <c r="G60" s="2485"/>
      <c r="H60" s="2493"/>
      <c r="I60" s="138"/>
      <c r="J60" s="3079"/>
      <c r="K60" s="3076"/>
      <c r="L60" s="2486" t="s">
        <v>2222</v>
      </c>
      <c r="M60" s="1756"/>
      <c r="N60" s="2488" t="str">
        <f ca="1">NUMBERSTRING(INT(N59*10000),2)&amp;"元整"</f>
        <v>肆仟零陆拾捌万元整</v>
      </c>
      <c r="O60" s="2489"/>
    </row>
    <row r="61" spans="1:35" ht="13.5" thickBot="1">
      <c r="A61" s="3139" t="s">
        <v>2226</v>
      </c>
      <c r="B61" s="3139"/>
      <c r="C61" s="3139"/>
      <c r="D61" s="3139"/>
      <c r="E61" s="3139"/>
      <c r="F61" s="2485"/>
      <c r="G61" s="2485"/>
      <c r="H61" s="2493"/>
      <c r="I61" s="138"/>
      <c r="J61" s="2952">
        <f>J59+1</f>
        <v>6</v>
      </c>
      <c r="K61" s="3076" t="s">
        <v>2227</v>
      </c>
      <c r="L61" s="3076"/>
      <c r="M61" s="1759"/>
      <c r="N61" s="1760">
        <f ca="1">ROUND(N59*10000/'数据-汇总表'!E3,0)</f>
        <v>3498</v>
      </c>
      <c r="O61" s="2494"/>
    </row>
    <row r="62" spans="1:35" ht="12.75">
      <c r="A62" s="3096" t="s">
        <v>2228</v>
      </c>
      <c r="B62" s="3097"/>
      <c r="C62" s="2947"/>
      <c r="D62" s="2947" t="s">
        <v>2229</v>
      </c>
      <c r="E62" s="192" t="s">
        <v>2230</v>
      </c>
      <c r="F62" s="2485"/>
      <c r="G62" s="2485"/>
      <c r="H62" s="2493"/>
      <c r="I62" s="138"/>
    </row>
    <row r="63" spans="1:35" ht="12.75">
      <c r="A63" s="203" t="s">
        <v>775</v>
      </c>
      <c r="B63" s="193" t="s">
        <v>2231</v>
      </c>
      <c r="C63" s="194">
        <f ca="1">ROUND((C64+C65)/(1+'数据-取费表'!C42),0)</f>
        <v>8937</v>
      </c>
      <c r="D63" s="195"/>
      <c r="E63" s="196"/>
      <c r="F63" s="2485"/>
      <c r="G63" s="2485"/>
      <c r="H63" s="2493"/>
      <c r="I63" s="138"/>
      <c r="J63" s="3061" t="s">
        <v>2232</v>
      </c>
      <c r="K63" s="2956" t="s">
        <v>2233</v>
      </c>
      <c r="L63" s="1747">
        <f ca="1">IF(M49&gt;10000,M49*0.5%,IF(AND(M49&gt;1000,M49&lt;=10000),M49*1%,IF(AND(M49&gt;100,M49&lt;=1000),M49*3%,IF(AND(M49&gt;10,M49&lt;=100),M49*5%,M49*8%))))</f>
        <v>93.84</v>
      </c>
      <c r="M63" s="24">
        <f ca="1">ROUND(L63,1)</f>
        <v>93.8</v>
      </c>
      <c r="Z63" s="2419"/>
      <c r="AI63" s="2420"/>
    </row>
    <row r="64" spans="1:35" ht="14.25" customHeight="1">
      <c r="A64" s="197" t="s">
        <v>770</v>
      </c>
      <c r="B64" s="198" t="s">
        <v>2234</v>
      </c>
      <c r="C64" s="199">
        <f ca="1">D45</f>
        <v>9384</v>
      </c>
      <c r="D64" s="200" t="s">
        <v>32</v>
      </c>
      <c r="E64" s="201"/>
      <c r="F64" s="2485"/>
      <c r="G64" s="2485"/>
      <c r="H64" s="2493"/>
      <c r="I64" s="138"/>
      <c r="J64" s="3061"/>
      <c r="K64" s="2956" t="s">
        <v>2235</v>
      </c>
      <c r="L64" s="1747">
        <f ca="1">IF(M49&gt;2000,M49*0.5%,IF(AND(M49&gt;1000,M49&lt;=2000),M49*0.6%,IF(AND(M49&gt;500,M49&lt;=1000),M49*0.7%,IF(AND(M49&gt;200,M49&lt;=500),M49*0.8%,IF(AND(M49&gt;100,M49&lt;=200),M49*0.9%,IF(AND(M49&gt;50,M49&lt;=100),M49*1%,IF(AND(M49&gt;20,M49&lt;=50),M49*1.5%,IF(AND(M49&gt;10,M49&lt;=20),M49*2%,IF(AND(M49&gt;1,M49&lt;=10),M49*2.5%)))))))))</f>
        <v>46.92</v>
      </c>
      <c r="M64" s="24">
        <f t="shared" ref="M64:M65" ca="1" si="1">ROUND(L64,1)</f>
        <v>46.9</v>
      </c>
      <c r="N64" s="138" t="s">
        <v>2236</v>
      </c>
      <c r="Z64" s="2419"/>
      <c r="AI64" s="2420"/>
    </row>
    <row r="65" spans="1:35" ht="14.25" customHeight="1">
      <c r="A65" s="197" t="s">
        <v>771</v>
      </c>
      <c r="B65" s="198" t="s">
        <v>2237</v>
      </c>
      <c r="C65" s="202"/>
      <c r="D65" s="200"/>
      <c r="E65" s="201"/>
      <c r="F65" s="2485"/>
      <c r="G65" s="2485"/>
      <c r="H65" s="2493"/>
      <c r="I65" s="138"/>
      <c r="J65" s="3061"/>
      <c r="K65" s="2956" t="s">
        <v>2238</v>
      </c>
      <c r="L65" s="1747">
        <f ca="1">IF(M49&gt;1000,M49*0.1%,IF(AND(M49&gt;500,M49&lt;=1000),M49*0.5%,IF(AND(M49&gt;50,M49&lt;=500),M49*1%,IF(AND(M49&gt;1,M49&lt;=50),M49*1.5%))))</f>
        <v>9.3840000000000003</v>
      </c>
      <c r="M65" s="24">
        <f t="shared" ca="1" si="1"/>
        <v>9.4</v>
      </c>
      <c r="N65" s="138" t="s">
        <v>2236</v>
      </c>
      <c r="Z65" s="2419"/>
      <c r="AI65" s="2420"/>
    </row>
    <row r="66" spans="1:35" ht="14.25" customHeight="1">
      <c r="A66" s="203" t="s">
        <v>772</v>
      </c>
      <c r="B66" s="204" t="s">
        <v>2239</v>
      </c>
      <c r="C66" s="205"/>
      <c r="D66" s="206" t="s">
        <v>32</v>
      </c>
      <c r="E66" s="1771" t="s">
        <v>1371</v>
      </c>
      <c r="F66" s="2485"/>
      <c r="G66" s="2485"/>
      <c r="H66" s="2493"/>
      <c r="I66" s="138"/>
      <c r="J66" s="3061"/>
      <c r="K66" s="2956" t="s">
        <v>2240</v>
      </c>
      <c r="L66" s="1747">
        <f ca="1">M49*0.5%</f>
        <v>46.92</v>
      </c>
      <c r="M66" s="24">
        <f ca="1">IF(L66&gt;0.5,0.5,ROUND(L66,0))</f>
        <v>0.5</v>
      </c>
      <c r="N66" s="138" t="s">
        <v>2241</v>
      </c>
      <c r="Z66" s="2419"/>
      <c r="AI66" s="2420"/>
    </row>
    <row r="67" spans="1:35" ht="14.25" customHeight="1">
      <c r="A67" s="203" t="s">
        <v>773</v>
      </c>
      <c r="B67" s="204" t="s">
        <v>2242</v>
      </c>
      <c r="C67" s="207">
        <f ca="1">C63-C66</f>
        <v>8937</v>
      </c>
      <c r="D67" s="200" t="s">
        <v>32</v>
      </c>
      <c r="E67" s="201"/>
      <c r="F67" s="2485"/>
      <c r="G67" s="2485"/>
      <c r="H67" s="2493"/>
      <c r="I67" s="138"/>
      <c r="J67" s="3061"/>
      <c r="K67" s="2956" t="s">
        <v>2243</v>
      </c>
      <c r="L67" s="1747">
        <f ca="1">IF(M49&gt;=10000,(8.25+(M49-10000)*0.01%),IF(AND(M49&gt;=8000,M49&lt;10000),(7.85+(M49-8000)*0.02%),IF(AND(M49&gt;=5000,M49&lt;8000),(6.65+(M49-5000)*0.04%),IF(AND(M49&gt;=2000,M49&lt;5000),(4.25+(PM49-2000)*0.08%),IF(AND(M49&gt;=1000,M49&lt;2000),(2.75+(M49-1000)*0.15%),IF(AND(M49&gt;=100,M49&lt;1000),(0.5+(M49-100)*0.25%),IF(AND(M49&gt;0,M49&lt;100),M49*0.5%)))))))</f>
        <v>8.1267999999999994</v>
      </c>
      <c r="M67" s="24">
        <f ca="1">ROUND(L67*0.9,1)</f>
        <v>7.3</v>
      </c>
      <c r="Z67" s="2419"/>
      <c r="AI67" s="2420"/>
    </row>
    <row r="68" spans="1:35" ht="14.25" customHeight="1" thickBot="1">
      <c r="A68" s="208" t="s">
        <v>774</v>
      </c>
      <c r="B68" s="209" t="s">
        <v>2244</v>
      </c>
      <c r="C68" s="210">
        <f ca="1">IF(C67&lt;=0,0,ROUND(C67*D68,0))</f>
        <v>500</v>
      </c>
      <c r="D68" s="211">
        <f>'数据-取费表'!B41</f>
        <v>5.6000000000000001E-2</v>
      </c>
      <c r="E68" s="212"/>
      <c r="F68" s="2485"/>
      <c r="G68" s="2485"/>
      <c r="H68" s="2493"/>
      <c r="I68" s="138"/>
      <c r="J68" s="3061"/>
      <c r="K68" s="2956" t="s">
        <v>2245</v>
      </c>
      <c r="L68" s="1747">
        <f ca="1">IF(M49&gt;10000,M49*0.5%,IF(AND(M49&gt;5000,M49&lt;=10000),M49*1%,IF(AND(M49&gt;1000,M49&lt;=5000),M49*2%,IF(AND(M49&gt;200,M49&lt;=1000),M49*3%,M49*5%))))</f>
        <v>93.84</v>
      </c>
      <c r="M68" s="24">
        <f ca="1">ROUND(L68,1)</f>
        <v>93.8</v>
      </c>
      <c r="Z68" s="2419"/>
      <c r="AI68" s="2420"/>
    </row>
    <row r="69" spans="1:35" s="2442" customFormat="1" ht="16.5" customHeight="1">
      <c r="A69" s="2496"/>
      <c r="B69" s="2497"/>
      <c r="C69" s="2498"/>
      <c r="D69" s="2499"/>
      <c r="E69" s="2500"/>
      <c r="F69" s="2162"/>
      <c r="G69" s="2162"/>
      <c r="H69" s="2161"/>
      <c r="I69" s="2414"/>
      <c r="J69" s="3061"/>
      <c r="K69" s="2956" t="s">
        <v>2246</v>
      </c>
      <c r="L69" s="2501"/>
      <c r="M69" s="24">
        <f ca="1">ROUND(SUM(M63:M68),0)</f>
        <v>252</v>
      </c>
      <c r="N69" s="1748">
        <f ca="1">M69/M49</f>
        <v>2.6854219948849106E-2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5" t="s">
        <v>2247</v>
      </c>
      <c r="B70" s="3106"/>
      <c r="C70" s="3106"/>
      <c r="D70" s="3106"/>
      <c r="E70" s="3106"/>
      <c r="F70" s="3106"/>
      <c r="G70" s="3106"/>
      <c r="H70" s="31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6" t="s">
        <v>2228</v>
      </c>
      <c r="B71" s="3097"/>
      <c r="C71" s="2947"/>
      <c r="D71" s="2947"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8937</v>
      </c>
      <c r="D72" s="200" t="s">
        <v>32</v>
      </c>
      <c r="E72" s="2946"/>
      <c r="F72" s="2941"/>
      <c r="G72" s="294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54</v>
      </c>
      <c r="D73" s="200" t="s">
        <v>32</v>
      </c>
      <c r="E73" s="2946"/>
      <c r="F73" s="2941"/>
      <c r="G73" s="294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46"/>
      <c r="F74" s="2941"/>
      <c r="G74" s="294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02" t="s">
        <v>2256</v>
      </c>
      <c r="F76" s="3101"/>
      <c r="G76" s="3101"/>
      <c r="H76" s="31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57" t="s">
        <v>2258</v>
      </c>
      <c r="F77" s="224"/>
      <c r="G77" s="2509" t="s">
        <v>2259</v>
      </c>
      <c r="H77" s="2949"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54</v>
      </c>
      <c r="D78" s="226">
        <f>'数据-取费表'!B43</f>
        <v>6.000000000000001E-3</v>
      </c>
      <c r="E78" s="3093" t="s">
        <v>2261</v>
      </c>
      <c r="F78" s="3094"/>
      <c r="G78" s="3094"/>
      <c r="H78" s="30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8883</v>
      </c>
      <c r="D79" s="200" t="s">
        <v>32</v>
      </c>
      <c r="E79" s="2946"/>
      <c r="F79" s="2941"/>
      <c r="G79" s="294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164.5</v>
      </c>
      <c r="D80" s="200" t="s">
        <v>32</v>
      </c>
      <c r="E80" s="2957"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5311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5" t="s">
        <v>2265</v>
      </c>
      <c r="B83" s="3106"/>
      <c r="C83" s="3106"/>
      <c r="D83" s="3106"/>
      <c r="E83" s="3106"/>
      <c r="F83" s="3106"/>
      <c r="G83" s="3106"/>
      <c r="H83" s="31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6" t="s">
        <v>2228</v>
      </c>
      <c r="B84" s="3097"/>
      <c r="C84" s="2947"/>
      <c r="D84" s="2947"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8937</v>
      </c>
      <c r="D85" s="200" t="s">
        <v>32</v>
      </c>
      <c r="E85" s="2946"/>
      <c r="F85" s="2941"/>
      <c r="G85" s="294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54</v>
      </c>
      <c r="D86" s="235"/>
      <c r="E86" s="2946"/>
      <c r="F86" s="2941"/>
      <c r="G86" s="294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42"/>
      <c r="F87" s="2943"/>
      <c r="G87" s="2943"/>
      <c r="H87" s="294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43"/>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43"/>
      <c r="G89" s="2943"/>
      <c r="H89" s="294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43"/>
      <c r="G90" s="2943"/>
      <c r="H90" s="294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093" t="s">
        <v>2274</v>
      </c>
      <c r="F91" s="3094"/>
      <c r="G91" s="3094"/>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093" t="s">
        <v>2278</v>
      </c>
      <c r="F92" s="3094"/>
      <c r="G92" s="3094"/>
      <c r="H92" s="30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54</v>
      </c>
      <c r="D93" s="226">
        <f>'数据-取费表'!B43</f>
        <v>6.000000000000001E-3</v>
      </c>
      <c r="E93" s="3093" t="s">
        <v>2261</v>
      </c>
      <c r="F93" s="3094"/>
      <c r="G93" s="3094"/>
      <c r="H93" s="30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41" t="s">
        <v>2282</v>
      </c>
      <c r="F94" s="3142"/>
      <c r="G94" s="3142"/>
      <c r="H94" s="31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8883</v>
      </c>
      <c r="D95" s="200" t="s">
        <v>32</v>
      </c>
      <c r="E95" s="2946"/>
      <c r="F95" s="2941"/>
      <c r="G95" s="294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164.5</v>
      </c>
      <c r="D96" s="200" t="s">
        <v>32</v>
      </c>
      <c r="E96" s="2957"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5311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45" t="s">
        <v>2284</v>
      </c>
      <c r="B100" s="3046"/>
      <c r="C100" s="3046"/>
      <c r="D100" s="3077"/>
      <c r="E100" s="3046" t="s">
        <v>2285</v>
      </c>
      <c r="F100" s="3046"/>
      <c r="G100" s="3046"/>
      <c r="H100" s="3077"/>
      <c r="I100" s="138"/>
    </row>
    <row r="101" spans="1:35" ht="18.75" customHeight="1">
      <c r="A101" s="3085" t="s">
        <v>2286</v>
      </c>
      <c r="B101" s="3086"/>
      <c r="C101" s="736" t="str">
        <f>C4</f>
        <v>比较法-商业</v>
      </c>
      <c r="D101" s="737" t="str">
        <f>D4</f>
        <v>收益法（商业）</v>
      </c>
      <c r="E101" s="3057" t="s">
        <v>2287</v>
      </c>
      <c r="F101" s="3058"/>
      <c r="G101" s="2516" t="s">
        <v>2288</v>
      </c>
      <c r="H101" s="1043">
        <f ca="1">H118</f>
        <v>9384</v>
      </c>
      <c r="I101" s="138"/>
    </row>
    <row r="102" spans="1:35" ht="18.75" customHeight="1">
      <c r="A102" s="3087" t="s">
        <v>2289</v>
      </c>
      <c r="B102" s="2516" t="s">
        <v>2288</v>
      </c>
      <c r="C102" s="736">
        <f ca="1">C19</f>
        <v>9585</v>
      </c>
      <c r="D102" s="737">
        <f ca="1">D19</f>
        <v>8914</v>
      </c>
      <c r="E102" s="3057"/>
      <c r="F102" s="3058"/>
      <c r="G102" s="2516" t="s">
        <v>2290</v>
      </c>
      <c r="H102" s="371">
        <f ca="1">I118</f>
        <v>44595</v>
      </c>
      <c r="I102" s="138"/>
    </row>
    <row r="103" spans="1:35" ht="42.75" customHeight="1">
      <c r="A103" s="3087"/>
      <c r="B103" s="2516" t="s">
        <v>2290</v>
      </c>
      <c r="C103" s="738">
        <f ca="1">C20</f>
        <v>45548</v>
      </c>
      <c r="D103" s="739">
        <f ca="1">D20</f>
        <v>42361</v>
      </c>
      <c r="E103" s="3051" t="s">
        <v>2291</v>
      </c>
      <c r="F103" s="3052"/>
      <c r="G103" s="2517" t="s">
        <v>2292</v>
      </c>
      <c r="H103" s="1043">
        <f>IF(D36="正常操作",H104+H105+H106,H105+H106)</f>
        <v>0</v>
      </c>
      <c r="I103" s="138"/>
    </row>
    <row r="104" spans="1:35" ht="18.75" customHeight="1">
      <c r="A104" s="3087" t="s">
        <v>2293</v>
      </c>
      <c r="B104" s="2518" t="s">
        <v>2288</v>
      </c>
      <c r="C104" s="740">
        <f ca="1">H118</f>
        <v>9384</v>
      </c>
      <c r="D104" s="741"/>
      <c r="E104" s="2262" t="s">
        <v>2294</v>
      </c>
      <c r="F104" s="2254"/>
      <c r="G104" s="2517" t="s">
        <v>2292</v>
      </c>
      <c r="H104" s="1044">
        <f>IF(D36="同一抵押权人同一抵押物续贷",C36&amp;"（未扣减，详见特别提示）",C36)</f>
        <v>0</v>
      </c>
      <c r="I104" s="138"/>
    </row>
    <row r="105" spans="1:35" ht="18.75" customHeight="1" thickBot="1">
      <c r="A105" s="3099"/>
      <c r="B105" s="2519" t="s">
        <v>2290</v>
      </c>
      <c r="C105" s="742">
        <f ca="1">I118</f>
        <v>44595</v>
      </c>
      <c r="D105" s="743"/>
      <c r="E105" s="2262" t="s">
        <v>2295</v>
      </c>
      <c r="F105" s="2254"/>
      <c r="G105" s="2517" t="s">
        <v>2292</v>
      </c>
      <c r="H105" s="1044">
        <f>C37</f>
        <v>0</v>
      </c>
      <c r="I105" s="138"/>
    </row>
    <row r="106" spans="1:35" ht="18.75" customHeight="1">
      <c r="A106" s="2414" t="s">
        <v>2296</v>
      </c>
      <c r="B106" s="2414"/>
      <c r="C106" s="2414"/>
      <c r="D106" s="2414"/>
      <c r="E106" s="2520" t="s">
        <v>2297</v>
      </c>
      <c r="F106" s="2254"/>
      <c r="G106" s="2517" t="s">
        <v>2292</v>
      </c>
      <c r="H106" s="1044">
        <f>C38</f>
        <v>0</v>
      </c>
      <c r="I106" s="138"/>
    </row>
    <row r="107" spans="1:35" ht="18.75" customHeight="1">
      <c r="A107" s="138"/>
      <c r="B107" s="138"/>
      <c r="C107" s="138"/>
      <c r="D107" s="138"/>
      <c r="E107" s="3088" t="str">
        <f>IF(项目基本情况!E8="已注销","——","3.房地产抵押价值")</f>
        <v>3.房地产抵押价值</v>
      </c>
      <c r="F107" s="3058"/>
      <c r="G107" s="2516" t="s">
        <v>2288</v>
      </c>
      <c r="H107" s="1043">
        <f ca="1">IF(E107="——","——",H101-H103)</f>
        <v>9384</v>
      </c>
      <c r="I107" s="138"/>
    </row>
    <row r="108" spans="1:35" ht="18.75" customHeight="1">
      <c r="A108" s="138"/>
      <c r="B108" s="138"/>
      <c r="C108" s="138"/>
      <c r="D108" s="138"/>
      <c r="E108" s="3088"/>
      <c r="F108" s="3058"/>
      <c r="G108" s="2516" t="s">
        <v>2290</v>
      </c>
      <c r="H108" s="371">
        <f ca="1">ROUND(H107*10000/'数据-汇总表'!E3,0)</f>
        <v>8070</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6" t="s">
        <v>2288</v>
      </c>
      <c r="H109" s="348" t="str">
        <f>IF(E109="——","——",H101-H105-H106)</f>
        <v>——</v>
      </c>
      <c r="I109" s="138"/>
    </row>
    <row r="110" spans="1:35" ht="18.75" customHeight="1">
      <c r="A110" s="138"/>
      <c r="B110" s="138"/>
      <c r="C110" s="138"/>
      <c r="D110" s="138"/>
      <c r="E110" s="3088"/>
      <c r="F110" s="3058"/>
      <c r="G110" s="2516" t="s">
        <v>2290</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6" t="s">
        <v>2288</v>
      </c>
      <c r="H111" s="1043" t="str">
        <f>IF(E111="——","——",N59)</f>
        <v>——</v>
      </c>
      <c r="I111" s="138"/>
    </row>
    <row r="112" spans="1:35" ht="18.75" customHeight="1" thickBot="1">
      <c r="A112" s="138"/>
      <c r="B112" s="138"/>
      <c r="C112" s="138"/>
      <c r="D112" s="138"/>
      <c r="E112" s="3091"/>
      <c r="F112" s="3092"/>
      <c r="G112" s="2521" t="s">
        <v>2290</v>
      </c>
      <c r="H112" s="790" t="str">
        <f>IF(E111="——","——",N61)</f>
        <v>——</v>
      </c>
      <c r="I112" s="138"/>
    </row>
    <row r="113" spans="1:11" ht="18.75" customHeight="1">
      <c r="A113" s="138"/>
      <c r="B113" s="138"/>
      <c r="C113" s="138"/>
      <c r="D113" s="138"/>
      <c r="E113" s="3100" t="s">
        <v>2296</v>
      </c>
      <c r="F113" s="3100"/>
      <c r="G113" s="3100"/>
      <c r="H113" s="3100"/>
      <c r="I113" s="138"/>
    </row>
    <row r="114" spans="1:11" ht="3.75" customHeight="1">
      <c r="A114" s="2414"/>
      <c r="B114" s="2414"/>
      <c r="C114" s="2414"/>
      <c r="D114" s="2414"/>
      <c r="E114" s="2492"/>
      <c r="F114" s="2492"/>
      <c r="G114" s="2492"/>
      <c r="H114" s="2492"/>
      <c r="I114" s="2414"/>
    </row>
    <row r="115" spans="1:11" ht="18.75" customHeight="1">
      <c r="A115" s="3113" t="s">
        <v>2298</v>
      </c>
      <c r="B115" s="3114"/>
      <c r="C115" s="3114"/>
      <c r="D115" s="3114"/>
      <c r="E115" s="3114"/>
      <c r="F115" s="3114"/>
      <c r="G115" s="3114"/>
      <c r="H115" s="3114"/>
      <c r="I115" s="3115"/>
    </row>
    <row r="116" spans="1:11" ht="27" customHeight="1">
      <c r="A116" s="3024" t="s">
        <v>2299</v>
      </c>
      <c r="B116" s="3067" t="s">
        <v>2300</v>
      </c>
      <c r="C116" s="3067" t="s">
        <v>2301</v>
      </c>
      <c r="D116" s="3073" t="s">
        <v>2302</v>
      </c>
      <c r="E116" s="3074"/>
      <c r="F116" s="3109" t="s">
        <v>2303</v>
      </c>
      <c r="G116" s="3109"/>
      <c r="H116" s="3024" t="s">
        <v>2304</v>
      </c>
      <c r="I116" s="3024"/>
    </row>
    <row r="117" spans="1:11" ht="18.75" customHeight="1">
      <c r="A117" s="3024"/>
      <c r="B117" s="3068"/>
      <c r="C117" s="3068"/>
      <c r="D117" s="2938" t="s">
        <v>2305</v>
      </c>
      <c r="E117" s="2938" t="s">
        <v>2306</v>
      </c>
      <c r="F117" s="2938" t="s">
        <v>2305</v>
      </c>
      <c r="G117" s="2938" t="s">
        <v>2307</v>
      </c>
      <c r="H117" s="2938" t="s">
        <v>2305</v>
      </c>
      <c r="I117" s="2938" t="s">
        <v>2307</v>
      </c>
    </row>
    <row r="118" spans="1:11" ht="24.75" customHeight="1">
      <c r="A118" s="2522" t="str">
        <f>项目基本情况!S2</f>
        <v>北京市海淀区西四环北路160号房地产</v>
      </c>
      <c r="B118" s="2938">
        <f>M18</f>
        <v>2104.29</v>
      </c>
      <c r="C118" s="2938">
        <f>M19</f>
        <v>0</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9384</v>
      </c>
      <c r="I118" s="2938">
        <f ca="1">ROUND(IF(D32="楼面单价",C32,H118*10000/B118),0)</f>
        <v>44595</v>
      </c>
    </row>
    <row r="119" spans="1:11" ht="18.75" customHeight="1">
      <c r="A119" s="3024" t="s">
        <v>2308</v>
      </c>
      <c r="B119" s="3024"/>
      <c r="C119" s="3024"/>
      <c r="D119" s="3069" t="e">
        <f ca="1">NUMBERSTRING(INT(D118*10000),2)&amp;"元整"</f>
        <v>#REF!</v>
      </c>
      <c r="E119" s="3070"/>
      <c r="F119" s="3069" t="e">
        <f ca="1">NUMBERSTRING(INT(F118*10000),2)&amp;"元整"</f>
        <v>#REF!</v>
      </c>
      <c r="G119" s="3070"/>
      <c r="H119" s="3069" t="str">
        <f ca="1">NUMBERSTRING(INT(H118*10000),2)&amp;"元整"</f>
        <v>玖仟叁佰捌拾肆万元整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19" t="str">
        <f>IF(D120=0,"故，本次评估不存在"&amp;A120,"故，本次评估"&amp;A120&amp;"为人民币"&amp;D120&amp;"万元整。")</f>
        <v>故，本次评估不存在估价师知悉的法定优先受偿款</v>
      </c>
    </row>
    <row r="121" spans="1:11" ht="18.75" customHeight="1">
      <c r="A121" s="3110" t="s">
        <v>2308</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9384</v>
      </c>
      <c r="E122" s="3065"/>
      <c r="F122" s="3065"/>
      <c r="G122" s="3065"/>
      <c r="H122" s="3065"/>
      <c r="I122" s="3066"/>
    </row>
    <row r="123" spans="1:11" ht="18.75" customHeight="1">
      <c r="A123" s="3024" t="s">
        <v>2308</v>
      </c>
      <c r="B123" s="3024"/>
      <c r="C123" s="3024"/>
      <c r="D123" s="3069" t="str">
        <f ca="1">NUMBERSTRING(INT(D122*10000),2)&amp;"元整"</f>
        <v>玖仟叁佰捌拾肆万元整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2308</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2308</v>
      </c>
      <c r="B127" s="3024"/>
      <c r="C127" s="3024"/>
      <c r="D127" s="3069" t="e">
        <f>NUMBERSTRING(INT(D126*10000),2)&amp;"元整"</f>
        <v>#VALUE!</v>
      </c>
      <c r="E127" s="3071"/>
      <c r="F127" s="3071"/>
      <c r="G127" s="3071"/>
      <c r="H127" s="3071"/>
      <c r="I127" s="3070"/>
    </row>
    <row r="128" spans="1:11" ht="21.75" customHeight="1">
      <c r="A128" s="3072" t="s">
        <v>2309</v>
      </c>
      <c r="B128" s="3072"/>
      <c r="C128" s="3072"/>
      <c r="D128" s="3072"/>
      <c r="E128" s="3072"/>
      <c r="F128" s="3072"/>
      <c r="G128" s="3072"/>
      <c r="H128" s="3072"/>
      <c r="I128" s="3072"/>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2" zoomScaleNormal="100" zoomScaleSheetLayoutView="100" zoomScalePageLayoutView="80" workbookViewId="0">
      <selection activeCell="D14" sqref="D14:D1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t="s">
        <v>48</v>
      </c>
      <c r="D1" s="2414"/>
      <c r="E1" s="2414"/>
      <c r="F1" s="2416" t="s">
        <v>2109</v>
      </c>
      <c r="G1" s="2067" t="s">
        <v>3056</v>
      </c>
      <c r="H1" s="2417" t="str">
        <f>IF(G1="现房","——","估价对象范围")</f>
        <v>——</v>
      </c>
      <c r="I1" s="2418" t="s">
        <v>3584</v>
      </c>
    </row>
    <row r="2" spans="1:12" ht="21.75" customHeight="1" thickBot="1">
      <c r="A2" s="3123" t="str">
        <f>项目基本情况!S2</f>
        <v>北京市海淀区西四环北路160号房地产</v>
      </c>
      <c r="B2" s="3124"/>
      <c r="C2" s="3124"/>
      <c r="D2" s="3124"/>
      <c r="E2" s="3124"/>
      <c r="F2" s="3124"/>
      <c r="G2" s="3124"/>
      <c r="H2" s="3124"/>
      <c r="I2" s="3125"/>
    </row>
    <row r="3" spans="1:12" ht="12.75">
      <c r="A3" s="3126" t="s">
        <v>2110</v>
      </c>
      <c r="B3" s="3127"/>
      <c r="C3" s="3127"/>
      <c r="D3" s="3127"/>
      <c r="E3" s="3127"/>
      <c r="F3" s="3127"/>
      <c r="G3" s="3127"/>
      <c r="H3" s="3127"/>
      <c r="I3" s="3127"/>
    </row>
    <row r="4" spans="1:12" ht="14.25">
      <c r="A4" s="2421" t="s">
        <v>2111</v>
      </c>
      <c r="B4" s="2422" t="s">
        <v>2112</v>
      </c>
      <c r="C4" s="2423" t="s">
        <v>3723</v>
      </c>
      <c r="D4" s="2423" t="s">
        <v>3039</v>
      </c>
      <c r="E4" s="3107" t="s">
        <v>2113</v>
      </c>
      <c r="F4" s="3120"/>
      <c r="G4" s="3120"/>
      <c r="H4" s="3120"/>
      <c r="I4" s="3108"/>
      <c r="K4" s="2424" t="str">
        <f>IF(ISNUMBER(FIND("比较法",'结果表（车位）'!C4)),"比较法",IF(ISNUMBER(FIND("成本法",'结果表（车位）'!C4)),"成本法",IF(ISNUMBER(FIND("假设开发法",'结果表（车位）'!C4)),"假设开发法",IF(ISNUMBER(FIND("收益法",'结果表（车位）'!C4)),"收益法","基准地价系数修正法"))))</f>
        <v>比较法</v>
      </c>
      <c r="L4" s="2424"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098" t="s">
        <v>2114</v>
      </c>
      <c r="B5" s="3024">
        <v>25</v>
      </c>
      <c r="C5" s="3128"/>
      <c r="D5" s="3116"/>
      <c r="E5" s="140" t="s">
        <v>2115</v>
      </c>
      <c r="F5" s="2425"/>
      <c r="G5" s="2425"/>
      <c r="H5" s="2425"/>
      <c r="I5" s="1829"/>
    </row>
    <row r="6" spans="1:12" ht="12.75">
      <c r="A6" s="3098"/>
      <c r="B6" s="3024"/>
      <c r="C6" s="3130"/>
      <c r="D6" s="3116"/>
      <c r="E6" s="140" t="s">
        <v>2116</v>
      </c>
      <c r="F6" s="2425"/>
      <c r="G6" s="2425"/>
      <c r="H6" s="2425"/>
      <c r="I6" s="1829"/>
    </row>
    <row r="7" spans="1:12" ht="12.75">
      <c r="A7" s="3098"/>
      <c r="B7" s="3024"/>
      <c r="C7" s="3129"/>
      <c r="D7" s="3116"/>
      <c r="E7" s="140" t="s">
        <v>2117</v>
      </c>
      <c r="F7" s="2425"/>
      <c r="G7" s="2425"/>
      <c r="H7" s="2425"/>
      <c r="I7" s="1829"/>
    </row>
    <row r="8" spans="1:12" ht="12.75">
      <c r="A8" s="3098" t="s">
        <v>2118</v>
      </c>
      <c r="B8" s="3024">
        <v>15</v>
      </c>
      <c r="C8" s="3128"/>
      <c r="D8" s="3116"/>
      <c r="E8" s="140" t="s">
        <v>2119</v>
      </c>
      <c r="F8" s="2425"/>
      <c r="G8" s="2425"/>
      <c r="H8" s="2425"/>
      <c r="I8" s="1829"/>
    </row>
    <row r="9" spans="1:12" ht="12.75">
      <c r="A9" s="3098"/>
      <c r="B9" s="3024"/>
      <c r="C9" s="3129"/>
      <c r="D9" s="3116"/>
      <c r="E9" s="140" t="s">
        <v>2120</v>
      </c>
      <c r="F9" s="2425"/>
      <c r="G9" s="2425"/>
      <c r="H9" s="2425"/>
      <c r="I9" s="1829"/>
    </row>
    <row r="10" spans="1:12" ht="12.75">
      <c r="A10" s="3098" t="s">
        <v>2121</v>
      </c>
      <c r="B10" s="3024">
        <v>15</v>
      </c>
      <c r="C10" s="3128"/>
      <c r="D10" s="3116"/>
      <c r="E10" s="140" t="s">
        <v>2122</v>
      </c>
      <c r="F10" s="2425"/>
      <c r="G10" s="2425"/>
      <c r="H10" s="2425"/>
      <c r="I10" s="1829"/>
    </row>
    <row r="11" spans="1:12" ht="12.75">
      <c r="A11" s="3098"/>
      <c r="B11" s="3024"/>
      <c r="C11" s="3129"/>
      <c r="D11" s="3116"/>
      <c r="E11" s="140" t="s">
        <v>2123</v>
      </c>
      <c r="F11" s="2425"/>
      <c r="G11" s="2425"/>
      <c r="H11" s="2425"/>
      <c r="I11" s="1829"/>
    </row>
    <row r="12" spans="1:12" ht="12.75">
      <c r="A12" s="3098" t="s">
        <v>2124</v>
      </c>
      <c r="B12" s="3024">
        <v>15</v>
      </c>
      <c r="C12" s="3128"/>
      <c r="D12" s="3116"/>
      <c r="E12" s="140" t="s">
        <v>2125</v>
      </c>
      <c r="F12" s="2425"/>
      <c r="G12" s="2425"/>
      <c r="H12" s="2425"/>
      <c r="I12" s="1829"/>
    </row>
    <row r="13" spans="1:12" ht="12.75">
      <c r="A13" s="3098"/>
      <c r="B13" s="3024"/>
      <c r="C13" s="3129"/>
      <c r="D13" s="3116"/>
      <c r="E13" s="140" t="s">
        <v>2126</v>
      </c>
      <c r="F13" s="2425"/>
      <c r="G13" s="2425"/>
      <c r="H13" s="2425"/>
      <c r="I13" s="1829"/>
    </row>
    <row r="14" spans="1:12" ht="12.75">
      <c r="A14" s="3098" t="s">
        <v>2127</v>
      </c>
      <c r="B14" s="3024">
        <v>30</v>
      </c>
      <c r="C14" s="3128">
        <v>7</v>
      </c>
      <c r="D14" s="3116">
        <v>3</v>
      </c>
      <c r="E14" s="140" t="s">
        <v>2128</v>
      </c>
      <c r="F14" s="2425"/>
      <c r="G14" s="2425"/>
      <c r="H14" s="2425"/>
      <c r="I14" s="1829"/>
    </row>
    <row r="15" spans="1:12" ht="12.75">
      <c r="A15" s="3098"/>
      <c r="B15" s="3024"/>
      <c r="C15" s="3130"/>
      <c r="D15" s="3116"/>
      <c r="E15" s="140" t="s">
        <v>2129</v>
      </c>
      <c r="F15" s="2425"/>
      <c r="G15" s="2425"/>
      <c r="H15" s="2425"/>
      <c r="I15" s="1829"/>
    </row>
    <row r="16" spans="1:12" ht="12.75">
      <c r="A16" s="3098"/>
      <c r="B16" s="3024"/>
      <c r="C16" s="3129"/>
      <c r="D16" s="3116"/>
      <c r="E16" s="140" t="s">
        <v>2130</v>
      </c>
      <c r="F16" s="2425"/>
      <c r="G16" s="2425"/>
      <c r="H16" s="2425"/>
      <c r="I16" s="1829"/>
    </row>
    <row r="17" spans="1:35" ht="15">
      <c r="A17" s="2426" t="s">
        <v>2131</v>
      </c>
      <c r="B17" s="64"/>
      <c r="C17" s="141">
        <f>SUM(C5:C16)</f>
        <v>7</v>
      </c>
      <c r="D17" s="141">
        <f>SUM(D5:D16)</f>
        <v>3</v>
      </c>
      <c r="E17" s="138"/>
      <c r="F17" s="138"/>
      <c r="G17" s="138"/>
      <c r="H17" s="138"/>
      <c r="I17" s="138"/>
      <c r="K17" s="2424"/>
      <c r="L17" s="2427" t="s">
        <v>2132</v>
      </c>
      <c r="M17" s="2427" t="s">
        <v>2133</v>
      </c>
    </row>
    <row r="18" spans="1:35" ht="15.75" thickBot="1">
      <c r="A18" s="2428" t="s">
        <v>2134</v>
      </c>
      <c r="B18" s="2429"/>
      <c r="C18" s="142">
        <f>ROUND(C17/SUM(C17:D17),2)</f>
        <v>0.7</v>
      </c>
      <c r="D18" s="142">
        <f>1-C18</f>
        <v>0.30000000000000004</v>
      </c>
      <c r="E18" s="138"/>
      <c r="F18" s="138"/>
      <c r="G18" s="138"/>
      <c r="H18" s="138"/>
      <c r="I18" s="138"/>
      <c r="K18" s="2424" t="s">
        <v>2135</v>
      </c>
      <c r="L18" s="2424">
        <f>IF(C1="",'数据-汇总表'!E3,SUMIF(项目类型,C1,'数据-汇总表'!E17:E26)+SUMIF(项目类型,C1,'数据-汇总表'!I17:I26))</f>
        <v>991.5300000000002</v>
      </c>
      <c r="M18" s="2424">
        <f>IF(C1="",'数据-汇总表'!E3,SUMIF(项目类型,C1,'数据-汇总表'!E17:E26))</f>
        <v>991.5300000000002</v>
      </c>
    </row>
    <row r="19" spans="1:35" ht="15">
      <c r="A19" s="2430" t="s">
        <v>2136</v>
      </c>
      <c r="B19" s="2431" t="s">
        <v>2137</v>
      </c>
      <c r="C19" s="143">
        <f ca="1">SUMIF(INDIRECT("'"&amp;C4&amp;"'"&amp;"!A:A"),'结果表（车位）'!B19,INDIRECT("'"&amp;C4&amp;"'"&amp;"!B:B"))</f>
        <v>483</v>
      </c>
      <c r="D19" s="144">
        <f ca="1">SUMIF(INDIRECT("'"&amp;D4&amp;"'"&amp;"!A:A"),'结果表（车位）'!B19,INDIRECT("'"&amp;D4&amp;"'"&amp;"!B:B"))</f>
        <v>280</v>
      </c>
      <c r="E19" s="2430" t="s">
        <v>2138</v>
      </c>
      <c r="F19" s="2431" t="s">
        <v>2137</v>
      </c>
      <c r="G19" s="145">
        <f ca="1">ROUND(C19*$C$18+D19*$D$18,0)</f>
        <v>422</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5" t="s">
        <v>2141</v>
      </c>
      <c r="C20" s="146">
        <f ca="1">SUMIF(INDIRECT("'"&amp;C4&amp;"'"&amp;"!A:A"),'结果表（车位）'!B20,INDIRECT("'"&amp;C4&amp;"'"&amp;"!B:B"))</f>
        <v>4871</v>
      </c>
      <c r="D20" s="147">
        <f ca="1">SUMIF(INDIRECT("'"&amp;D4&amp;"'"&amp;"!A:A"),'结果表（车位）'!B20,INDIRECT("'"&amp;D4&amp;"'"&amp;"!B:B"))</f>
        <v>2824</v>
      </c>
      <c r="E20" s="2433"/>
      <c r="F20" s="1245" t="s">
        <v>2141</v>
      </c>
      <c r="G20" s="148">
        <f ca="1">ROUND(C20*$C$18+D20*$D$18,0)</f>
        <v>4257</v>
      </c>
      <c r="H20" s="978" t="s">
        <v>2142</v>
      </c>
      <c r="I20" s="138"/>
    </row>
    <row r="21" spans="1:35" ht="15" customHeight="1" thickBot="1">
      <c r="A21" s="998"/>
      <c r="B21" s="2434" t="s">
        <v>2143</v>
      </c>
      <c r="C21" s="789" t="e">
        <f ca="1">ROUND(C19*10000/L19,0)</f>
        <v>#DIV/0!</v>
      </c>
      <c r="D21" s="790" t="e">
        <f ca="1">ROUND(D19*10000/L19,0)</f>
        <v>#DIV/0!</v>
      </c>
      <c r="E21" s="998"/>
      <c r="F21" s="2434" t="s">
        <v>2143</v>
      </c>
      <c r="G21" s="149" t="e">
        <f ca="1">ROUND(G19*10000/L19,0)</f>
        <v>#DIV/0!</v>
      </c>
      <c r="H21" s="2435" t="s">
        <v>2142</v>
      </c>
      <c r="I21" s="138"/>
    </row>
    <row r="22" spans="1:35" ht="15" thickBot="1">
      <c r="A22" s="2276" t="s">
        <v>2144</v>
      </c>
      <c r="B22" s="2436"/>
      <c r="C22" s="2437"/>
      <c r="D22" s="791">
        <f ca="1">IF(C19&lt;D19,D19/C19-1,C19/D19-1)</f>
        <v>0.72500000000000009</v>
      </c>
      <c r="E22" s="138"/>
      <c r="F22" s="138"/>
      <c r="G22" s="138"/>
      <c r="H22" s="138"/>
      <c r="I22" s="138"/>
    </row>
    <row r="23" spans="1:35" ht="13.5" thickBot="1">
      <c r="A23" s="2414"/>
      <c r="B23" s="2414"/>
      <c r="C23" s="2414"/>
      <c r="D23" s="2414"/>
      <c r="E23" s="138"/>
      <c r="F23" s="138"/>
      <c r="G23" s="138"/>
      <c r="H23" s="138"/>
      <c r="I23" s="138"/>
    </row>
    <row r="24" spans="1:35" ht="14.25">
      <c r="A24" s="3137" t="s">
        <v>2145</v>
      </c>
      <c r="B24" s="2431" t="s">
        <v>2137</v>
      </c>
      <c r="C24" s="145">
        <f>IF(B30=0,0,D30)</f>
        <v>0</v>
      </c>
      <c r="D24" s="2438"/>
      <c r="E24" s="138"/>
      <c r="F24" s="138"/>
      <c r="G24" s="138"/>
      <c r="H24" s="138"/>
      <c r="I24" s="138"/>
    </row>
    <row r="25" spans="1:35" ht="14.25">
      <c r="A25" s="3138"/>
      <c r="B25" s="1245"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2"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422</v>
      </c>
      <c r="D32" s="2445" t="s">
        <v>2152</v>
      </c>
      <c r="E32" s="138"/>
      <c r="F32" s="138"/>
      <c r="G32" s="138"/>
      <c r="H32" s="138"/>
      <c r="I32" s="138"/>
    </row>
    <row r="33" spans="1:15" ht="15">
      <c r="A33" s="955" t="s">
        <v>2153</v>
      </c>
      <c r="B33" s="2446"/>
      <c r="C33" s="2447"/>
      <c r="D33" s="2448"/>
      <c r="E33" s="2449" t="s">
        <v>2154</v>
      </c>
      <c r="F33" s="2939" t="str">
        <f>IF(D32="楼面单价","取值（单价）","取值（总价）")</f>
        <v>取值（总价）</v>
      </c>
      <c r="G33" s="138"/>
      <c r="H33" s="138"/>
      <c r="I33" s="138"/>
    </row>
    <row r="34" spans="1:15" ht="15">
      <c r="A34" s="2451"/>
      <c r="B34" s="2452" t="s">
        <v>2155</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2156</v>
      </c>
      <c r="F34" s="1734"/>
      <c r="G34" s="138"/>
      <c r="H34" s="138"/>
      <c r="I34" s="138"/>
    </row>
    <row r="35" spans="1:15" ht="15.75" thickBot="1">
      <c r="A35" s="2454"/>
      <c r="B35" s="2455" t="s">
        <v>2157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2158</v>
      </c>
      <c r="F35" s="163"/>
      <c r="G35" s="138"/>
      <c r="H35" s="138"/>
      <c r="I35" s="138"/>
    </row>
    <row r="36" spans="1:15" ht="15.75" thickBot="1">
      <c r="A36" s="3117" t="s">
        <v>2159</v>
      </c>
      <c r="B36" s="2457" t="s">
        <v>2160</v>
      </c>
      <c r="C36" s="154"/>
      <c r="D36" s="2458"/>
      <c r="E36" s="2459"/>
      <c r="F36" s="2460"/>
      <c r="G36" s="138"/>
      <c r="H36" s="138"/>
      <c r="I36" s="138"/>
    </row>
    <row r="37" spans="1:15" ht="15.75" thickBot="1">
      <c r="A37" s="3118"/>
      <c r="B37" s="2262" t="s">
        <v>2161</v>
      </c>
      <c r="C37" s="156"/>
      <c r="D37" s="1390"/>
      <c r="E37" s="1390"/>
      <c r="F37" s="2460"/>
      <c r="G37" s="138"/>
      <c r="H37" s="138"/>
      <c r="I37" s="138"/>
    </row>
    <row r="38" spans="1:15" ht="15.75" thickBot="1">
      <c r="A38" s="3119"/>
      <c r="B38" s="2461" t="s">
        <v>2162</v>
      </c>
      <c r="C38" s="727"/>
      <c r="D38" s="2462" t="s">
        <v>2163</v>
      </c>
      <c r="E38" s="1390"/>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34" t="s">
        <v>2173</v>
      </c>
      <c r="B45" s="3135"/>
      <c r="C45" s="3136"/>
      <c r="D45" s="164">
        <f ca="1">ROUND(H101*F45,0)</f>
        <v>422</v>
      </c>
      <c r="E45" s="165" t="s">
        <v>2174</v>
      </c>
      <c r="F45" s="166">
        <v>1</v>
      </c>
      <c r="G45" s="167" t="s">
        <v>2175</v>
      </c>
      <c r="H45" s="138"/>
      <c r="I45" s="138"/>
      <c r="J45" s="3053" t="s">
        <v>2176</v>
      </c>
      <c r="K45" s="3053"/>
      <c r="L45" s="3053"/>
      <c r="M45" s="3053"/>
      <c r="N45" s="3053"/>
      <c r="O45" s="3053"/>
    </row>
    <row r="46" spans="1:15" ht="14.25" customHeight="1">
      <c r="A46" s="3131" t="s">
        <v>2177</v>
      </c>
      <c r="B46" s="3132"/>
      <c r="C46" s="3132"/>
      <c r="D46" s="3132"/>
      <c r="E46" s="3132"/>
      <c r="F46" s="3132"/>
      <c r="G46" s="3133"/>
      <c r="H46" s="2476"/>
      <c r="I46" s="168"/>
      <c r="J46" s="2952">
        <v>1</v>
      </c>
      <c r="K46" s="3053" t="s">
        <v>2178</v>
      </c>
      <c r="L46" s="3053"/>
      <c r="M46" s="3054"/>
      <c r="N46" s="3054"/>
      <c r="O46" s="3054"/>
    </row>
    <row r="47" spans="1:15" ht="12" customHeight="1">
      <c r="A47" s="169" t="s">
        <v>2179</v>
      </c>
      <c r="B47" s="170"/>
      <c r="C47" s="171"/>
      <c r="D47" s="172" t="s">
        <v>2180</v>
      </c>
      <c r="E47" s="24" t="s">
        <v>2181</v>
      </c>
      <c r="F47" s="173" t="s">
        <v>2182</v>
      </c>
      <c r="G47" s="174" t="s">
        <v>2183</v>
      </c>
      <c r="H47" s="2476"/>
      <c r="I47" s="168"/>
      <c r="J47" s="2952">
        <v>2</v>
      </c>
      <c r="K47" s="3053" t="s">
        <v>2184</v>
      </c>
      <c r="L47" s="3053"/>
      <c r="M47" s="3055">
        <f>'数据-取费表'!B2</f>
        <v>43185</v>
      </c>
      <c r="N47" s="3055"/>
      <c r="O47" s="3055"/>
    </row>
    <row r="48" spans="1:15" ht="25.5">
      <c r="A48" s="3121" t="s">
        <v>2185</v>
      </c>
      <c r="B48" s="3122"/>
      <c r="C48" s="3122"/>
      <c r="D48" s="140">
        <f>IF(H48="情况1",0,IF(H48="情况2",D52,IF(H48="情况3",D53,IF(H48="情况4",D54))))</f>
        <v>0</v>
      </c>
      <c r="E48" s="2944" t="str">
        <f>IF(H48="情况4","(销售额-原购置价)×税（费）率","销售额×税（费）率")</f>
        <v>销售额×税（费）率</v>
      </c>
      <c r="F48" s="175" t="str">
        <f>IF(H48="情况1","免征",'数据-取费表'!B41)</f>
        <v>免征</v>
      </c>
      <c r="G48" s="2477" t="s">
        <v>2186</v>
      </c>
      <c r="H48" s="2478" t="s">
        <v>2187</v>
      </c>
      <c r="I48" s="2476"/>
      <c r="J48" s="2952">
        <v>3</v>
      </c>
      <c r="K48" s="3053" t="s">
        <v>2188</v>
      </c>
      <c r="L48" s="3053"/>
      <c r="M48" s="3056">
        <f ca="1">H101</f>
        <v>422</v>
      </c>
      <c r="N48" s="3056"/>
      <c r="O48" s="3056"/>
    </row>
    <row r="49" spans="1:35" ht="25.5" customHeight="1">
      <c r="A49" s="176" t="s">
        <v>2189</v>
      </c>
      <c r="B49" s="3101" t="s">
        <v>2190</v>
      </c>
      <c r="C49" s="3101"/>
      <c r="D49" s="177">
        <v>0</v>
      </c>
      <c r="E49" s="23" t="s">
        <v>2191</v>
      </c>
      <c r="F49" s="28" t="s">
        <v>34</v>
      </c>
      <c r="G49" s="3082"/>
      <c r="H49" s="138"/>
      <c r="I49" s="2479"/>
      <c r="J49" s="2952">
        <v>4</v>
      </c>
      <c r="K49" s="3053" t="str">
        <f>IF(项目基本情况!E8="房地产抵押价值","房地产抵押价值","抵押担保权已注销时的房地产抵押价值")</f>
        <v>房地产抵押价值</v>
      </c>
      <c r="L49" s="3053"/>
      <c r="M49" s="3056">
        <f ca="1">IF(项目基本情况!E8="房地产抵押价值",H107,H109)</f>
        <v>422</v>
      </c>
      <c r="N49" s="3056"/>
      <c r="O49" s="3056"/>
    </row>
    <row r="50" spans="1:35" ht="25.5" customHeight="1">
      <c r="A50" s="178"/>
      <c r="B50" s="3101" t="s">
        <v>2192</v>
      </c>
      <c r="C50" s="3101"/>
      <c r="D50" s="179"/>
      <c r="E50" s="31"/>
      <c r="F50" s="180"/>
      <c r="G50" s="3083"/>
      <c r="H50" s="138"/>
      <c r="I50" s="2479"/>
      <c r="J50" s="3053" t="s">
        <v>2193</v>
      </c>
      <c r="K50" s="3053"/>
      <c r="L50" s="3053"/>
      <c r="M50" s="3053"/>
      <c r="N50" s="3053"/>
      <c r="O50" s="3053"/>
    </row>
    <row r="51" spans="1:35" ht="12" customHeight="1">
      <c r="A51" s="181"/>
      <c r="B51" s="3101" t="s">
        <v>2194</v>
      </c>
      <c r="C51" s="3101"/>
      <c r="D51" s="182"/>
      <c r="E51" s="30"/>
      <c r="F51" s="180"/>
      <c r="G51" s="3084"/>
      <c r="H51" s="138"/>
      <c r="I51" s="2479"/>
      <c r="J51" s="2951" t="s">
        <v>2195</v>
      </c>
      <c r="K51" s="3053" t="s">
        <v>2196</v>
      </c>
      <c r="L51" s="3053"/>
      <c r="M51" s="2951" t="s">
        <v>2197</v>
      </c>
      <c r="N51" s="2951" t="s">
        <v>2198</v>
      </c>
      <c r="O51" s="2951" t="s">
        <v>2199</v>
      </c>
    </row>
    <row r="52" spans="1:35" ht="24" customHeight="1">
      <c r="A52" s="183" t="s">
        <v>2200</v>
      </c>
      <c r="B52" s="3101" t="s">
        <v>2201</v>
      </c>
      <c r="C52" s="3101"/>
      <c r="D52" s="182">
        <f ca="1">ROUND(D45*'数据-取费表'!B41/(1+'数据-取费表'!C42),0)</f>
        <v>23</v>
      </c>
      <c r="E52" s="11" t="s">
        <v>2202</v>
      </c>
      <c r="F52" s="184">
        <f>'数据-取费表'!B41</f>
        <v>5.6000000000000001E-2</v>
      </c>
      <c r="G52" s="2481"/>
      <c r="H52" s="138"/>
      <c r="I52" s="2479"/>
      <c r="J52" s="2952">
        <v>1</v>
      </c>
      <c r="K52" s="3076" t="s">
        <v>2203</v>
      </c>
      <c r="L52" s="3076"/>
      <c r="M52" s="1749">
        <f>D48</f>
        <v>0</v>
      </c>
      <c r="N52" s="2952" t="str">
        <f>E48</f>
        <v>销售额×税（费）率</v>
      </c>
      <c r="O52" s="1750" t="str">
        <f>F48</f>
        <v>免征</v>
      </c>
    </row>
    <row r="53" spans="1:35" ht="12" customHeight="1">
      <c r="A53" s="183" t="s">
        <v>2204</v>
      </c>
      <c r="B53" s="3102" t="s">
        <v>2205</v>
      </c>
      <c r="C53" s="3103"/>
      <c r="D53" s="182">
        <f ca="1">ROUND(D45*'数据-取费表'!B41/(1+'数据-取费表'!C42),0)</f>
        <v>23</v>
      </c>
      <c r="E53" s="11" t="s">
        <v>2202</v>
      </c>
      <c r="F53" s="184">
        <f>'数据-取费表'!B41</f>
        <v>5.6000000000000001E-2</v>
      </c>
      <c r="G53" s="2481"/>
      <c r="H53" s="138"/>
      <c r="I53" s="2479"/>
      <c r="J53" s="2952">
        <v>2</v>
      </c>
      <c r="K53" s="3076" t="s">
        <v>2206</v>
      </c>
      <c r="L53" s="3076"/>
      <c r="M53" s="1749">
        <f t="shared" ref="M53:O54" ca="1" si="0">D55</f>
        <v>0</v>
      </c>
      <c r="N53" s="2952" t="str">
        <f t="shared" si="0"/>
        <v>销售额×税（费）率</v>
      </c>
      <c r="O53" s="1750">
        <f t="shared" si="0"/>
        <v>5.0000000000000001E-4</v>
      </c>
    </row>
    <row r="54" spans="1:35" ht="12" customHeight="1">
      <c r="A54" s="183" t="s">
        <v>2207</v>
      </c>
      <c r="B54" s="3102" t="s">
        <v>2208</v>
      </c>
      <c r="C54" s="3103"/>
      <c r="D54" s="182">
        <f ca="1">C68</f>
        <v>23</v>
      </c>
      <c r="E54" s="30" t="s">
        <v>2209</v>
      </c>
      <c r="F54" s="184">
        <f>'数据-取费表'!B41</f>
        <v>5.6000000000000001E-2</v>
      </c>
      <c r="G54" s="2481"/>
      <c r="H54" s="2482"/>
      <c r="I54" s="2479"/>
      <c r="J54" s="2952">
        <v>3</v>
      </c>
      <c r="K54" s="3076" t="s">
        <v>2210</v>
      </c>
      <c r="L54" s="3076"/>
      <c r="M54" s="1749">
        <f t="shared" ca="1" si="0"/>
        <v>239</v>
      </c>
      <c r="N54" s="2952" t="str">
        <f t="shared" si="0"/>
        <v>增值额×税（费）率</v>
      </c>
      <c r="O54" s="1751" t="str">
        <f t="shared" si="0"/>
        <v>——</v>
      </c>
    </row>
    <row r="55" spans="1:35" ht="24" customHeight="1">
      <c r="A55" s="3140" t="s">
        <v>2211</v>
      </c>
      <c r="B55" s="3122"/>
      <c r="C55" s="3122"/>
      <c r="D55" s="185">
        <f ca="1">IF(H55="个人住宅",0,ROUND(D45*I55,0))</f>
        <v>0</v>
      </c>
      <c r="E55" s="11" t="s">
        <v>2212</v>
      </c>
      <c r="F55" s="184">
        <f>IF(H55="正常",I55,"免征")</f>
        <v>5.0000000000000001E-4</v>
      </c>
      <c r="G55" s="2481"/>
      <c r="H55" s="2478" t="s">
        <v>2213</v>
      </c>
      <c r="I55" s="186">
        <f>'数据-取费表'!B49</f>
        <v>5.0000000000000001E-4</v>
      </c>
      <c r="J55" s="2952" t="str">
        <f>IF(H59="非个人房产","",4)</f>
        <v/>
      </c>
      <c r="K55" s="3076" t="str">
        <f>IF(H59="非个人房产","——","个人所得税")</f>
        <v>——</v>
      </c>
      <c r="L55" s="3076"/>
      <c r="M55" s="1752" t="str">
        <f>D59</f>
        <v>——</v>
      </c>
      <c r="N55" s="2953" t="str">
        <f>E59</f>
        <v>——</v>
      </c>
      <c r="O55" s="1753" t="str">
        <f>F59</f>
        <v>——</v>
      </c>
    </row>
    <row r="56" spans="1:35" ht="24.75">
      <c r="A56" s="3140" t="s">
        <v>2214</v>
      </c>
      <c r="B56" s="3122"/>
      <c r="C56" s="3122"/>
      <c r="D56" s="185">
        <f ca="1">IF(H56="个人住宅",D57,D58)</f>
        <v>239</v>
      </c>
      <c r="E56" s="11" t="s">
        <v>2215</v>
      </c>
      <c r="F56" s="184" t="str">
        <f>IF(H56="正常",F58,"免征")</f>
        <v>——</v>
      </c>
      <c r="G56" s="2483" t="s">
        <v>2216</v>
      </c>
      <c r="H56" s="2484" t="s">
        <v>2213</v>
      </c>
      <c r="I56" s="2485"/>
      <c r="J56" s="2952" t="str">
        <f>IF(项目基本情况!K6="上海银行",IF(J55="",4,J55+1),"")</f>
        <v/>
      </c>
      <c r="K56" s="3059" t="str">
        <f>IF(项目基本情况!K6="上海银行","其他处置费用","")</f>
        <v/>
      </c>
      <c r="L56" s="3060"/>
      <c r="M56" s="1749" t="str">
        <f>IF(项目基本情况!K6="上海银行",M69,"")</f>
        <v/>
      </c>
      <c r="N56" s="3062" t="str">
        <f>IF(项目基本情况!K6="上海银行","包含处置中涉及的律师、诉讼、拍卖、评估等费用","")</f>
        <v/>
      </c>
      <c r="O56" s="3063"/>
    </row>
    <row r="57" spans="1:35" ht="12.75">
      <c r="A57" s="183" t="s">
        <v>2189</v>
      </c>
      <c r="B57" s="3107" t="s">
        <v>2217</v>
      </c>
      <c r="C57" s="3108"/>
      <c r="D57" s="187">
        <v>0</v>
      </c>
      <c r="E57" s="23" t="s">
        <v>2191</v>
      </c>
      <c r="F57" s="155"/>
      <c r="G57" s="2481"/>
      <c r="H57" s="2485"/>
      <c r="I57" s="2485"/>
      <c r="J57" s="3076">
        <f>IF(AND(J55="",J56=""),4,IF(项目基本情况!K6="上海银行",'结果表（车位）'!J56+1,'结果表（车位）'!J55+1))</f>
        <v>4</v>
      </c>
      <c r="K57" s="3076" t="s">
        <v>2218</v>
      </c>
      <c r="L57" s="2486" t="s">
        <v>2219</v>
      </c>
      <c r="M57" s="1754"/>
      <c r="N57" s="1755">
        <f ca="1">SUMIF(M52:M56,"&lt;9e307")</f>
        <v>239</v>
      </c>
      <c r="O57" s="2487"/>
      <c r="P57" s="1748">
        <f ca="1">N57/M49</f>
        <v>0.56635071090047395</v>
      </c>
    </row>
    <row r="58" spans="1:35" ht="24.75">
      <c r="A58" s="183" t="s">
        <v>2200</v>
      </c>
      <c r="B58" s="3107" t="s">
        <v>2220</v>
      </c>
      <c r="C58" s="3120"/>
      <c r="D58" s="185">
        <f ca="1">IF(H58="转让取得",C81,C97)</f>
        <v>239</v>
      </c>
      <c r="E58" s="11" t="s">
        <v>2215</v>
      </c>
      <c r="F58" s="24" t="s">
        <v>34</v>
      </c>
      <c r="G58" s="2481"/>
      <c r="H58" s="2484" t="s">
        <v>2221</v>
      </c>
      <c r="I58" s="2485"/>
      <c r="J58" s="3076"/>
      <c r="K58" s="3076"/>
      <c r="L58" s="2486" t="s">
        <v>2222</v>
      </c>
      <c r="M58" s="1756"/>
      <c r="N58" s="2488" t="str">
        <f ca="1">NUMBERSTRING(INT(N57*10000),2)&amp;"元整"</f>
        <v>贰佰叁拾玖万元整</v>
      </c>
      <c r="O58" s="2489"/>
    </row>
    <row r="59" spans="1:35" ht="24.75" thickBot="1">
      <c r="A59" s="3080" t="s">
        <v>2223</v>
      </c>
      <c r="B59" s="3081"/>
      <c r="C59" s="3081"/>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078">
        <f>J57+1</f>
        <v>5</v>
      </c>
      <c r="K59" s="3076" t="s">
        <v>2225</v>
      </c>
      <c r="L59" s="2952" t="s">
        <v>2219</v>
      </c>
      <c r="M59" s="1757"/>
      <c r="N59" s="1758">
        <f ca="1">M49-N57</f>
        <v>183</v>
      </c>
      <c r="O59" s="2491"/>
    </row>
    <row r="60" spans="1:35" ht="12" customHeight="1">
      <c r="A60" s="2492"/>
      <c r="B60" s="2414"/>
      <c r="C60" s="2414"/>
      <c r="D60" s="2414"/>
      <c r="E60" s="2162"/>
      <c r="F60" s="2485"/>
      <c r="G60" s="2485"/>
      <c r="H60" s="2493"/>
      <c r="I60" s="138"/>
      <c r="J60" s="3079"/>
      <c r="K60" s="3076"/>
      <c r="L60" s="2486" t="s">
        <v>2222</v>
      </c>
      <c r="M60" s="1756"/>
      <c r="N60" s="2488" t="str">
        <f ca="1">NUMBERSTRING(INT(N59*10000),2)&amp;"元整"</f>
        <v>壹佰捌拾叁万元整</v>
      </c>
      <c r="O60" s="2489"/>
    </row>
    <row r="61" spans="1:35" ht="13.5" thickBot="1">
      <c r="A61" s="3139" t="s">
        <v>2226</v>
      </c>
      <c r="B61" s="3139"/>
      <c r="C61" s="3139"/>
      <c r="D61" s="3139"/>
      <c r="E61" s="3139"/>
      <c r="F61" s="2485"/>
      <c r="G61" s="2485"/>
      <c r="H61" s="2493"/>
      <c r="I61" s="138"/>
      <c r="J61" s="2952">
        <f>J59+1</f>
        <v>6</v>
      </c>
      <c r="K61" s="3076" t="s">
        <v>2227</v>
      </c>
      <c r="L61" s="3076"/>
      <c r="M61" s="1759"/>
      <c r="N61" s="1760">
        <f ca="1">ROUND(N59*10000/'数据-汇总表'!E3,0)</f>
        <v>157</v>
      </c>
      <c r="O61" s="2494"/>
    </row>
    <row r="62" spans="1:35" ht="12.75">
      <c r="A62" s="3096" t="s">
        <v>2228</v>
      </c>
      <c r="B62" s="3097"/>
      <c r="C62" s="2947"/>
      <c r="D62" s="2947" t="s">
        <v>2229</v>
      </c>
      <c r="E62" s="192" t="s">
        <v>2230</v>
      </c>
      <c r="F62" s="2485"/>
      <c r="G62" s="2485"/>
      <c r="H62" s="2493"/>
      <c r="I62" s="138"/>
    </row>
    <row r="63" spans="1:35" ht="12.75">
      <c r="A63" s="203" t="s">
        <v>775</v>
      </c>
      <c r="B63" s="193" t="s">
        <v>2231</v>
      </c>
      <c r="C63" s="194">
        <f ca="1">ROUND((C64+C65)/(1+'数据-取费表'!C42),0)</f>
        <v>402</v>
      </c>
      <c r="D63" s="195"/>
      <c r="E63" s="196"/>
      <c r="F63" s="2485"/>
      <c r="G63" s="2485"/>
      <c r="H63" s="2493"/>
      <c r="I63" s="138"/>
      <c r="J63" s="3061" t="s">
        <v>2232</v>
      </c>
      <c r="K63" s="2956" t="s">
        <v>2233</v>
      </c>
      <c r="L63" s="1747">
        <f ca="1">IF(M49&gt;10000,M49*0.5%,IF(AND(M49&gt;1000,M49&lt;=10000),M49*1%,IF(AND(M49&gt;100,M49&lt;=1000),M49*3%,IF(AND(M49&gt;10,M49&lt;=100),M49*5%,M49*8%))))</f>
        <v>12.66</v>
      </c>
      <c r="M63" s="24">
        <f ca="1">ROUND(L63,1)</f>
        <v>12.7</v>
      </c>
      <c r="Z63" s="2419"/>
      <c r="AI63" s="2420"/>
    </row>
    <row r="64" spans="1:35" ht="14.25" customHeight="1">
      <c r="A64" s="197" t="s">
        <v>770</v>
      </c>
      <c r="B64" s="198" t="s">
        <v>2234</v>
      </c>
      <c r="C64" s="199">
        <f ca="1">D45</f>
        <v>422</v>
      </c>
      <c r="D64" s="200" t="s">
        <v>32</v>
      </c>
      <c r="E64" s="201"/>
      <c r="F64" s="2485"/>
      <c r="G64" s="2485"/>
      <c r="H64" s="2493"/>
      <c r="I64" s="138"/>
      <c r="J64" s="3061"/>
      <c r="K64" s="2956" t="s">
        <v>2235</v>
      </c>
      <c r="L64" s="1747">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2236</v>
      </c>
      <c r="Z64" s="2419"/>
      <c r="AI64" s="2420"/>
    </row>
    <row r="65" spans="1:35" ht="14.25" customHeight="1">
      <c r="A65" s="197" t="s">
        <v>771</v>
      </c>
      <c r="B65" s="198" t="s">
        <v>2237</v>
      </c>
      <c r="C65" s="202"/>
      <c r="D65" s="200"/>
      <c r="E65" s="201"/>
      <c r="F65" s="2485"/>
      <c r="G65" s="2485"/>
      <c r="H65" s="2493"/>
      <c r="I65" s="138"/>
      <c r="J65" s="3061"/>
      <c r="K65" s="2956" t="s">
        <v>2238</v>
      </c>
      <c r="L65" s="1747">
        <f ca="1">IF(M49&gt;1000,M49*0.1%,IF(AND(M49&gt;500,M49&lt;=1000),M49*0.5%,IF(AND(M49&gt;50,M49&lt;=500),M49*1%,IF(AND(M49&gt;1,M49&lt;=50),M49*1.5%))))</f>
        <v>4.22</v>
      </c>
      <c r="M65" s="24">
        <f t="shared" ca="1" si="1"/>
        <v>4.2</v>
      </c>
      <c r="N65" s="138" t="s">
        <v>2236</v>
      </c>
      <c r="Z65" s="2419"/>
      <c r="AI65" s="2420"/>
    </row>
    <row r="66" spans="1:35" ht="14.25" customHeight="1">
      <c r="A66" s="203" t="s">
        <v>772</v>
      </c>
      <c r="B66" s="204" t="s">
        <v>2239</v>
      </c>
      <c r="C66" s="205"/>
      <c r="D66" s="206" t="s">
        <v>32</v>
      </c>
      <c r="E66" s="1771" t="s">
        <v>1371</v>
      </c>
      <c r="F66" s="2485"/>
      <c r="G66" s="2485"/>
      <c r="H66" s="2493"/>
      <c r="I66" s="138"/>
      <c r="J66" s="3061"/>
      <c r="K66" s="2956" t="s">
        <v>2240</v>
      </c>
      <c r="L66" s="1747">
        <f ca="1">M49*0.5%</f>
        <v>2.11</v>
      </c>
      <c r="M66" s="24">
        <f ca="1">IF(L66&gt;0.5,0.5,ROUND(L66,0))</f>
        <v>0.5</v>
      </c>
      <c r="N66" s="138" t="s">
        <v>2241</v>
      </c>
      <c r="Z66" s="2419"/>
      <c r="AI66" s="2420"/>
    </row>
    <row r="67" spans="1:35" ht="14.25" customHeight="1">
      <c r="A67" s="203" t="s">
        <v>773</v>
      </c>
      <c r="B67" s="204" t="s">
        <v>2242</v>
      </c>
      <c r="C67" s="207">
        <f ca="1">C63-C66</f>
        <v>402</v>
      </c>
      <c r="D67" s="200" t="s">
        <v>32</v>
      </c>
      <c r="E67" s="201"/>
      <c r="F67" s="2485"/>
      <c r="G67" s="2485"/>
      <c r="H67" s="2493"/>
      <c r="I67" s="138"/>
      <c r="J67" s="3061"/>
      <c r="K67" s="2956" t="s">
        <v>2243</v>
      </c>
      <c r="L67" s="1747">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19"/>
      <c r="AI67" s="2420"/>
    </row>
    <row r="68" spans="1:35" ht="14.25" customHeight="1" thickBot="1">
      <c r="A68" s="208" t="s">
        <v>774</v>
      </c>
      <c r="B68" s="209" t="s">
        <v>2244</v>
      </c>
      <c r="C68" s="210">
        <f ca="1">IF(C67&lt;=0,0,ROUND(C67*D68,0))</f>
        <v>23</v>
      </c>
      <c r="D68" s="211">
        <f>'数据-取费表'!B41</f>
        <v>5.6000000000000001E-2</v>
      </c>
      <c r="E68" s="212"/>
      <c r="F68" s="2485"/>
      <c r="G68" s="2485"/>
      <c r="H68" s="2493"/>
      <c r="I68" s="138"/>
      <c r="J68" s="3061"/>
      <c r="K68" s="2956" t="s">
        <v>2245</v>
      </c>
      <c r="L68" s="1747">
        <f ca="1">IF(M49&gt;10000,M49*0.5%,IF(AND(M49&gt;5000,M49&lt;=10000),M49*1%,IF(AND(M49&gt;1000,M49&lt;=5000),M49*2%,IF(AND(M49&gt;200,M49&lt;=1000),M49*3%,M49*5%))))</f>
        <v>12.66</v>
      </c>
      <c r="M68" s="24">
        <f ca="1">ROUND(L68,1)</f>
        <v>12.7</v>
      </c>
      <c r="Z68" s="2419"/>
      <c r="AI68" s="2420"/>
    </row>
    <row r="69" spans="1:35" s="2442" customFormat="1" ht="16.5" customHeight="1">
      <c r="A69" s="2496"/>
      <c r="B69" s="2497"/>
      <c r="C69" s="2498"/>
      <c r="D69" s="2499"/>
      <c r="E69" s="2500"/>
      <c r="F69" s="2162"/>
      <c r="G69" s="2162"/>
      <c r="H69" s="2161"/>
      <c r="I69" s="2414"/>
      <c r="J69" s="3061"/>
      <c r="K69" s="2956" t="s">
        <v>2246</v>
      </c>
      <c r="L69" s="2501"/>
      <c r="M69" s="24">
        <f ca="1">ROUND(SUM(M63:M68),0)</f>
        <v>35</v>
      </c>
      <c r="N69" s="1748">
        <f ca="1">M69/M49</f>
        <v>8.2938388625592413E-2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5" t="s">
        <v>2247</v>
      </c>
      <c r="B70" s="3106"/>
      <c r="C70" s="3106"/>
      <c r="D70" s="3106"/>
      <c r="E70" s="3106"/>
      <c r="F70" s="3106"/>
      <c r="G70" s="3106"/>
      <c r="H70" s="31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6" t="s">
        <v>2228</v>
      </c>
      <c r="B71" s="3097"/>
      <c r="C71" s="2947"/>
      <c r="D71" s="2947"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402</v>
      </c>
      <c r="D72" s="200" t="s">
        <v>32</v>
      </c>
      <c r="E72" s="2946"/>
      <c r="F72" s="2941"/>
      <c r="G72" s="294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2</v>
      </c>
      <c r="D73" s="200" t="s">
        <v>32</v>
      </c>
      <c r="E73" s="2946"/>
      <c r="F73" s="2941"/>
      <c r="G73" s="294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46"/>
      <c r="F74" s="2941"/>
      <c r="G74" s="294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02" t="s">
        <v>2256</v>
      </c>
      <c r="F76" s="3101"/>
      <c r="G76" s="3101"/>
      <c r="H76" s="31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57" t="s">
        <v>2258</v>
      </c>
      <c r="F77" s="224"/>
      <c r="G77" s="2509" t="s">
        <v>2259</v>
      </c>
      <c r="H77" s="2949"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2</v>
      </c>
      <c r="D78" s="226">
        <f>'数据-取费表'!B43</f>
        <v>6.000000000000001E-3</v>
      </c>
      <c r="E78" s="3093" t="s">
        <v>2261</v>
      </c>
      <c r="F78" s="3094"/>
      <c r="G78" s="3094"/>
      <c r="H78" s="30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400</v>
      </c>
      <c r="D79" s="200" t="s">
        <v>32</v>
      </c>
      <c r="E79" s="2946"/>
      <c r="F79" s="2941"/>
      <c r="G79" s="294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200</v>
      </c>
      <c r="D80" s="200" t="s">
        <v>32</v>
      </c>
      <c r="E80" s="2957" t="str">
        <f ca="1">IF(C80&gt;=200%,"增值额超过扣除项目金额200%",IF(C80&gt;=100%,"增值额超过扣除项目金额100%，未超过200%",IF(C80&gt;=50%,"增值额超过扣除项目金额50%，未超过100%",IF(C80&lt;50%,"增值额未超过扣除项目金额50%"))))</f>
        <v>增值额超过扣除项目金额200%</v>
      </c>
      <c r="F80" s="2941"/>
      <c r="G80" s="294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239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5" t="s">
        <v>2265</v>
      </c>
      <c r="B83" s="3106"/>
      <c r="C83" s="3106"/>
      <c r="D83" s="3106"/>
      <c r="E83" s="3106"/>
      <c r="F83" s="3106"/>
      <c r="G83" s="3106"/>
      <c r="H83" s="31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6" t="s">
        <v>2228</v>
      </c>
      <c r="B84" s="3097"/>
      <c r="C84" s="2947"/>
      <c r="D84" s="2947"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402</v>
      </c>
      <c r="D85" s="200" t="s">
        <v>32</v>
      </c>
      <c r="E85" s="2946"/>
      <c r="F85" s="2941"/>
      <c r="G85" s="294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2</v>
      </c>
      <c r="D86" s="235"/>
      <c r="E86" s="2946"/>
      <c r="F86" s="2941"/>
      <c r="G86" s="294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42"/>
      <c r="F87" s="2943"/>
      <c r="G87" s="2943"/>
      <c r="H87" s="294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43"/>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43"/>
      <c r="G89" s="2943"/>
      <c r="H89" s="294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43"/>
      <c r="G90" s="2943"/>
      <c r="H90" s="294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093" t="s">
        <v>2274</v>
      </c>
      <c r="F91" s="3094"/>
      <c r="G91" s="3094"/>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093" t="s">
        <v>2278</v>
      </c>
      <c r="F92" s="3094"/>
      <c r="G92" s="3094"/>
      <c r="H92" s="30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2</v>
      </c>
      <c r="D93" s="226">
        <f>'数据-取费表'!B43</f>
        <v>6.000000000000001E-3</v>
      </c>
      <c r="E93" s="3093" t="s">
        <v>2261</v>
      </c>
      <c r="F93" s="3094"/>
      <c r="G93" s="3094"/>
      <c r="H93" s="30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41" t="s">
        <v>2282</v>
      </c>
      <c r="F94" s="3142"/>
      <c r="G94" s="3142"/>
      <c r="H94" s="31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400</v>
      </c>
      <c r="D95" s="200" t="s">
        <v>32</v>
      </c>
      <c r="E95" s="2946"/>
      <c r="F95" s="2941"/>
      <c r="G95" s="294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200</v>
      </c>
      <c r="D96" s="200" t="s">
        <v>32</v>
      </c>
      <c r="E96" s="2957" t="str">
        <f ca="1">IF(C96&gt;=200%,"增值额超过扣除项目金额200%",IF(C96&gt;=100%,"增值额超过扣除项目金额100%，未超过200%",IF(C96&gt;=50%,"增值额超过扣除项目金额50%，未超过100%",IF(C96&lt;50%,"增值额未超过扣除项目金额50%"))))</f>
        <v>增值额超过扣除项目金额200%</v>
      </c>
      <c r="F96" s="2941"/>
      <c r="G96" s="294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239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45" t="s">
        <v>2284</v>
      </c>
      <c r="B100" s="3046"/>
      <c r="C100" s="3046"/>
      <c r="D100" s="3077"/>
      <c r="E100" s="3046" t="s">
        <v>2285</v>
      </c>
      <c r="F100" s="3046"/>
      <c r="G100" s="3046"/>
      <c r="H100" s="3077"/>
      <c r="I100" s="138"/>
    </row>
    <row r="101" spans="1:35" ht="18.75" customHeight="1">
      <c r="A101" s="3085" t="s">
        <v>2286</v>
      </c>
      <c r="B101" s="3086"/>
      <c r="C101" s="736" t="str">
        <f>C4</f>
        <v>比较法-车位</v>
      </c>
      <c r="D101" s="737" t="str">
        <f>D4</f>
        <v>收益法（车位）</v>
      </c>
      <c r="E101" s="3057" t="s">
        <v>2287</v>
      </c>
      <c r="F101" s="3058"/>
      <c r="G101" s="2516" t="s">
        <v>2288</v>
      </c>
      <c r="H101" s="1043">
        <f ca="1">H118</f>
        <v>422</v>
      </c>
      <c r="I101" s="138"/>
    </row>
    <row r="102" spans="1:35" ht="18.75" customHeight="1">
      <c r="A102" s="3087" t="s">
        <v>2289</v>
      </c>
      <c r="B102" s="2516" t="s">
        <v>2288</v>
      </c>
      <c r="C102" s="736">
        <f ca="1">C19</f>
        <v>483</v>
      </c>
      <c r="D102" s="737">
        <f ca="1">D19</f>
        <v>280</v>
      </c>
      <c r="E102" s="3057"/>
      <c r="F102" s="3058"/>
      <c r="G102" s="2516" t="s">
        <v>2290</v>
      </c>
      <c r="H102" s="371">
        <f ca="1">I118</f>
        <v>4256</v>
      </c>
      <c r="I102" s="138"/>
    </row>
    <row r="103" spans="1:35" ht="42.75" customHeight="1">
      <c r="A103" s="3087"/>
      <c r="B103" s="2516" t="s">
        <v>2290</v>
      </c>
      <c r="C103" s="738">
        <f ca="1">C20</f>
        <v>4871</v>
      </c>
      <c r="D103" s="739">
        <f ca="1">D20</f>
        <v>2824</v>
      </c>
      <c r="E103" s="3051" t="s">
        <v>2291</v>
      </c>
      <c r="F103" s="3052"/>
      <c r="G103" s="2517" t="s">
        <v>2292</v>
      </c>
      <c r="H103" s="1043">
        <f>IF(D36="正常操作",H104+H105+H106,H105+H106)</f>
        <v>0</v>
      </c>
      <c r="I103" s="138"/>
    </row>
    <row r="104" spans="1:35" ht="18.75" customHeight="1">
      <c r="A104" s="3087" t="s">
        <v>2293</v>
      </c>
      <c r="B104" s="2518" t="s">
        <v>2288</v>
      </c>
      <c r="C104" s="740">
        <f ca="1">H118</f>
        <v>422</v>
      </c>
      <c r="D104" s="741"/>
      <c r="E104" s="2262" t="s">
        <v>2294</v>
      </c>
      <c r="F104" s="2254"/>
      <c r="G104" s="2517" t="s">
        <v>2292</v>
      </c>
      <c r="H104" s="1044">
        <f>IF(D36="同一抵押权人同一抵押物续贷",C36&amp;"（未扣减，详见特别提示）",C36)</f>
        <v>0</v>
      </c>
      <c r="I104" s="138"/>
    </row>
    <row r="105" spans="1:35" ht="18.75" customHeight="1" thickBot="1">
      <c r="A105" s="3099"/>
      <c r="B105" s="2519" t="s">
        <v>2290</v>
      </c>
      <c r="C105" s="742">
        <f ca="1">I118</f>
        <v>4256</v>
      </c>
      <c r="D105" s="743"/>
      <c r="E105" s="2262" t="s">
        <v>2295</v>
      </c>
      <c r="F105" s="2254"/>
      <c r="G105" s="2517" t="s">
        <v>2292</v>
      </c>
      <c r="H105" s="1044">
        <f>C37</f>
        <v>0</v>
      </c>
      <c r="I105" s="138"/>
    </row>
    <row r="106" spans="1:35" ht="18.75" customHeight="1">
      <c r="A106" s="2414" t="s">
        <v>2296</v>
      </c>
      <c r="B106" s="2414"/>
      <c r="C106" s="2414"/>
      <c r="D106" s="2414"/>
      <c r="E106" s="2520" t="s">
        <v>2297</v>
      </c>
      <c r="F106" s="2254"/>
      <c r="G106" s="2517" t="s">
        <v>2292</v>
      </c>
      <c r="H106" s="1044">
        <f>C38</f>
        <v>0</v>
      </c>
      <c r="I106" s="138"/>
    </row>
    <row r="107" spans="1:35" ht="18.75" customHeight="1">
      <c r="A107" s="138"/>
      <c r="B107" s="138"/>
      <c r="C107" s="138"/>
      <c r="D107" s="138"/>
      <c r="E107" s="3088" t="str">
        <f>IF(项目基本情况!E8="已注销","——","3.房地产抵押价值")</f>
        <v>3.房地产抵押价值</v>
      </c>
      <c r="F107" s="3058"/>
      <c r="G107" s="2516" t="s">
        <v>2288</v>
      </c>
      <c r="H107" s="1043">
        <f ca="1">IF(E107="——","——",H101-H103)</f>
        <v>422</v>
      </c>
      <c r="I107" s="138"/>
    </row>
    <row r="108" spans="1:35" ht="18.75" customHeight="1">
      <c r="A108" s="138"/>
      <c r="B108" s="138"/>
      <c r="C108" s="138"/>
      <c r="D108" s="138"/>
      <c r="E108" s="3088"/>
      <c r="F108" s="3058"/>
      <c r="G108" s="2516" t="s">
        <v>2290</v>
      </c>
      <c r="H108" s="371">
        <f ca="1">ROUND(H107*10000/'数据-汇总表'!E3,0)</f>
        <v>363</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6" t="s">
        <v>2288</v>
      </c>
      <c r="H109" s="348" t="str">
        <f>IF(E109="——","——",H101-H105-H106)</f>
        <v>——</v>
      </c>
      <c r="I109" s="138"/>
    </row>
    <row r="110" spans="1:35" ht="18.75" customHeight="1">
      <c r="A110" s="138"/>
      <c r="B110" s="138"/>
      <c r="C110" s="138"/>
      <c r="D110" s="138"/>
      <c r="E110" s="3088"/>
      <c r="F110" s="3058"/>
      <c r="G110" s="2516" t="s">
        <v>2290</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6" t="s">
        <v>2288</v>
      </c>
      <c r="H111" s="1043" t="str">
        <f>IF(E111="——","——",N59)</f>
        <v>——</v>
      </c>
      <c r="I111" s="138"/>
    </row>
    <row r="112" spans="1:35" ht="18.75" customHeight="1" thickBot="1">
      <c r="A112" s="138"/>
      <c r="B112" s="138"/>
      <c r="C112" s="138"/>
      <c r="D112" s="138"/>
      <c r="E112" s="3091"/>
      <c r="F112" s="3092"/>
      <c r="G112" s="2521" t="s">
        <v>2290</v>
      </c>
      <c r="H112" s="790" t="str">
        <f>IF(E111="——","——",N61)</f>
        <v>——</v>
      </c>
      <c r="I112" s="138"/>
    </row>
    <row r="113" spans="1:11" ht="18.75" customHeight="1">
      <c r="A113" s="138"/>
      <c r="B113" s="138"/>
      <c r="C113" s="138"/>
      <c r="D113" s="138"/>
      <c r="E113" s="3100" t="s">
        <v>2296</v>
      </c>
      <c r="F113" s="3100"/>
      <c r="G113" s="3100"/>
      <c r="H113" s="3100"/>
      <c r="I113" s="138"/>
    </row>
    <row r="114" spans="1:11" ht="3.75" customHeight="1">
      <c r="A114" s="2414"/>
      <c r="B114" s="2414"/>
      <c r="C114" s="2414"/>
      <c r="D114" s="2414"/>
      <c r="E114" s="2492"/>
      <c r="F114" s="2492"/>
      <c r="G114" s="2492"/>
      <c r="H114" s="2492"/>
      <c r="I114" s="2414"/>
    </row>
    <row r="115" spans="1:11" ht="18.75" customHeight="1">
      <c r="A115" s="3113" t="s">
        <v>2298</v>
      </c>
      <c r="B115" s="3114"/>
      <c r="C115" s="3114"/>
      <c r="D115" s="3114"/>
      <c r="E115" s="3114"/>
      <c r="F115" s="3114"/>
      <c r="G115" s="3114"/>
      <c r="H115" s="3114"/>
      <c r="I115" s="3115"/>
    </row>
    <row r="116" spans="1:11" ht="27" customHeight="1">
      <c r="A116" s="3024" t="s">
        <v>2299</v>
      </c>
      <c r="B116" s="3067" t="s">
        <v>2300</v>
      </c>
      <c r="C116" s="3067" t="s">
        <v>2301</v>
      </c>
      <c r="D116" s="3073" t="s">
        <v>2302</v>
      </c>
      <c r="E116" s="3074"/>
      <c r="F116" s="3109" t="s">
        <v>2303</v>
      </c>
      <c r="G116" s="3109"/>
      <c r="H116" s="3024" t="s">
        <v>2304</v>
      </c>
      <c r="I116" s="3024"/>
    </row>
    <row r="117" spans="1:11" ht="18.75" customHeight="1">
      <c r="A117" s="3024"/>
      <c r="B117" s="3068"/>
      <c r="C117" s="3068"/>
      <c r="D117" s="2938" t="s">
        <v>2305</v>
      </c>
      <c r="E117" s="2938" t="s">
        <v>2306</v>
      </c>
      <c r="F117" s="2938" t="s">
        <v>2305</v>
      </c>
      <c r="G117" s="2938" t="s">
        <v>2307</v>
      </c>
      <c r="H117" s="2938" t="s">
        <v>2305</v>
      </c>
      <c r="I117" s="2938" t="s">
        <v>2307</v>
      </c>
    </row>
    <row r="118" spans="1:11" ht="24.75" customHeight="1">
      <c r="A118" s="2522" t="str">
        <f>项目基本情况!S2</f>
        <v>北京市海淀区西四环北路160号房地产</v>
      </c>
      <c r="B118" s="2938">
        <f>M18</f>
        <v>991.5300000000002</v>
      </c>
      <c r="C118" s="2938">
        <f>M19</f>
        <v>0</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422</v>
      </c>
      <c r="I118" s="2938">
        <f ca="1">ROUND(IF(D32="楼面单价",C32,H118*10000/B118),0)</f>
        <v>4256</v>
      </c>
    </row>
    <row r="119" spans="1:11" ht="18.75" customHeight="1">
      <c r="A119" s="3024" t="s">
        <v>2308</v>
      </c>
      <c r="B119" s="3024"/>
      <c r="C119" s="3024"/>
      <c r="D119" s="3069" t="e">
        <f ca="1">NUMBERSTRING(INT(D118*10000),2)&amp;"元整"</f>
        <v>#REF!</v>
      </c>
      <c r="E119" s="3070"/>
      <c r="F119" s="3069" t="e">
        <f ca="1">NUMBERSTRING(INT(F118*10000),2)&amp;"元整"</f>
        <v>#REF!</v>
      </c>
      <c r="G119" s="3070"/>
      <c r="H119" s="3069" t="str">
        <f ca="1">NUMBERSTRING(INT(H118*10000),2)&amp;"元整"</f>
        <v>肆佰贰拾贰万元整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19" t="str">
        <f>IF(D120=0,"故，本次评估不存在"&amp;A120,"故，本次评估"&amp;A120&amp;"为人民币"&amp;D120&amp;"万元整。")</f>
        <v>故，本次评估不存在估价师知悉的法定优先受偿款</v>
      </c>
    </row>
    <row r="121" spans="1:11" ht="18.75" customHeight="1">
      <c r="A121" s="3110" t="s">
        <v>2308</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422</v>
      </c>
      <c r="E122" s="3065"/>
      <c r="F122" s="3065"/>
      <c r="G122" s="3065"/>
      <c r="H122" s="3065"/>
      <c r="I122" s="3066"/>
    </row>
    <row r="123" spans="1:11" ht="18.75" customHeight="1">
      <c r="A123" s="3024" t="s">
        <v>2308</v>
      </c>
      <c r="B123" s="3024"/>
      <c r="C123" s="3024"/>
      <c r="D123" s="3069" t="str">
        <f ca="1">NUMBERSTRING(INT(D122*10000),2)&amp;"元整"</f>
        <v>肆佰贰拾贰万元整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2308</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2308</v>
      </c>
      <c r="B127" s="3024"/>
      <c r="C127" s="3024"/>
      <c r="D127" s="3069" t="e">
        <f>NUMBERSTRING(INT(D126*10000),2)&amp;"元整"</f>
        <v>#VALUE!</v>
      </c>
      <c r="E127" s="3071"/>
      <c r="F127" s="3071"/>
      <c r="G127" s="3071"/>
      <c r="H127" s="3071"/>
      <c r="I127" s="3070"/>
    </row>
    <row r="128" spans="1:11" ht="21.75" customHeight="1">
      <c r="A128" s="3072" t="s">
        <v>2309</v>
      </c>
      <c r="B128" s="3072"/>
      <c r="C128" s="3072"/>
      <c r="D128" s="3072"/>
      <c r="E128" s="3072"/>
      <c r="F128" s="3072"/>
      <c r="G128" s="3072"/>
      <c r="H128" s="3072"/>
      <c r="I128" s="3072"/>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zoomScale="90" zoomScaleNormal="90" workbookViewId="0">
      <selection activeCell="A68" sqref="A68:XFD76"/>
    </sheetView>
  </sheetViews>
  <sheetFormatPr defaultRowHeight="14.25"/>
  <cols>
    <col min="1" max="1" width="10.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67" t="s">
        <v>2677</v>
      </c>
      <c r="C1" s="1618" t="s">
        <v>2521</v>
      </c>
      <c r="D1" s="1619" t="s">
        <v>27</v>
      </c>
      <c r="E1" s="1628"/>
      <c r="F1" s="2582" t="s">
        <v>3586</v>
      </c>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6">
        <f>IF(C2="——",ROUND(C50*D3/10000,0),ROUND(C50*D3/10000,0)-D2)</f>
        <v>35266</v>
      </c>
      <c r="C2" s="2584" t="s">
        <v>70</v>
      </c>
      <c r="D2" s="1363" t="e">
        <f ca="1">SUMIF(INDIRECT("'"&amp;F2&amp;"'"&amp;"!A:A"),"承租人权益价值",INDIRECT("'"&amp;F2&amp;"'"&amp;"!c:c"))</f>
        <v>#REF!</v>
      </c>
      <c r="E2" s="2585" t="s">
        <v>2319</v>
      </c>
      <c r="F2" s="2586"/>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41332</v>
      </c>
      <c r="C3" s="400" t="s">
        <v>2635</v>
      </c>
      <c r="D3" s="399">
        <f>IF(D1="",'数据-汇总表'!E3,SUMIF('数据-汇总表'!$C19:$C33,D1,'数据-汇总表'!$E19:$E33))</f>
        <v>8532.39</v>
      </c>
      <c r="E3" s="2661"/>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226" t="s">
        <v>2642</v>
      </c>
      <c r="Q4" s="3227"/>
      <c r="R4" s="3221" t="s">
        <v>2638</v>
      </c>
      <c r="S4" s="3222"/>
      <c r="T4" s="3221" t="s">
        <v>2639</v>
      </c>
      <c r="U4" s="3222"/>
      <c r="V4" s="3230" t="s">
        <v>2640</v>
      </c>
      <c r="W4" s="3230"/>
      <c r="X4" s="2668"/>
      <c r="Y4" s="3221" t="s">
        <v>2642</v>
      </c>
      <c r="Z4" s="3222"/>
      <c r="AA4" s="3220" t="s">
        <v>2638</v>
      </c>
      <c r="AB4" s="3220" t="s">
        <v>2639</v>
      </c>
      <c r="AC4" s="3223" t="s">
        <v>2640</v>
      </c>
    </row>
    <row r="5" spans="1:29" ht="15">
      <c r="A5" s="404"/>
      <c r="B5" s="405"/>
      <c r="C5" s="3185" t="s">
        <v>2533</v>
      </c>
      <c r="D5" s="3186"/>
      <c r="E5" s="3354" t="s">
        <v>3694</v>
      </c>
      <c r="F5" s="3184"/>
      <c r="G5" s="3355" t="s">
        <v>3695</v>
      </c>
      <c r="H5" s="3186"/>
      <c r="I5" s="3355" t="s">
        <v>3696</v>
      </c>
      <c r="J5" s="3186"/>
      <c r="K5" s="610"/>
      <c r="L5" s="1128"/>
      <c r="M5" s="1129"/>
      <c r="N5" s="1129"/>
      <c r="O5" s="1129"/>
      <c r="P5" s="3228"/>
      <c r="Q5" s="3199"/>
      <c r="R5" s="3181"/>
      <c r="S5" s="3182"/>
      <c r="T5" s="3181"/>
      <c r="U5" s="3182"/>
      <c r="V5" s="3204"/>
      <c r="W5" s="3204"/>
      <c r="X5" s="1811"/>
      <c r="Y5" s="3181"/>
      <c r="Z5" s="3182"/>
      <c r="AA5" s="3175"/>
      <c r="AB5" s="3175"/>
      <c r="AC5" s="3224"/>
    </row>
    <row r="6" spans="1:29" ht="15.75" thickBot="1">
      <c r="A6" s="406"/>
      <c r="B6" s="407"/>
      <c r="C6" s="3187" t="s">
        <v>2537</v>
      </c>
      <c r="D6" s="3188"/>
      <c r="E6" s="3776" t="s">
        <v>3697</v>
      </c>
      <c r="F6" s="3190"/>
      <c r="G6" s="3777" t="s">
        <v>3698</v>
      </c>
      <c r="H6" s="3188"/>
      <c r="I6" s="3777" t="s">
        <v>3699</v>
      </c>
      <c r="J6" s="3188"/>
      <c r="K6" s="610" t="s">
        <v>2538</v>
      </c>
      <c r="L6" s="1128"/>
      <c r="M6" s="1129"/>
      <c r="N6" s="1129"/>
      <c r="O6" s="1129"/>
      <c r="P6" s="3229"/>
      <c r="Q6" s="3201"/>
      <c r="R6" s="3181"/>
      <c r="S6" s="3182"/>
      <c r="T6" s="3202"/>
      <c r="U6" s="3203"/>
      <c r="V6" s="3204"/>
      <c r="W6" s="3204"/>
      <c r="X6" s="1811"/>
      <c r="Y6" s="3202"/>
      <c r="Z6" s="3203"/>
      <c r="AA6" s="3176"/>
      <c r="AB6" s="3176"/>
      <c r="AC6" s="3225"/>
    </row>
    <row r="7" spans="1:29" s="117" customFormat="1" ht="15.75" thickBot="1">
      <c r="A7" s="408" t="s">
        <v>2539</v>
      </c>
      <c r="B7" s="409"/>
      <c r="C7" s="410">
        <f>'数据-取费表'!B2</f>
        <v>43185</v>
      </c>
      <c r="D7" s="411">
        <v>100</v>
      </c>
      <c r="E7" s="412">
        <v>43160</v>
      </c>
      <c r="F7" s="413">
        <f>SUMIF(59:59,YEAR(E7)&amp;"-"&amp;MONTH(E7),60:60)</f>
        <v>100</v>
      </c>
      <c r="G7" s="412">
        <v>43160</v>
      </c>
      <c r="H7" s="411">
        <f>SUMIF(59:59,YEAR(G7)&amp;"-"&amp;MONTH(G7),60:60)</f>
        <v>100</v>
      </c>
      <c r="I7" s="412">
        <v>43160</v>
      </c>
      <c r="J7" s="411">
        <f>SUMIF(59:59,YEAR(I7)&amp;"-"&amp;MONTH(I7),60:60)</f>
        <v>100</v>
      </c>
      <c r="K7" s="611"/>
      <c r="L7" s="1130"/>
      <c r="M7" s="1131"/>
      <c r="N7" s="1131"/>
      <c r="O7" s="1131"/>
      <c r="P7" s="3231" t="s">
        <v>2540</v>
      </c>
      <c r="Q7" s="3205"/>
      <c r="R7" s="770" t="s">
        <v>17</v>
      </c>
      <c r="S7" s="771">
        <f t="shared" ref="S7:S15" si="0">F7</f>
        <v>100</v>
      </c>
      <c r="T7" s="770" t="s">
        <v>17</v>
      </c>
      <c r="U7" s="771">
        <f t="shared" ref="U7:U15" si="1">H7</f>
        <v>100</v>
      </c>
      <c r="V7" s="770" t="s">
        <v>17</v>
      </c>
      <c r="W7" s="771">
        <f t="shared" ref="W7:W15" si="2">J7</f>
        <v>100</v>
      </c>
      <c r="X7" s="772"/>
      <c r="Y7" s="3177" t="s">
        <v>2540</v>
      </c>
      <c r="Z7" s="3178"/>
      <c r="AA7" s="773">
        <f>D7/F7</f>
        <v>1</v>
      </c>
      <c r="AB7" s="773">
        <f>D7/H7</f>
        <v>1</v>
      </c>
      <c r="AC7" s="2669">
        <f>D7/J7</f>
        <v>1</v>
      </c>
    </row>
    <row r="8" spans="1:29" s="117" customFormat="1" ht="15.75" thickBot="1">
      <c r="A8" s="408" t="s">
        <v>2541</v>
      </c>
      <c r="B8" s="409"/>
      <c r="C8" s="414" t="s">
        <v>2643</v>
      </c>
      <c r="D8" s="411">
        <v>100</v>
      </c>
      <c r="E8" s="414" t="s">
        <v>3587</v>
      </c>
      <c r="F8" s="413">
        <f>SUMIF(62:62,E8,63:63)-SUMIF(62:62,C8,63:63)+100</f>
        <v>100</v>
      </c>
      <c r="G8" s="414" t="s">
        <v>3587</v>
      </c>
      <c r="H8" s="411">
        <f>SUMIF(62:62,G8,63:63)-SUMIF(62:62,C8,63:63)+100</f>
        <v>100</v>
      </c>
      <c r="I8" s="414" t="s">
        <v>3587</v>
      </c>
      <c r="J8" s="411">
        <f>SUMIF(62:62,I8,63:63)-SUMIF(62:62,C8,63:63)+100</f>
        <v>100</v>
      </c>
      <c r="K8" s="611"/>
      <c r="L8" s="1130"/>
      <c r="M8" s="1131"/>
      <c r="N8" s="1131"/>
      <c r="O8" s="1131"/>
      <c r="P8" s="3231" t="s">
        <v>2543</v>
      </c>
      <c r="Q8" s="3178"/>
      <c r="R8" s="770" t="s">
        <v>17</v>
      </c>
      <c r="S8" s="771">
        <f t="shared" si="0"/>
        <v>100</v>
      </c>
      <c r="T8" s="770" t="s">
        <v>17</v>
      </c>
      <c r="U8" s="771">
        <f t="shared" si="1"/>
        <v>100</v>
      </c>
      <c r="V8" s="770" t="s">
        <v>17</v>
      </c>
      <c r="W8" s="771">
        <f t="shared" si="2"/>
        <v>100</v>
      </c>
      <c r="X8" s="772"/>
      <c r="Y8" s="3177" t="s">
        <v>2543</v>
      </c>
      <c r="Z8" s="3178"/>
      <c r="AA8" s="773">
        <f t="shared" ref="AA8:AA47" si="3">D8/F8</f>
        <v>1</v>
      </c>
      <c r="AB8" s="773">
        <f t="shared" ref="AB8:AB47" si="4">D8/H8</f>
        <v>1</v>
      </c>
      <c r="AC8" s="2669">
        <f t="shared" ref="AC8:AC47" si="5">D8/J8</f>
        <v>1</v>
      </c>
    </row>
    <row r="9" spans="1:29" s="117" customFormat="1">
      <c r="A9" s="415" t="s">
        <v>2544</v>
      </c>
      <c r="B9" s="71" t="s">
        <v>2545</v>
      </c>
      <c r="C9" s="3356" t="s">
        <v>3709</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191"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2669">
        <f t="shared" si="5"/>
        <v>1</v>
      </c>
    </row>
    <row r="10" spans="1:29" s="427" customFormat="1" ht="27">
      <c r="A10" s="421"/>
      <c r="B10" s="422" t="s">
        <v>2548</v>
      </c>
      <c r="C10" s="423" t="s">
        <v>3588</v>
      </c>
      <c r="D10" s="136">
        <v>100</v>
      </c>
      <c r="E10" s="423" t="s">
        <v>3610</v>
      </c>
      <c r="F10" s="136">
        <f>SUMIF(66:66,E10,67:67)-SUMIF(66:66,C10,67:67)+100</f>
        <v>99</v>
      </c>
      <c r="G10" s="424" t="s">
        <v>3610</v>
      </c>
      <c r="H10" s="136">
        <f>SUMIF(66:66,G10,67:67)-SUMIF(66:66,C10,67:67)+100</f>
        <v>99</v>
      </c>
      <c r="I10" s="423" t="s">
        <v>3610</v>
      </c>
      <c r="J10" s="136">
        <f>SUMIF(66:66,I10,67:67)-SUMIF(66:66,C10,67:67)+100</f>
        <v>99</v>
      </c>
      <c r="K10" s="612">
        <v>1</v>
      </c>
      <c r="L10" s="1133"/>
      <c r="M10" s="1134"/>
      <c r="N10" s="1134"/>
      <c r="O10" s="1134"/>
      <c r="P10" s="3191"/>
      <c r="Q10" s="1793" t="str">
        <f t="shared" si="6"/>
        <v>土地使用年限（年）</v>
      </c>
      <c r="R10" s="770" t="s">
        <v>17</v>
      </c>
      <c r="S10" s="771">
        <f t="shared" si="0"/>
        <v>99</v>
      </c>
      <c r="T10" s="770" t="s">
        <v>17</v>
      </c>
      <c r="U10" s="771">
        <f t="shared" si="1"/>
        <v>99</v>
      </c>
      <c r="V10" s="770" t="s">
        <v>17</v>
      </c>
      <c r="W10" s="771">
        <f t="shared" si="2"/>
        <v>99</v>
      </c>
      <c r="X10" s="772"/>
      <c r="Y10" s="3024"/>
      <c r="Z10" s="55" t="str">
        <f t="shared" si="7"/>
        <v>土地使用年限（年）</v>
      </c>
      <c r="AA10" s="773">
        <f t="shared" si="3"/>
        <v>1.0101010101010102</v>
      </c>
      <c r="AB10" s="773">
        <f t="shared" si="4"/>
        <v>1.0101010101010102</v>
      </c>
      <c r="AC10" s="2669">
        <f t="shared" si="5"/>
        <v>1.0101010101010102</v>
      </c>
    </row>
    <row r="11" spans="1:29" ht="15" hidden="1">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91"/>
      <c r="Q11" s="1793"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2669">
        <f t="shared" si="5"/>
        <v>1</v>
      </c>
    </row>
    <row r="12" spans="1:29" s="117" customFormat="1" ht="15.75" thickBot="1">
      <c r="A12" s="431"/>
      <c r="B12" s="3756" t="s">
        <v>3708</v>
      </c>
      <c r="C12" s="432"/>
      <c r="D12" s="433">
        <v>100</v>
      </c>
      <c r="E12" s="432" t="s">
        <v>3700</v>
      </c>
      <c r="F12" s="136">
        <f>SUMIF(71:71,E12,72:72)-SUMIF(71:71,C12,72:72)+100</f>
        <v>100</v>
      </c>
      <c r="G12" s="2670">
        <v>2009</v>
      </c>
      <c r="H12" s="136">
        <f>SUMIF(71:71,G12,72:72)-SUMIF(71:71,C12,72:72)+100</f>
        <v>100</v>
      </c>
      <c r="I12" s="432">
        <v>2009</v>
      </c>
      <c r="J12" s="136">
        <f>SUMIF(71:71,I12,72:72)-SUMIF(71:71,C12,72:72)+100</f>
        <v>100</v>
      </c>
      <c r="K12" s="613"/>
      <c r="L12" s="1130"/>
      <c r="M12" s="1131"/>
      <c r="N12" s="1131"/>
      <c r="O12" s="1131"/>
      <c r="P12" s="3191"/>
      <c r="Q12" s="1793" t="str">
        <f t="shared" si="6"/>
        <v>建成年代</v>
      </c>
      <c r="R12" s="770" t="s">
        <v>17</v>
      </c>
      <c r="S12" s="771">
        <f t="shared" si="0"/>
        <v>100</v>
      </c>
      <c r="T12" s="770" t="s">
        <v>17</v>
      </c>
      <c r="U12" s="771">
        <f t="shared" si="1"/>
        <v>100</v>
      </c>
      <c r="V12" s="770" t="s">
        <v>17</v>
      </c>
      <c r="W12" s="771">
        <f t="shared" si="2"/>
        <v>100</v>
      </c>
      <c r="X12" s="772"/>
      <c r="Y12" s="3024"/>
      <c r="Z12" s="55" t="str">
        <f t="shared" si="7"/>
        <v>建成年代</v>
      </c>
      <c r="AA12" s="773">
        <f>D12/F12</f>
        <v>1</v>
      </c>
      <c r="AB12" s="773">
        <f>D12/H12</f>
        <v>1</v>
      </c>
      <c r="AC12" s="2669">
        <f>D12/J12</f>
        <v>1</v>
      </c>
    </row>
    <row r="13" spans="1:29" ht="15" hidden="1">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38"/>
      <c r="M13" s="1129"/>
      <c r="N13" s="1129"/>
      <c r="O13" s="1129"/>
      <c r="P13" s="3191"/>
      <c r="Q13" s="1793">
        <f t="shared" si="6"/>
        <v>0</v>
      </c>
      <c r="R13" s="770" t="s">
        <v>17</v>
      </c>
      <c r="S13" s="771">
        <f t="shared" si="0"/>
        <v>100</v>
      </c>
      <c r="T13" s="770" t="s">
        <v>17</v>
      </c>
      <c r="U13" s="771">
        <f t="shared" si="1"/>
        <v>100</v>
      </c>
      <c r="V13" s="770" t="s">
        <v>17</v>
      </c>
      <c r="W13" s="771">
        <f t="shared" si="2"/>
        <v>100</v>
      </c>
      <c r="X13" s="772"/>
      <c r="Y13" s="3024"/>
      <c r="Z13" s="55">
        <f t="shared" si="7"/>
        <v>0</v>
      </c>
      <c r="AA13" s="773">
        <f t="shared" si="3"/>
        <v>1</v>
      </c>
      <c r="AB13" s="773">
        <f t="shared" si="4"/>
        <v>1</v>
      </c>
      <c r="AC13" s="2669">
        <f t="shared" si="5"/>
        <v>1</v>
      </c>
    </row>
    <row r="14" spans="1:29" ht="15.75" hidden="1"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38"/>
      <c r="M14" s="1129"/>
      <c r="N14" s="1129"/>
      <c r="O14" s="1129"/>
      <c r="P14" s="3191"/>
      <c r="Q14" s="1793">
        <f t="shared" si="6"/>
        <v>0</v>
      </c>
      <c r="R14" s="770" t="s">
        <v>17</v>
      </c>
      <c r="S14" s="771">
        <f t="shared" si="0"/>
        <v>100</v>
      </c>
      <c r="T14" s="770" t="s">
        <v>17</v>
      </c>
      <c r="U14" s="771">
        <f t="shared" si="1"/>
        <v>100</v>
      </c>
      <c r="V14" s="770" t="s">
        <v>17</v>
      </c>
      <c r="W14" s="771">
        <f t="shared" si="2"/>
        <v>100</v>
      </c>
      <c r="X14" s="772"/>
      <c r="Y14" s="3024"/>
      <c r="Z14" s="55">
        <f t="shared" si="7"/>
        <v>0</v>
      </c>
      <c r="AA14" s="773">
        <f t="shared" si="3"/>
        <v>1</v>
      </c>
      <c r="AB14" s="773">
        <f t="shared" si="4"/>
        <v>1</v>
      </c>
      <c r="AC14" s="2669">
        <f t="shared" si="5"/>
        <v>1</v>
      </c>
    </row>
    <row r="15" spans="1:29" ht="42.75">
      <c r="A15" s="440" t="s">
        <v>2550</v>
      </c>
      <c r="B15" s="629" t="s">
        <v>2678</v>
      </c>
      <c r="C15" s="2671"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218" t="s">
        <v>2551</v>
      </c>
      <c r="Q15" s="1808" t="str">
        <f t="shared" si="6"/>
        <v>办公集聚程度</v>
      </c>
      <c r="R15" s="774" t="s">
        <v>17</v>
      </c>
      <c r="S15" s="775">
        <f t="shared" si="0"/>
        <v>100</v>
      </c>
      <c r="T15" s="774" t="s">
        <v>17</v>
      </c>
      <c r="U15" s="775">
        <f t="shared" si="1"/>
        <v>100</v>
      </c>
      <c r="V15" s="774" t="s">
        <v>17</v>
      </c>
      <c r="W15" s="775">
        <f t="shared" si="2"/>
        <v>100</v>
      </c>
      <c r="X15" s="1811"/>
      <c r="Y15" s="3211" t="s">
        <v>2551</v>
      </c>
      <c r="Z15" s="1812" t="str">
        <f t="shared" si="7"/>
        <v>办公集聚程度</v>
      </c>
      <c r="AA15" s="1809">
        <f t="shared" si="3"/>
        <v>1</v>
      </c>
      <c r="AB15" s="1809">
        <f t="shared" si="4"/>
        <v>1</v>
      </c>
      <c r="AC15" s="2672">
        <f t="shared" si="5"/>
        <v>1</v>
      </c>
    </row>
    <row r="16" spans="1:29" ht="15">
      <c r="A16" s="428"/>
      <c r="B16" s="630"/>
      <c r="C16" s="447" t="s">
        <v>3591</v>
      </c>
      <c r="D16" s="448"/>
      <c r="E16" s="447" t="s">
        <v>3591</v>
      </c>
      <c r="F16" s="448"/>
      <c r="G16" s="2609" t="s">
        <v>3591</v>
      </c>
      <c r="H16" s="450"/>
      <c r="I16" s="447" t="s">
        <v>3591</v>
      </c>
      <c r="J16" s="448"/>
      <c r="K16" s="615"/>
      <c r="L16" s="1138"/>
      <c r="M16" s="1129"/>
      <c r="N16" s="1129"/>
      <c r="O16" s="1129"/>
      <c r="P16" s="3219"/>
      <c r="Q16" s="1808"/>
      <c r="R16" s="774"/>
      <c r="S16" s="775"/>
      <c r="T16" s="774"/>
      <c r="U16" s="775"/>
      <c r="V16" s="774"/>
      <c r="W16" s="775"/>
      <c r="X16" s="1811"/>
      <c r="Y16" s="3212"/>
      <c r="Z16" s="1812"/>
      <c r="AA16" s="1809">
        <v>1</v>
      </c>
      <c r="AB16" s="1809">
        <v>1</v>
      </c>
      <c r="AC16" s="2672">
        <v>1</v>
      </c>
    </row>
    <row r="17" spans="1:29" ht="71.25">
      <c r="A17" s="428"/>
      <c r="B17" s="631" t="s">
        <v>2089</v>
      </c>
      <c r="C17" s="2673"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8"/>
      <c r="M17" s="1129"/>
      <c r="N17" s="1129"/>
      <c r="O17" s="1129"/>
      <c r="P17" s="3219"/>
      <c r="Q17" s="1808" t="str">
        <f>B17</f>
        <v>交通便捷度</v>
      </c>
      <c r="R17" s="774" t="s">
        <v>17</v>
      </c>
      <c r="S17" s="775">
        <f>F17</f>
        <v>100</v>
      </c>
      <c r="T17" s="774" t="s">
        <v>17</v>
      </c>
      <c r="U17" s="775">
        <f>H17</f>
        <v>100</v>
      </c>
      <c r="V17" s="774" t="s">
        <v>17</v>
      </c>
      <c r="W17" s="775">
        <f>J17</f>
        <v>100</v>
      </c>
      <c r="X17" s="1811"/>
      <c r="Y17" s="3212"/>
      <c r="Z17" s="1812" t="str">
        <f>Q17</f>
        <v>交通便捷度</v>
      </c>
      <c r="AA17" s="1809">
        <f t="shared" si="3"/>
        <v>1</v>
      </c>
      <c r="AB17" s="1809">
        <f t="shared" si="4"/>
        <v>1</v>
      </c>
      <c r="AC17" s="2672">
        <f t="shared" si="5"/>
        <v>1</v>
      </c>
    </row>
    <row r="18" spans="1:29" ht="15">
      <c r="A18" s="428"/>
      <c r="B18" s="632"/>
      <c r="C18" s="2607" t="s">
        <v>3598</v>
      </c>
      <c r="D18" s="450"/>
      <c r="E18" s="2607" t="s">
        <v>3598</v>
      </c>
      <c r="F18" s="450"/>
      <c r="G18" s="2608" t="s">
        <v>3598</v>
      </c>
      <c r="H18" s="448"/>
      <c r="I18" s="2608" t="s">
        <v>3598</v>
      </c>
      <c r="J18" s="448"/>
      <c r="K18" s="615"/>
      <c r="L18" s="1138"/>
      <c r="M18" s="1129"/>
      <c r="N18" s="1129"/>
      <c r="O18" s="1129"/>
      <c r="P18" s="3219"/>
      <c r="Q18" s="1808"/>
      <c r="R18" s="774"/>
      <c r="S18" s="775"/>
      <c r="T18" s="774"/>
      <c r="U18" s="775"/>
      <c r="V18" s="774"/>
      <c r="W18" s="775"/>
      <c r="X18" s="1811"/>
      <c r="Y18" s="3212"/>
      <c r="Z18" s="1812"/>
      <c r="AA18" s="1809">
        <v>1</v>
      </c>
      <c r="AB18" s="1809">
        <v>1</v>
      </c>
      <c r="AC18" s="2672">
        <v>1</v>
      </c>
    </row>
    <row r="19" spans="1:29" ht="114">
      <c r="A19" s="428"/>
      <c r="B19" s="631" t="s">
        <v>2679</v>
      </c>
      <c r="C19" s="2673"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8"/>
      <c r="M19" s="1129"/>
      <c r="N19" s="1129"/>
      <c r="O19" s="1129"/>
      <c r="P19" s="3219"/>
      <c r="Q19" s="1808" t="str">
        <f>B19</f>
        <v>公共配套设施</v>
      </c>
      <c r="R19" s="774" t="s">
        <v>17</v>
      </c>
      <c r="S19" s="775">
        <f>F19</f>
        <v>100</v>
      </c>
      <c r="T19" s="774" t="s">
        <v>17</v>
      </c>
      <c r="U19" s="775">
        <f>H19</f>
        <v>100</v>
      </c>
      <c r="V19" s="774" t="s">
        <v>17</v>
      </c>
      <c r="W19" s="775">
        <f>J19</f>
        <v>100</v>
      </c>
      <c r="X19" s="1811"/>
      <c r="Y19" s="3212"/>
      <c r="Z19" s="1812" t="str">
        <f>Q19</f>
        <v>公共配套设施</v>
      </c>
      <c r="AA19" s="1809">
        <f t="shared" si="3"/>
        <v>1</v>
      </c>
      <c r="AB19" s="1809">
        <f t="shared" si="4"/>
        <v>1</v>
      </c>
      <c r="AC19" s="2672">
        <f t="shared" si="5"/>
        <v>1</v>
      </c>
    </row>
    <row r="20" spans="1:29" ht="15">
      <c r="A20" s="428"/>
      <c r="B20" s="632"/>
      <c r="C20" s="2602" t="s">
        <v>3589</v>
      </c>
      <c r="D20" s="448"/>
      <c r="E20" s="2602" t="s">
        <v>3589</v>
      </c>
      <c r="F20" s="448"/>
      <c r="G20" s="2603" t="s">
        <v>3589</v>
      </c>
      <c r="H20" s="448"/>
      <c r="I20" s="2603" t="s">
        <v>3589</v>
      </c>
      <c r="J20" s="448"/>
      <c r="K20" s="615"/>
      <c r="L20" s="1138"/>
      <c r="M20" s="1129"/>
      <c r="N20" s="1129"/>
      <c r="O20" s="1129"/>
      <c r="P20" s="3219"/>
      <c r="Q20" s="1808"/>
      <c r="R20" s="774"/>
      <c r="S20" s="775"/>
      <c r="T20" s="774"/>
      <c r="U20" s="775"/>
      <c r="V20" s="774"/>
      <c r="W20" s="775"/>
      <c r="X20" s="1811"/>
      <c r="Y20" s="3212"/>
      <c r="Z20" s="1812"/>
      <c r="AA20" s="1809">
        <v>1</v>
      </c>
      <c r="AB20" s="1809">
        <v>1</v>
      </c>
      <c r="AC20" s="2672">
        <v>1</v>
      </c>
    </row>
    <row r="21" spans="1:29" ht="15">
      <c r="A21" s="428"/>
      <c r="B21" s="633" t="s">
        <v>2680</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8"/>
      <c r="M21" s="1129"/>
      <c r="N21" s="1129"/>
      <c r="O21" s="1129"/>
      <c r="P21" s="3219"/>
      <c r="Q21" s="1808" t="str">
        <f>B21</f>
        <v>基础设施水平</v>
      </c>
      <c r="R21" s="774" t="s">
        <v>17</v>
      </c>
      <c r="S21" s="775">
        <f>F21</f>
        <v>100</v>
      </c>
      <c r="T21" s="774" t="s">
        <v>17</v>
      </c>
      <c r="U21" s="775">
        <f>H21</f>
        <v>100</v>
      </c>
      <c r="V21" s="774" t="s">
        <v>17</v>
      </c>
      <c r="W21" s="775">
        <f>J21</f>
        <v>100</v>
      </c>
      <c r="X21" s="1811"/>
      <c r="Y21" s="3212"/>
      <c r="Z21" s="1812" t="str">
        <f>Q21</f>
        <v>基础设施水平</v>
      </c>
      <c r="AA21" s="1809">
        <f t="shared" ref="AA21" si="8">D21/F21</f>
        <v>1</v>
      </c>
      <c r="AB21" s="1809">
        <f t="shared" ref="AB21" si="9">D21/H21</f>
        <v>1</v>
      </c>
      <c r="AC21" s="2672">
        <f t="shared" ref="AC21" si="10">D21/J21</f>
        <v>1</v>
      </c>
    </row>
    <row r="22" spans="1:29" ht="15">
      <c r="A22" s="428"/>
      <c r="B22" s="633"/>
      <c r="C22" s="447" t="s">
        <v>3590</v>
      </c>
      <c r="D22" s="448"/>
      <c r="E22" s="447" t="s">
        <v>3590</v>
      </c>
      <c r="F22" s="448"/>
      <c r="G22" s="2609" t="s">
        <v>3590</v>
      </c>
      <c r="H22" s="448"/>
      <c r="I22" s="2609" t="s">
        <v>3590</v>
      </c>
      <c r="J22" s="448"/>
      <c r="K22" s="1381"/>
      <c r="L22" s="1138"/>
      <c r="M22" s="1129"/>
      <c r="N22" s="1129"/>
      <c r="O22" s="1129"/>
      <c r="P22" s="3219"/>
      <c r="Q22" s="1808"/>
      <c r="R22" s="774"/>
      <c r="S22" s="775"/>
      <c r="T22" s="774"/>
      <c r="U22" s="775"/>
      <c r="V22" s="774"/>
      <c r="W22" s="775"/>
      <c r="X22" s="1811"/>
      <c r="Y22" s="3212"/>
      <c r="Z22" s="1812"/>
      <c r="AA22" s="1809">
        <v>1</v>
      </c>
      <c r="AB22" s="1809">
        <v>1</v>
      </c>
      <c r="AC22" s="2672">
        <v>1</v>
      </c>
    </row>
    <row r="23" spans="1:29" ht="28.5">
      <c r="A23" s="428"/>
      <c r="B23" s="631" t="s">
        <v>2681</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8"/>
      <c r="M23" s="1129"/>
      <c r="N23" s="1129"/>
      <c r="O23" s="1129"/>
      <c r="P23" s="3219"/>
      <c r="Q23" s="1808" t="str">
        <f>B23</f>
        <v>环境质量</v>
      </c>
      <c r="R23" s="774" t="s">
        <v>17</v>
      </c>
      <c r="S23" s="775">
        <f>F23</f>
        <v>100</v>
      </c>
      <c r="T23" s="774" t="s">
        <v>17</v>
      </c>
      <c r="U23" s="775">
        <f>H23</f>
        <v>100</v>
      </c>
      <c r="V23" s="774" t="s">
        <v>17</v>
      </c>
      <c r="W23" s="775">
        <f>J23</f>
        <v>100</v>
      </c>
      <c r="X23" s="1811"/>
      <c r="Y23" s="3212"/>
      <c r="Z23" s="1812" t="str">
        <f>Q23</f>
        <v>环境质量</v>
      </c>
      <c r="AA23" s="1809">
        <f t="shared" si="3"/>
        <v>1</v>
      </c>
      <c r="AB23" s="1809">
        <f t="shared" si="4"/>
        <v>1</v>
      </c>
      <c r="AC23" s="2672">
        <f t="shared" si="5"/>
        <v>1</v>
      </c>
    </row>
    <row r="24" spans="1:29" ht="15">
      <c r="A24" s="428"/>
      <c r="B24" s="633"/>
      <c r="C24" s="2602" t="s">
        <v>3591</v>
      </c>
      <c r="D24" s="448"/>
      <c r="E24" s="2602" t="s">
        <v>3591</v>
      </c>
      <c r="F24" s="448"/>
      <c r="G24" s="2603" t="s">
        <v>3591</v>
      </c>
      <c r="H24" s="448"/>
      <c r="I24" s="2603" t="s">
        <v>3591</v>
      </c>
      <c r="J24" s="448"/>
      <c r="K24" s="615"/>
      <c r="L24" s="1138"/>
      <c r="M24" s="1129"/>
      <c r="N24" s="1129"/>
      <c r="O24" s="1129"/>
      <c r="P24" s="3219"/>
      <c r="Q24" s="1808"/>
      <c r="R24" s="774"/>
      <c r="S24" s="775"/>
      <c r="T24" s="774"/>
      <c r="U24" s="775"/>
      <c r="V24" s="774"/>
      <c r="W24" s="775"/>
      <c r="X24" s="1811"/>
      <c r="Y24" s="3212"/>
      <c r="Z24" s="1812"/>
      <c r="AA24" s="1809">
        <v>1</v>
      </c>
      <c r="AB24" s="1809">
        <v>1</v>
      </c>
      <c r="AC24" s="2672">
        <v>1</v>
      </c>
    </row>
    <row r="25" spans="1:29" ht="27">
      <c r="A25" s="404"/>
      <c r="B25" s="631" t="s">
        <v>2682</v>
      </c>
      <c r="C25" s="2613" t="s">
        <v>3705</v>
      </c>
      <c r="D25" s="435">
        <v>100</v>
      </c>
      <c r="E25" s="434" t="s">
        <v>3701</v>
      </c>
      <c r="F25" s="435">
        <f>SUMIF(87:87,E26,88:88)-SUMIF(87:87,C26,88:88)+100</f>
        <v>99</v>
      </c>
      <c r="G25" s="2613" t="s">
        <v>3705</v>
      </c>
      <c r="H25" s="435">
        <f>SUMIF(87:87,G26,88:88)-SUMIF(87:87,C26,88:88)+100</f>
        <v>100</v>
      </c>
      <c r="I25" s="434" t="s">
        <v>3705</v>
      </c>
      <c r="J25" s="435">
        <f>SUMIF(87:87,I26,88:88)-SUMIF(87:87,C26,88:88)+100</f>
        <v>100</v>
      </c>
      <c r="K25" s="614">
        <v>1</v>
      </c>
      <c r="L25" s="1138"/>
      <c r="M25" s="1129"/>
      <c r="N25" s="1129"/>
      <c r="O25" s="1129"/>
      <c r="P25" s="3219"/>
      <c r="Q25" s="1808" t="str">
        <f>B25</f>
        <v>毗邻道路的类型与等级</v>
      </c>
      <c r="R25" s="774" t="s">
        <v>17</v>
      </c>
      <c r="S25" s="775">
        <f>F25</f>
        <v>99</v>
      </c>
      <c r="T25" s="774" t="s">
        <v>17</v>
      </c>
      <c r="U25" s="775">
        <f>H25</f>
        <v>100</v>
      </c>
      <c r="V25" s="774" t="s">
        <v>17</v>
      </c>
      <c r="W25" s="775">
        <f>J25</f>
        <v>100</v>
      </c>
      <c r="X25" s="1811"/>
      <c r="Y25" s="3212"/>
      <c r="Z25" s="1812" t="str">
        <f>Q25</f>
        <v>毗邻道路的类型与等级</v>
      </c>
      <c r="AA25" s="1809">
        <f t="shared" si="3"/>
        <v>1.0101010101010102</v>
      </c>
      <c r="AB25" s="1809">
        <f t="shared" si="4"/>
        <v>1</v>
      </c>
      <c r="AC25" s="2672">
        <f t="shared" si="5"/>
        <v>1</v>
      </c>
    </row>
    <row r="26" spans="1:29" ht="15.75" thickBot="1">
      <c r="A26" s="404"/>
      <c r="B26" s="632"/>
      <c r="C26" s="634" t="s">
        <v>3706</v>
      </c>
      <c r="D26" s="435"/>
      <c r="E26" s="616" t="s">
        <v>3702</v>
      </c>
      <c r="F26" s="435"/>
      <c r="G26" s="634" t="s">
        <v>3706</v>
      </c>
      <c r="H26" s="435"/>
      <c r="I26" s="616" t="s">
        <v>3706</v>
      </c>
      <c r="J26" s="435"/>
      <c r="K26" s="615"/>
      <c r="L26" s="1138"/>
      <c r="M26" s="1129"/>
      <c r="N26" s="1129"/>
      <c r="O26" s="1129"/>
      <c r="P26" s="3219"/>
      <c r="Q26" s="1808"/>
      <c r="R26" s="774"/>
      <c r="S26" s="775"/>
      <c r="T26" s="774"/>
      <c r="U26" s="775"/>
      <c r="V26" s="774"/>
      <c r="W26" s="775"/>
      <c r="X26" s="1811"/>
      <c r="Y26" s="3212"/>
      <c r="Z26" s="1812"/>
      <c r="AA26" s="1809">
        <v>1</v>
      </c>
      <c r="AB26" s="1809">
        <v>1</v>
      </c>
      <c r="AC26" s="2672">
        <v>1</v>
      </c>
    </row>
    <row r="27" spans="1:29" ht="15" hidden="1">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19"/>
      <c r="Q27" s="1808" t="str">
        <f t="shared" ref="Q27:Q47" si="11">B27</f>
        <v>楼层</v>
      </c>
      <c r="R27" s="774" t="s">
        <v>17</v>
      </c>
      <c r="S27" s="775">
        <f>F27</f>
        <v>100</v>
      </c>
      <c r="T27" s="774" t="s">
        <v>17</v>
      </c>
      <c r="U27" s="775">
        <f>H27</f>
        <v>100</v>
      </c>
      <c r="V27" s="774" t="s">
        <v>17</v>
      </c>
      <c r="W27" s="775">
        <f>J27</f>
        <v>100</v>
      </c>
      <c r="X27" s="1811"/>
      <c r="Y27" s="3212"/>
      <c r="Z27" s="1812" t="str">
        <f>Q27</f>
        <v>楼层</v>
      </c>
      <c r="AA27" s="1809">
        <f t="shared" si="3"/>
        <v>1</v>
      </c>
      <c r="AB27" s="1809">
        <f t="shared" si="4"/>
        <v>1</v>
      </c>
      <c r="AC27" s="2672">
        <f t="shared" si="5"/>
        <v>1</v>
      </c>
    </row>
    <row r="28" spans="1:29" s="117" customFormat="1" ht="15" hidden="1">
      <c r="A28" s="431"/>
      <c r="B28" s="631" t="s">
        <v>2683</v>
      </c>
      <c r="C28" s="2674"/>
      <c r="D28" s="462">
        <v>100</v>
      </c>
      <c r="E28" s="2663"/>
      <c r="F28" s="462">
        <f>SUMIF(91:91,E28,92:92)-SUMIF(91:91,C28,92:92)+100</f>
        <v>100</v>
      </c>
      <c r="G28" s="2674"/>
      <c r="H28" s="462">
        <f>SUMIF(91:91,G28,92:92)-SUMIF(91:91,C28,92:92)+100</f>
        <v>100</v>
      </c>
      <c r="I28" s="2663"/>
      <c r="J28" s="462">
        <f>SUMIF(91:91,I28,92:92)-SUMIF(91:91,C28,92:92)+100</f>
        <v>100</v>
      </c>
      <c r="K28" s="612"/>
      <c r="L28" s="1130"/>
      <c r="M28" s="1131"/>
      <c r="N28" s="1131"/>
      <c r="O28" s="1131"/>
      <c r="P28" s="3219"/>
      <c r="Q28" s="1793" t="str">
        <f t="shared" si="11"/>
        <v>朝向</v>
      </c>
      <c r="R28" s="770" t="s">
        <v>17</v>
      </c>
      <c r="S28" s="771">
        <f>F28</f>
        <v>100</v>
      </c>
      <c r="T28" s="770" t="s">
        <v>17</v>
      </c>
      <c r="U28" s="771">
        <f>H28</f>
        <v>100</v>
      </c>
      <c r="V28" s="770" t="s">
        <v>17</v>
      </c>
      <c r="W28" s="771">
        <f>J28</f>
        <v>100</v>
      </c>
      <c r="X28" s="772"/>
      <c r="Y28" s="3212"/>
      <c r="Z28" s="55" t="str">
        <f>Q28</f>
        <v>朝向</v>
      </c>
      <c r="AA28" s="1809">
        <f>D28/F28</f>
        <v>1</v>
      </c>
      <c r="AB28" s="1809">
        <f>D28/H28</f>
        <v>1</v>
      </c>
      <c r="AC28" s="2672">
        <f>D28/J28</f>
        <v>1</v>
      </c>
    </row>
    <row r="29" spans="1:29" ht="15" hidden="1">
      <c r="A29" s="428"/>
      <c r="B29" s="2675"/>
      <c r="C29" s="2613"/>
      <c r="D29" s="435">
        <v>100</v>
      </c>
      <c r="E29" s="432"/>
      <c r="F29" s="435">
        <f>SUMIF(93:93,E29,94:94)-SUMIF(93:93,C29,94:94)+100</f>
        <v>100</v>
      </c>
      <c r="G29" s="2670"/>
      <c r="H29" s="435">
        <f>SUMIF(93:93,G29,94:94)-SUMIF(93:93,C29,94:94)+100</f>
        <v>100</v>
      </c>
      <c r="I29" s="432"/>
      <c r="J29" s="435">
        <f>SUMIF(93:93,I29,94:94)-SUMIF(93:93,C29,94:94)+100</f>
        <v>100</v>
      </c>
      <c r="K29" s="613"/>
      <c r="L29" s="1138"/>
      <c r="M29" s="1129"/>
      <c r="N29" s="1129"/>
      <c r="O29" s="1129"/>
      <c r="P29" s="3219"/>
      <c r="Q29" s="1808">
        <f t="shared" si="11"/>
        <v>0</v>
      </c>
      <c r="R29" s="774" t="s">
        <v>17</v>
      </c>
      <c r="S29" s="775">
        <f t="shared" ref="S29:S47" si="12">F29</f>
        <v>100</v>
      </c>
      <c r="T29" s="774" t="s">
        <v>17</v>
      </c>
      <c r="U29" s="775">
        <f t="shared" ref="U29:U47" si="13">H29</f>
        <v>100</v>
      </c>
      <c r="V29" s="774" t="s">
        <v>17</v>
      </c>
      <c r="W29" s="775">
        <f t="shared" ref="W29:W47" si="14">J29</f>
        <v>100</v>
      </c>
      <c r="X29" s="1811"/>
      <c r="Y29" s="3212"/>
      <c r="Z29" s="1812">
        <f t="shared" ref="Z29:Z47" si="15">Q29</f>
        <v>0</v>
      </c>
      <c r="AA29" s="1809">
        <f t="shared" si="3"/>
        <v>1</v>
      </c>
      <c r="AB29" s="1809">
        <f t="shared" si="4"/>
        <v>1</v>
      </c>
      <c r="AC29" s="2672">
        <f t="shared" si="5"/>
        <v>1</v>
      </c>
    </row>
    <row r="30" spans="1:29" ht="15" hidden="1">
      <c r="A30" s="428"/>
      <c r="B30" s="2675"/>
      <c r="C30" s="2613"/>
      <c r="D30" s="435">
        <v>100</v>
      </c>
      <c r="E30" s="432"/>
      <c r="F30" s="435">
        <f>SUMIF(95:95,E30,96:96)-SUMIF(95:95,C30,96:96)+100</f>
        <v>100</v>
      </c>
      <c r="G30" s="2670"/>
      <c r="H30" s="435">
        <f>SUMIF(95:95,G30,96:96)-SUMIF(95:95,C30,96:96)+100</f>
        <v>100</v>
      </c>
      <c r="I30" s="432"/>
      <c r="J30" s="435">
        <f>SUMIF(95:95,I30,96:96)-SUMIF(95:95,C30,96:96)+100</f>
        <v>100</v>
      </c>
      <c r="K30" s="613"/>
      <c r="L30" s="1138"/>
      <c r="M30" s="1129"/>
      <c r="N30" s="1129"/>
      <c r="O30" s="1129"/>
      <c r="P30" s="3219"/>
      <c r="Q30" s="1808">
        <f t="shared" si="11"/>
        <v>0</v>
      </c>
      <c r="R30" s="774" t="s">
        <v>17</v>
      </c>
      <c r="S30" s="775">
        <f t="shared" si="12"/>
        <v>100</v>
      </c>
      <c r="T30" s="774" t="s">
        <v>17</v>
      </c>
      <c r="U30" s="775">
        <f t="shared" si="13"/>
        <v>100</v>
      </c>
      <c r="V30" s="774" t="s">
        <v>17</v>
      </c>
      <c r="W30" s="775">
        <f t="shared" si="14"/>
        <v>100</v>
      </c>
      <c r="X30" s="1811"/>
      <c r="Y30" s="3212"/>
      <c r="Z30" s="1812">
        <f t="shared" si="15"/>
        <v>0</v>
      </c>
      <c r="AA30" s="1809">
        <f t="shared" si="3"/>
        <v>1</v>
      </c>
      <c r="AB30" s="1809">
        <f t="shared" si="4"/>
        <v>1</v>
      </c>
      <c r="AC30" s="2672">
        <f t="shared" si="5"/>
        <v>1</v>
      </c>
    </row>
    <row r="31" spans="1:29" ht="15" hidden="1">
      <c r="A31" s="428"/>
      <c r="B31" s="2675"/>
      <c r="C31" s="2613"/>
      <c r="D31" s="435">
        <v>100</v>
      </c>
      <c r="E31" s="432"/>
      <c r="F31" s="435">
        <f>SUMIF(97:97,E31,98:98)-SUMIF(97:97,C31,98:98)+100</f>
        <v>100</v>
      </c>
      <c r="G31" s="2670"/>
      <c r="H31" s="435">
        <f>SUMIF(97:97,G31,98:98)-SUMIF(97:97,C31,98:98)+100</f>
        <v>100</v>
      </c>
      <c r="I31" s="432"/>
      <c r="J31" s="435">
        <f>SUMIF(97:97,I31,98:98)-SUMIF(97:97,C31,98:98)+100</f>
        <v>100</v>
      </c>
      <c r="K31" s="613"/>
      <c r="L31" s="1138"/>
      <c r="M31" s="1129"/>
      <c r="N31" s="1129"/>
      <c r="O31" s="1129"/>
      <c r="P31" s="3219"/>
      <c r="Q31" s="1808">
        <f t="shared" si="11"/>
        <v>0</v>
      </c>
      <c r="R31" s="774" t="s">
        <v>17</v>
      </c>
      <c r="S31" s="775">
        <f t="shared" si="12"/>
        <v>100</v>
      </c>
      <c r="T31" s="774" t="s">
        <v>17</v>
      </c>
      <c r="U31" s="775">
        <f t="shared" si="13"/>
        <v>100</v>
      </c>
      <c r="V31" s="774" t="s">
        <v>17</v>
      </c>
      <c r="W31" s="775">
        <f t="shared" si="14"/>
        <v>100</v>
      </c>
      <c r="X31" s="1811"/>
      <c r="Y31" s="3212"/>
      <c r="Z31" s="1812">
        <f t="shared" si="15"/>
        <v>0</v>
      </c>
      <c r="AA31" s="1809">
        <f t="shared" si="3"/>
        <v>1</v>
      </c>
      <c r="AB31" s="1809">
        <f t="shared" si="4"/>
        <v>1</v>
      </c>
      <c r="AC31" s="2672">
        <f t="shared" si="5"/>
        <v>1</v>
      </c>
    </row>
    <row r="32" spans="1:29" ht="15.75" hidden="1" thickBot="1">
      <c r="A32" s="436"/>
      <c r="B32" s="635"/>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8"/>
      <c r="M32" s="1129"/>
      <c r="N32" s="1129"/>
      <c r="O32" s="1129"/>
      <c r="P32" s="3219"/>
      <c r="Q32" s="1808">
        <f t="shared" si="11"/>
        <v>0</v>
      </c>
      <c r="R32" s="774" t="s">
        <v>17</v>
      </c>
      <c r="S32" s="775">
        <f t="shared" si="12"/>
        <v>100</v>
      </c>
      <c r="T32" s="774" t="s">
        <v>17</v>
      </c>
      <c r="U32" s="775">
        <f t="shared" si="13"/>
        <v>100</v>
      </c>
      <c r="V32" s="774" t="s">
        <v>17</v>
      </c>
      <c r="W32" s="775">
        <f t="shared" si="14"/>
        <v>100</v>
      </c>
      <c r="X32" s="1811"/>
      <c r="Y32" s="3212"/>
      <c r="Z32" s="1812">
        <f t="shared" si="15"/>
        <v>0</v>
      </c>
      <c r="AA32" s="1809">
        <f t="shared" si="3"/>
        <v>1</v>
      </c>
      <c r="AB32" s="1809">
        <f t="shared" si="4"/>
        <v>1</v>
      </c>
      <c r="AC32" s="2672">
        <f t="shared" si="5"/>
        <v>1</v>
      </c>
    </row>
    <row r="33" spans="1:29" ht="15">
      <c r="A33" s="440" t="s">
        <v>2554</v>
      </c>
      <c r="B33" s="71" t="s">
        <v>2684</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8"/>
      <c r="M33" s="1129"/>
      <c r="N33" s="1129"/>
      <c r="O33" s="1129"/>
      <c r="P33" s="3213" t="s">
        <v>2556</v>
      </c>
      <c r="Q33" s="1808" t="str">
        <f t="shared" si="11"/>
        <v>建筑类型</v>
      </c>
      <c r="R33" s="774" t="s">
        <v>17</v>
      </c>
      <c r="S33" s="775">
        <f t="shared" si="12"/>
        <v>100</v>
      </c>
      <c r="T33" s="774" t="s">
        <v>17</v>
      </c>
      <c r="U33" s="775">
        <f t="shared" si="13"/>
        <v>100</v>
      </c>
      <c r="V33" s="774" t="s">
        <v>17</v>
      </c>
      <c r="W33" s="775">
        <f t="shared" si="14"/>
        <v>100</v>
      </c>
      <c r="X33" s="1811"/>
      <c r="Y33" s="3216" t="s">
        <v>2556</v>
      </c>
      <c r="Z33" s="1812" t="str">
        <f t="shared" si="15"/>
        <v>建筑类型</v>
      </c>
      <c r="AA33" s="1809">
        <f t="shared" si="3"/>
        <v>1</v>
      </c>
      <c r="AB33" s="1809">
        <f t="shared" si="4"/>
        <v>1</v>
      </c>
      <c r="AC33" s="2672">
        <f t="shared" si="5"/>
        <v>1</v>
      </c>
    </row>
    <row r="34" spans="1:29" s="471" customFormat="1" ht="15">
      <c r="A34" s="468"/>
      <c r="B34" s="422" t="s">
        <v>2557</v>
      </c>
      <c r="C34" s="469">
        <v>88197</v>
      </c>
      <c r="D34" s="136">
        <v>100</v>
      </c>
      <c r="E34" s="430">
        <v>84335</v>
      </c>
      <c r="F34" s="425">
        <f>LOOKUP(E34,104:104,105:105)-LOOKUP(C34,104:104,105:105)+100</f>
        <v>100</v>
      </c>
      <c r="G34" s="429">
        <v>58232</v>
      </c>
      <c r="H34" s="136">
        <f>LOOKUP(G34,104:104,105:105)-LOOKUP(C34,104:104,105:105)+100</f>
        <v>100</v>
      </c>
      <c r="I34" s="429">
        <v>58232</v>
      </c>
      <c r="J34" s="136">
        <f>LOOKUP(I34,104:104,105:105)-LOOKUP(C34,104:104,105:105)+100</f>
        <v>100</v>
      </c>
      <c r="K34" s="613"/>
      <c r="L34" s="1136"/>
      <c r="M34" s="1139"/>
      <c r="N34" s="1139"/>
      <c r="O34" s="1139"/>
      <c r="P34" s="3214"/>
      <c r="Q34" s="776" t="str">
        <f t="shared" si="11"/>
        <v>项目建筑规模</v>
      </c>
      <c r="R34" s="777" t="s">
        <v>17</v>
      </c>
      <c r="S34" s="778">
        <f t="shared" si="12"/>
        <v>100</v>
      </c>
      <c r="T34" s="777" t="s">
        <v>17</v>
      </c>
      <c r="U34" s="778">
        <f t="shared" si="13"/>
        <v>100</v>
      </c>
      <c r="V34" s="777" t="s">
        <v>17</v>
      </c>
      <c r="W34" s="778">
        <f t="shared" si="14"/>
        <v>100</v>
      </c>
      <c r="X34" s="779"/>
      <c r="Y34" s="3216"/>
      <c r="Z34" s="780" t="str">
        <f t="shared" si="15"/>
        <v>项目建筑规模</v>
      </c>
      <c r="AA34" s="1809">
        <f t="shared" si="3"/>
        <v>1</v>
      </c>
      <c r="AB34" s="1809">
        <f t="shared" si="4"/>
        <v>1</v>
      </c>
      <c r="AC34" s="2672">
        <f t="shared" si="5"/>
        <v>1</v>
      </c>
    </row>
    <row r="35" spans="1:29" ht="15">
      <c r="A35" s="472"/>
      <c r="B35" s="422" t="s">
        <v>2558</v>
      </c>
      <c r="C35" s="460" t="s">
        <v>3575</v>
      </c>
      <c r="D35" s="435">
        <v>100</v>
      </c>
      <c r="E35" s="460" t="s">
        <v>3575</v>
      </c>
      <c r="F35" s="461">
        <f>SUMIF(106:106,E35,107:107)-SUMIF(106:106,C35,107:107)+100</f>
        <v>100</v>
      </c>
      <c r="G35" s="460" t="s">
        <v>3575</v>
      </c>
      <c r="H35" s="435">
        <f>SUMIF(106:106,G35,107:107)-SUMIF(106:106,C35,107:107)+100</f>
        <v>100</v>
      </c>
      <c r="I35" s="460" t="s">
        <v>3575</v>
      </c>
      <c r="J35" s="435">
        <f>SUMIF(106:106,I35,107:107)-SUMIF(106:106,C35,107:107)+100</f>
        <v>100</v>
      </c>
      <c r="K35" s="612">
        <v>2</v>
      </c>
      <c r="L35" s="1138"/>
      <c r="M35" s="1129"/>
      <c r="N35" s="1129"/>
      <c r="O35" s="1129"/>
      <c r="P35" s="3214"/>
      <c r="Q35" s="1808" t="str">
        <f t="shared" si="11"/>
        <v>建筑结构</v>
      </c>
      <c r="R35" s="774" t="s">
        <v>17</v>
      </c>
      <c r="S35" s="775">
        <f t="shared" si="12"/>
        <v>100</v>
      </c>
      <c r="T35" s="774" t="s">
        <v>17</v>
      </c>
      <c r="U35" s="775">
        <f t="shared" si="13"/>
        <v>100</v>
      </c>
      <c r="V35" s="774" t="s">
        <v>17</v>
      </c>
      <c r="W35" s="775">
        <f t="shared" si="14"/>
        <v>100</v>
      </c>
      <c r="X35" s="1811"/>
      <c r="Y35" s="3216"/>
      <c r="Z35" s="1812" t="str">
        <f t="shared" si="15"/>
        <v>建筑结构</v>
      </c>
      <c r="AA35" s="1809">
        <f t="shared" si="3"/>
        <v>1</v>
      </c>
      <c r="AB35" s="1809">
        <f t="shared" si="4"/>
        <v>1</v>
      </c>
      <c r="AC35" s="2672">
        <f t="shared" si="5"/>
        <v>1</v>
      </c>
    </row>
    <row r="36" spans="1:29" ht="15">
      <c r="A36" s="472"/>
      <c r="B36" s="422" t="s">
        <v>2652</v>
      </c>
      <c r="C36" s="460" t="s">
        <v>3592</v>
      </c>
      <c r="D36" s="435">
        <v>100</v>
      </c>
      <c r="E36" s="460" t="s">
        <v>3592</v>
      </c>
      <c r="F36" s="461">
        <f>SUMIF(108:108,E36,109:109)-SUMIF(108:108,C36,109:109)+100</f>
        <v>100</v>
      </c>
      <c r="G36" s="460" t="s">
        <v>3592</v>
      </c>
      <c r="H36" s="435">
        <f>SUMIF(108:108,G36,109:109)-SUMIF(108:108,C36,109:109)+100</f>
        <v>100</v>
      </c>
      <c r="I36" s="460" t="s">
        <v>3592</v>
      </c>
      <c r="J36" s="435">
        <f>SUMIF(108:108,I36,109:109)-SUMIF(108:108,C36,109:109)+100</f>
        <v>100</v>
      </c>
      <c r="K36" s="612">
        <v>2</v>
      </c>
      <c r="L36" s="1138"/>
      <c r="M36" s="1129"/>
      <c r="N36" s="1129"/>
      <c r="O36" s="1129"/>
      <c r="P36" s="3214"/>
      <c r="Q36" s="1808" t="str">
        <f t="shared" si="11"/>
        <v>公共部分装修</v>
      </c>
      <c r="R36" s="774" t="s">
        <v>17</v>
      </c>
      <c r="S36" s="775">
        <f t="shared" si="12"/>
        <v>100</v>
      </c>
      <c r="T36" s="774" t="s">
        <v>17</v>
      </c>
      <c r="U36" s="775">
        <f t="shared" si="13"/>
        <v>100</v>
      </c>
      <c r="V36" s="774" t="s">
        <v>17</v>
      </c>
      <c r="W36" s="775">
        <f t="shared" si="14"/>
        <v>100</v>
      </c>
      <c r="X36" s="1811"/>
      <c r="Y36" s="3216"/>
      <c r="Z36" s="1812" t="str">
        <f t="shared" si="15"/>
        <v>公共部分装修</v>
      </c>
      <c r="AA36" s="1809">
        <f t="shared" si="3"/>
        <v>1</v>
      </c>
      <c r="AB36" s="1809">
        <f t="shared" si="4"/>
        <v>1</v>
      </c>
      <c r="AC36" s="2672">
        <f t="shared" si="5"/>
        <v>1</v>
      </c>
    </row>
    <row r="37" spans="1:29" ht="15">
      <c r="A37" s="472"/>
      <c r="B37" s="422" t="s">
        <v>2653</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38"/>
      <c r="M37" s="1129"/>
      <c r="N37" s="1129"/>
      <c r="O37" s="1129"/>
      <c r="P37" s="3214"/>
      <c r="Q37" s="1808" t="str">
        <f t="shared" si="11"/>
        <v>成新度</v>
      </c>
      <c r="R37" s="774" t="s">
        <v>17</v>
      </c>
      <c r="S37" s="775">
        <f t="shared" si="12"/>
        <v>100</v>
      </c>
      <c r="T37" s="774" t="s">
        <v>17</v>
      </c>
      <c r="U37" s="775">
        <f t="shared" si="13"/>
        <v>100</v>
      </c>
      <c r="V37" s="774" t="s">
        <v>17</v>
      </c>
      <c r="W37" s="775">
        <f t="shared" si="14"/>
        <v>100</v>
      </c>
      <c r="X37" s="1811"/>
      <c r="Y37" s="3216"/>
      <c r="Z37" s="1812" t="str">
        <f t="shared" si="15"/>
        <v>成新度</v>
      </c>
      <c r="AA37" s="1809">
        <f t="shared" si="3"/>
        <v>1</v>
      </c>
      <c r="AB37" s="1809">
        <f t="shared" si="4"/>
        <v>1</v>
      </c>
      <c r="AC37" s="2672">
        <f t="shared" si="5"/>
        <v>1</v>
      </c>
    </row>
    <row r="38" spans="1:29" s="117" customFormat="1" ht="15">
      <c r="A38" s="473"/>
      <c r="B38" s="422" t="s">
        <v>2685</v>
      </c>
      <c r="C38" s="460" t="s">
        <v>3703</v>
      </c>
      <c r="D38" s="136">
        <v>100</v>
      </c>
      <c r="E38" s="460" t="s">
        <v>3703</v>
      </c>
      <c r="F38" s="461">
        <f>SUMIF(113:113,E38,114:114)-SUMIF(113:113,C38,114:114)+100</f>
        <v>100</v>
      </c>
      <c r="G38" s="460" t="s">
        <v>3707</v>
      </c>
      <c r="H38" s="435">
        <f>SUMIF(113:113,G38,114:114)-SUMIF(113:113,C38,114:114)+100</f>
        <v>105</v>
      </c>
      <c r="I38" s="460" t="s">
        <v>3707</v>
      </c>
      <c r="J38" s="435">
        <f>SUMIF(113:113,I38,114:114)-SUMIF(113:113,C38,114:114)+100</f>
        <v>105</v>
      </c>
      <c r="K38" s="612">
        <v>5</v>
      </c>
      <c r="L38" s="1130"/>
      <c r="M38" s="1131"/>
      <c r="N38" s="1131"/>
      <c r="O38" s="1131"/>
      <c r="P38" s="3214"/>
      <c r="Q38" s="1793" t="str">
        <f t="shared" si="11"/>
        <v>写字楼等级</v>
      </c>
      <c r="R38" s="770" t="s">
        <v>17</v>
      </c>
      <c r="S38" s="771">
        <f t="shared" si="12"/>
        <v>100</v>
      </c>
      <c r="T38" s="770" t="s">
        <v>17</v>
      </c>
      <c r="U38" s="771">
        <f t="shared" si="13"/>
        <v>105</v>
      </c>
      <c r="V38" s="770" t="s">
        <v>17</v>
      </c>
      <c r="W38" s="771">
        <f t="shared" si="14"/>
        <v>105</v>
      </c>
      <c r="X38" s="772"/>
      <c r="Y38" s="3216"/>
      <c r="Z38" s="55" t="str">
        <f t="shared" si="15"/>
        <v>写字楼等级</v>
      </c>
      <c r="AA38" s="773">
        <f t="shared" si="3"/>
        <v>1</v>
      </c>
      <c r="AB38" s="773">
        <f t="shared" si="4"/>
        <v>0.95238095238095233</v>
      </c>
      <c r="AC38" s="2669">
        <f t="shared" si="5"/>
        <v>0.95238095238095233</v>
      </c>
    </row>
    <row r="39" spans="1:29" ht="15">
      <c r="A39" s="472"/>
      <c r="B39" s="422" t="s">
        <v>2686</v>
      </c>
      <c r="C39" s="460" t="s">
        <v>3704</v>
      </c>
      <c r="D39" s="435">
        <v>100</v>
      </c>
      <c r="E39" s="460" t="s">
        <v>3704</v>
      </c>
      <c r="F39" s="461">
        <f>SUMIF(115:115,E39,116:116)-SUMIF(115:115,C39,116:116)+100</f>
        <v>100</v>
      </c>
      <c r="G39" s="460" t="s">
        <v>3704</v>
      </c>
      <c r="H39" s="435">
        <f>SUMIF(115:115,G39,116:116)-SUMIF(115:115,C39,116:116)+100</f>
        <v>100</v>
      </c>
      <c r="I39" s="460" t="s">
        <v>3704</v>
      </c>
      <c r="J39" s="435">
        <f>SUMIF(115:115,I39,116:116)-SUMIF(115:115,C39,116:116)+100</f>
        <v>100</v>
      </c>
      <c r="K39" s="612">
        <v>2</v>
      </c>
      <c r="L39" s="1138"/>
      <c r="M39" s="1129"/>
      <c r="N39" s="1129"/>
      <c r="O39" s="1129"/>
      <c r="P39" s="3214" t="s">
        <v>2556</v>
      </c>
      <c r="Q39" s="1808" t="str">
        <f t="shared" si="11"/>
        <v>物业管理</v>
      </c>
      <c r="R39" s="774" t="s">
        <v>17</v>
      </c>
      <c r="S39" s="775">
        <f t="shared" si="12"/>
        <v>100</v>
      </c>
      <c r="T39" s="774" t="s">
        <v>17</v>
      </c>
      <c r="U39" s="775">
        <f t="shared" si="13"/>
        <v>100</v>
      </c>
      <c r="V39" s="774" t="s">
        <v>17</v>
      </c>
      <c r="W39" s="775">
        <f t="shared" si="14"/>
        <v>100</v>
      </c>
      <c r="X39" s="1811"/>
      <c r="Y39" s="3216" t="s">
        <v>2556</v>
      </c>
      <c r="Z39" s="1812" t="str">
        <f t="shared" si="15"/>
        <v>物业管理</v>
      </c>
      <c r="AA39" s="1809">
        <f t="shared" si="3"/>
        <v>1</v>
      </c>
      <c r="AB39" s="1809">
        <f t="shared" si="4"/>
        <v>1</v>
      </c>
      <c r="AC39" s="2672">
        <f t="shared" si="5"/>
        <v>1</v>
      </c>
    </row>
    <row r="40" spans="1:29" ht="15">
      <c r="A40" s="472"/>
      <c r="B40" s="422" t="s">
        <v>2654</v>
      </c>
      <c r="C40" s="460" t="s">
        <v>3629</v>
      </c>
      <c r="D40" s="435">
        <v>100</v>
      </c>
      <c r="E40" s="460" t="s">
        <v>3629</v>
      </c>
      <c r="F40" s="461">
        <f>SUMIF(117:117,E40,118:118)-SUMIF(117:117,C40,118:118)+100</f>
        <v>100</v>
      </c>
      <c r="G40" s="460" t="s">
        <v>3629</v>
      </c>
      <c r="H40" s="435">
        <f>SUMIF(117:117,G40,118:118)-SUMIF(117:117,C40,118:118)+100</f>
        <v>100</v>
      </c>
      <c r="I40" s="460" t="s">
        <v>3629</v>
      </c>
      <c r="J40" s="435">
        <f>SUMIF(117:117,I40,118:118)-SUMIF(117:117,C40,118:118)+100</f>
        <v>100</v>
      </c>
      <c r="K40" s="612">
        <v>2</v>
      </c>
      <c r="L40" s="1138"/>
      <c r="M40" s="1129"/>
      <c r="N40" s="1129"/>
      <c r="O40" s="1129"/>
      <c r="P40" s="3214"/>
      <c r="Q40" s="1808" t="str">
        <f t="shared" si="11"/>
        <v>市政基础设施</v>
      </c>
      <c r="R40" s="774" t="s">
        <v>17</v>
      </c>
      <c r="S40" s="775">
        <f t="shared" si="12"/>
        <v>100</v>
      </c>
      <c r="T40" s="774" t="s">
        <v>17</v>
      </c>
      <c r="U40" s="775">
        <f t="shared" si="13"/>
        <v>100</v>
      </c>
      <c r="V40" s="774" t="s">
        <v>17</v>
      </c>
      <c r="W40" s="775">
        <f t="shared" si="14"/>
        <v>100</v>
      </c>
      <c r="X40" s="1811"/>
      <c r="Y40" s="3216"/>
      <c r="Z40" s="1812" t="str">
        <f t="shared" si="15"/>
        <v>市政基础设施</v>
      </c>
      <c r="AA40" s="1809">
        <f t="shared" si="3"/>
        <v>1</v>
      </c>
      <c r="AB40" s="1809">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8"/>
      <c r="M41" s="1129"/>
      <c r="N41" s="1129"/>
      <c r="O41" s="1129"/>
      <c r="P41" s="3214"/>
      <c r="Q41" s="1808" t="str">
        <f t="shared" si="11"/>
        <v>层高</v>
      </c>
      <c r="R41" s="774" t="s">
        <v>17</v>
      </c>
      <c r="S41" s="775">
        <f t="shared" si="12"/>
        <v>100</v>
      </c>
      <c r="T41" s="774" t="s">
        <v>17</v>
      </c>
      <c r="U41" s="775">
        <f t="shared" si="13"/>
        <v>100</v>
      </c>
      <c r="V41" s="774" t="s">
        <v>17</v>
      </c>
      <c r="W41" s="775">
        <f t="shared" si="14"/>
        <v>100</v>
      </c>
      <c r="X41" s="1811"/>
      <c r="Y41" s="3216"/>
      <c r="Z41" s="1812" t="str">
        <f t="shared" si="15"/>
        <v>层高</v>
      </c>
      <c r="AA41" s="1809">
        <f t="shared" si="3"/>
        <v>1</v>
      </c>
      <c r="AB41" s="1809">
        <f t="shared" si="4"/>
        <v>1</v>
      </c>
      <c r="AC41" s="2672">
        <f t="shared" si="5"/>
        <v>1</v>
      </c>
    </row>
    <row r="42" spans="1:29" s="471" customFormat="1" ht="15">
      <c r="A42" s="468"/>
      <c r="B42" s="1810" t="s">
        <v>2687</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6"/>
      <c r="M42" s="1139"/>
      <c r="N42" s="1139"/>
      <c r="O42" s="1139"/>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09">
        <f t="shared" si="3"/>
        <v>1</v>
      </c>
      <c r="AB42" s="1809">
        <f t="shared" si="4"/>
        <v>1</v>
      </c>
      <c r="AC42" s="2672">
        <f t="shared" si="5"/>
        <v>1</v>
      </c>
    </row>
    <row r="43" spans="1:29" ht="15">
      <c r="A43" s="472"/>
      <c r="B43" s="422" t="s">
        <v>2659</v>
      </c>
      <c r="C43" s="460" t="s">
        <v>3633</v>
      </c>
      <c r="D43" s="435">
        <v>100</v>
      </c>
      <c r="E43" s="460" t="s">
        <v>3633</v>
      </c>
      <c r="F43" s="461">
        <f>SUMIF(123:123,E43,124:124)-SUMIF(123:123,C43,124:124)+100</f>
        <v>100</v>
      </c>
      <c r="G43" s="460" t="s">
        <v>3633</v>
      </c>
      <c r="H43" s="435">
        <f>SUMIF(123:123,G43,124:124)-SUMIF(123:123,C43,124:124)+100</f>
        <v>100</v>
      </c>
      <c r="I43" s="460" t="s">
        <v>3633</v>
      </c>
      <c r="J43" s="435">
        <f>SUMIF(123:123,I43,124:124)-SUMIF(123:123,C43,124:124)+100</f>
        <v>100</v>
      </c>
      <c r="K43" s="612">
        <v>2</v>
      </c>
      <c r="L43" s="1138"/>
      <c r="M43" s="1129"/>
      <c r="N43" s="1129"/>
      <c r="O43" s="1129"/>
      <c r="P43" s="3214"/>
      <c r="Q43" s="1808" t="str">
        <f t="shared" si="11"/>
        <v>内部装修</v>
      </c>
      <c r="R43" s="774" t="s">
        <v>17</v>
      </c>
      <c r="S43" s="775">
        <f t="shared" si="12"/>
        <v>100</v>
      </c>
      <c r="T43" s="774" t="s">
        <v>17</v>
      </c>
      <c r="U43" s="775">
        <f t="shared" si="13"/>
        <v>100</v>
      </c>
      <c r="V43" s="774" t="s">
        <v>17</v>
      </c>
      <c r="W43" s="775">
        <f t="shared" si="14"/>
        <v>100</v>
      </c>
      <c r="X43" s="1811"/>
      <c r="Y43" s="3216"/>
      <c r="Z43" s="1812" t="str">
        <f t="shared" si="15"/>
        <v>内部装修</v>
      </c>
      <c r="AA43" s="1809">
        <f t="shared" si="3"/>
        <v>1</v>
      </c>
      <c r="AB43" s="1809">
        <f t="shared" si="4"/>
        <v>1</v>
      </c>
      <c r="AC43" s="2672">
        <f t="shared" si="5"/>
        <v>1</v>
      </c>
    </row>
    <row r="44" spans="1:29" ht="15.75" thickBot="1">
      <c r="A44" s="472"/>
      <c r="B44" s="422" t="s">
        <v>2567</v>
      </c>
      <c r="C44" s="460" t="s">
        <v>3589</v>
      </c>
      <c r="D44" s="435">
        <v>100</v>
      </c>
      <c r="E44" s="2611" t="s">
        <v>3589</v>
      </c>
      <c r="F44" s="461">
        <f>SUMIF(125:125,E44,126:126)-SUMIF(125:125,C44,126:126)+100</f>
        <v>100</v>
      </c>
      <c r="G44" s="2611" t="s">
        <v>3589</v>
      </c>
      <c r="H44" s="435">
        <f>SUMIF(125:125,G44,126:126)-SUMIF(125:125,C44,126:126)+100</f>
        <v>100</v>
      </c>
      <c r="I44" s="2611" t="s">
        <v>3589</v>
      </c>
      <c r="J44" s="435">
        <f>SUMIF(125:125,I44,126:126)-SUMIF(125:125,C44,126:126)+100</f>
        <v>100</v>
      </c>
      <c r="K44" s="612">
        <v>2</v>
      </c>
      <c r="L44" s="1138"/>
      <c r="M44" s="1129"/>
      <c r="N44" s="1129"/>
      <c r="O44" s="1129"/>
      <c r="P44" s="3214"/>
      <c r="Q44" s="1808" t="str">
        <f t="shared" si="11"/>
        <v>内部装修维护情况</v>
      </c>
      <c r="R44" s="774" t="s">
        <v>17</v>
      </c>
      <c r="S44" s="775">
        <f t="shared" si="12"/>
        <v>100</v>
      </c>
      <c r="T44" s="774" t="s">
        <v>17</v>
      </c>
      <c r="U44" s="775">
        <f t="shared" si="13"/>
        <v>100</v>
      </c>
      <c r="V44" s="774" t="s">
        <v>17</v>
      </c>
      <c r="W44" s="775">
        <f t="shared" si="14"/>
        <v>100</v>
      </c>
      <c r="X44" s="1811"/>
      <c r="Y44" s="3216"/>
      <c r="Z44" s="1812" t="str">
        <f t="shared" si="15"/>
        <v>内部装修维护情况</v>
      </c>
      <c r="AA44" s="1809">
        <f t="shared" si="3"/>
        <v>1</v>
      </c>
      <c r="AB44" s="1809">
        <f t="shared" si="4"/>
        <v>1</v>
      </c>
      <c r="AC44" s="2672">
        <f t="shared" si="5"/>
        <v>1</v>
      </c>
    </row>
    <row r="45" spans="1:29" s="117" customFormat="1" ht="15" hidden="1">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4"/>
      <c r="Q45" s="1793">
        <f t="shared" si="11"/>
        <v>0</v>
      </c>
      <c r="R45" s="770" t="s">
        <v>17</v>
      </c>
      <c r="S45" s="771">
        <f t="shared" si="12"/>
        <v>100</v>
      </c>
      <c r="T45" s="770" t="s">
        <v>17</v>
      </c>
      <c r="U45" s="771">
        <f t="shared" si="13"/>
        <v>100</v>
      </c>
      <c r="V45" s="770" t="s">
        <v>17</v>
      </c>
      <c r="W45" s="771">
        <f t="shared" si="14"/>
        <v>100</v>
      </c>
      <c r="X45" s="772"/>
      <c r="Y45" s="3216"/>
      <c r="Z45" s="55">
        <f t="shared" si="15"/>
        <v>0</v>
      </c>
      <c r="AA45" s="773">
        <f t="shared" si="3"/>
        <v>1</v>
      </c>
      <c r="AB45" s="773">
        <f t="shared" si="4"/>
        <v>1</v>
      </c>
      <c r="AC45" s="2669">
        <f t="shared" si="5"/>
        <v>1</v>
      </c>
    </row>
    <row r="46" spans="1:29" ht="15" hidden="1">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4"/>
      <c r="Q46" s="1808">
        <f t="shared" si="11"/>
        <v>0</v>
      </c>
      <c r="R46" s="774" t="s">
        <v>17</v>
      </c>
      <c r="S46" s="775">
        <f t="shared" si="12"/>
        <v>100</v>
      </c>
      <c r="T46" s="774" t="s">
        <v>17</v>
      </c>
      <c r="U46" s="775">
        <f t="shared" si="13"/>
        <v>100</v>
      </c>
      <c r="V46" s="774" t="s">
        <v>17</v>
      </c>
      <c r="W46" s="775">
        <f t="shared" si="14"/>
        <v>100</v>
      </c>
      <c r="X46" s="1811"/>
      <c r="Y46" s="3216"/>
      <c r="Z46" s="1812">
        <f t="shared" si="15"/>
        <v>0</v>
      </c>
      <c r="AA46" s="1809">
        <f t="shared" si="3"/>
        <v>1</v>
      </c>
      <c r="AB46" s="1809">
        <f t="shared" si="4"/>
        <v>1</v>
      </c>
      <c r="AC46" s="2672">
        <f t="shared" si="5"/>
        <v>1</v>
      </c>
    </row>
    <row r="47" spans="1:29" ht="15.75" hidden="1"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5"/>
      <c r="Q47" s="1808">
        <f t="shared" si="11"/>
        <v>0</v>
      </c>
      <c r="R47" s="774" t="s">
        <v>17</v>
      </c>
      <c r="S47" s="775">
        <f t="shared" si="12"/>
        <v>100</v>
      </c>
      <c r="T47" s="774" t="s">
        <v>17</v>
      </c>
      <c r="U47" s="775">
        <f t="shared" si="13"/>
        <v>100</v>
      </c>
      <c r="V47" s="774" t="s">
        <v>17</v>
      </c>
      <c r="W47" s="775">
        <f t="shared" si="14"/>
        <v>100</v>
      </c>
      <c r="X47" s="1811"/>
      <c r="Y47" s="3217"/>
      <c r="Z47" s="1812">
        <f t="shared" si="15"/>
        <v>0</v>
      </c>
      <c r="AA47" s="1809">
        <f t="shared" si="3"/>
        <v>1</v>
      </c>
      <c r="AB47" s="1809">
        <f t="shared" si="4"/>
        <v>1</v>
      </c>
      <c r="AC47" s="2672">
        <f t="shared" si="5"/>
        <v>1</v>
      </c>
    </row>
    <row r="48" spans="1:29" ht="15">
      <c r="A48" s="479" t="s">
        <v>2568</v>
      </c>
      <c r="B48" s="480"/>
      <c r="C48" s="1405" t="s">
        <v>1</v>
      </c>
      <c r="D48" s="1406"/>
      <c r="E48" s="1407">
        <v>39500</v>
      </c>
      <c r="F48" s="1408"/>
      <c r="G48" s="1409">
        <v>44000</v>
      </c>
      <c r="H48" s="1410"/>
      <c r="I48" s="1407">
        <v>43000</v>
      </c>
      <c r="J48" s="485"/>
      <c r="K48" s="783"/>
      <c r="L48" s="1141"/>
      <c r="M48" s="1129"/>
      <c r="N48" s="1129"/>
      <c r="O48" s="1129"/>
      <c r="P48" s="3191" t="str">
        <f>A48</f>
        <v>成交单价（元/平方米）</v>
      </c>
      <c r="Q48" s="3209"/>
      <c r="R48" s="3210">
        <f>E48</f>
        <v>39500</v>
      </c>
      <c r="S48" s="3210"/>
      <c r="T48" s="3210">
        <f>G48</f>
        <v>44000</v>
      </c>
      <c r="U48" s="3210"/>
      <c r="V48" s="3210">
        <f>I48</f>
        <v>43000</v>
      </c>
      <c r="W48" s="3210"/>
      <c r="X48" s="446"/>
      <c r="Y48" s="781"/>
      <c r="Z48" s="446"/>
      <c r="AA48" s="446"/>
      <c r="AB48" s="446"/>
      <c r="AC48" s="630"/>
    </row>
    <row r="49" spans="1:29" ht="15.75" thickBot="1">
      <c r="A49" s="486" t="s">
        <v>2660</v>
      </c>
      <c r="B49" s="487"/>
      <c r="C49" s="1411">
        <f>R50</f>
        <v>41332</v>
      </c>
      <c r="D49" s="1412"/>
      <c r="E49" s="1413">
        <f>R49</f>
        <v>40302</v>
      </c>
      <c r="F49" s="1413"/>
      <c r="G49" s="1411">
        <f>T49</f>
        <v>42328</v>
      </c>
      <c r="H49" s="1412"/>
      <c r="I49" s="1413">
        <f>V49</f>
        <v>41366</v>
      </c>
      <c r="J49" s="489"/>
      <c r="K49" s="784"/>
      <c r="L49" s="1141"/>
      <c r="M49" s="1129"/>
      <c r="N49" s="1129"/>
      <c r="O49" s="1129"/>
      <c r="P49" s="3191" t="str">
        <f>A49</f>
        <v>比较价值（元/平方米）</v>
      </c>
      <c r="Q49" s="3209"/>
      <c r="R49" s="3210">
        <f>IF(F1="售价",ROUND(PRODUCT(R48,AA7:AA47),0),ROUND(PRODUCT(R48,AA7:AA47),1))</f>
        <v>40302</v>
      </c>
      <c r="S49" s="3210"/>
      <c r="T49" s="3210">
        <f>IF(F1="售价",ROUND(PRODUCT(T48,AB7:AB47),0),ROUND(PRODUCT(T48,AB7:AB47),1))</f>
        <v>42328</v>
      </c>
      <c r="U49" s="3210"/>
      <c r="V49" s="3210">
        <f>IF(F1="售价",ROUND(PRODUCT(V48,AC7:AC47),0),ROUND(PRODUCT(V48,AC7:AC47),1))</f>
        <v>41366</v>
      </c>
      <c r="W49" s="3210"/>
      <c r="X49" s="446"/>
      <c r="Y49" s="446"/>
      <c r="Z49" s="446"/>
      <c r="AA49" s="446"/>
      <c r="AB49" s="446"/>
      <c r="AC49" s="630"/>
    </row>
    <row r="50" spans="1:29" ht="15.75" thickBot="1">
      <c r="A50" s="492" t="s">
        <v>2661</v>
      </c>
      <c r="B50" s="493"/>
      <c r="C50" s="1415">
        <f>R50</f>
        <v>41332</v>
      </c>
      <c r="D50" s="1415"/>
      <c r="E50" s="1415"/>
      <c r="F50" s="1415"/>
      <c r="G50" s="1415"/>
      <c r="H50" s="1415"/>
      <c r="I50" s="1415"/>
      <c r="J50" s="494"/>
      <c r="K50" s="785"/>
      <c r="L50" s="1141"/>
      <c r="M50" s="1129"/>
      <c r="N50" s="1129"/>
      <c r="O50" s="1129"/>
      <c r="P50" s="3232" t="str">
        <f>A50</f>
        <v>估价对象XX用房的比较价值（楼面单价，元/平方米）</v>
      </c>
      <c r="Q50" s="3233"/>
      <c r="R50" s="3234">
        <f>IF(F1="售价",ROUND(AVERAGE(R49:V49),0),ROUND(AVERAGE(R49:V49),1))</f>
        <v>41332</v>
      </c>
      <c r="S50" s="3234"/>
      <c r="T50" s="3234"/>
      <c r="U50" s="3234"/>
      <c r="V50" s="3234"/>
      <c r="W50" s="3234"/>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2662</v>
      </c>
      <c r="D53" s="498"/>
      <c r="E53" s="499">
        <f>IF(E48&lt;E49,E49/E48-1,E48/E49-1)</f>
        <v>2.0303797468354423E-2</v>
      </c>
      <c r="F53" s="500" t="str">
        <f>IF(OR(E53&gt;=0.3,E53&lt;=-0.3),"超过30%","")</f>
        <v/>
      </c>
      <c r="G53" s="499">
        <f>IF(G48&lt;G49,G49/G48-1,G48/G49-1)</f>
        <v>3.9501039501039559E-2</v>
      </c>
      <c r="H53" s="500" t="str">
        <f>IF(OR(G53&gt;=0.3,G53&lt;=-0.3),"超过30%","")</f>
        <v/>
      </c>
      <c r="I53" s="499">
        <f>IF(I48&lt;I49,I49/I48-1,I48/I49-1)</f>
        <v>3.9501039501039559E-2</v>
      </c>
      <c r="J53" s="500" t="str">
        <f>IF(OR(I53&gt;=0.3,I53&lt;=-0.3),"超过30%","")</f>
        <v/>
      </c>
      <c r="K53" s="1103"/>
      <c r="L53" s="1104"/>
      <c r="M53" s="1142"/>
      <c r="N53" s="1142"/>
      <c r="O53" s="1142"/>
    </row>
    <row r="54" spans="1:29" ht="13.5" customHeight="1">
      <c r="A54" s="1142"/>
      <c r="B54" s="1142"/>
      <c r="C54" s="497" t="s">
        <v>2663</v>
      </c>
      <c r="D54" s="501"/>
      <c r="E54" s="499">
        <f>IF(E49&lt;G49,G49/E49-1,E49/G49-1)</f>
        <v>5.0270458041784538E-2</v>
      </c>
      <c r="F54" s="500" t="str">
        <f>IF(OR(E54&gt;=0.2,E54&lt;=-0.2),"超过20%","")</f>
        <v/>
      </c>
      <c r="G54" s="499">
        <f>IF(G49&lt;I49,I49/G49-1,G49/I49-1)</f>
        <v>2.3255813953488413E-2</v>
      </c>
      <c r="H54" s="500" t="str">
        <f>IF(OR(G54&gt;=0.2,G54&lt;=-0.2),"超过20%","")</f>
        <v/>
      </c>
      <c r="I54" s="499">
        <f>IF(I49&lt;E49,E49/I49-1,I49/E49-1)</f>
        <v>2.6400674904471177E-2</v>
      </c>
      <c r="J54" s="500" t="str">
        <f>IF(OR(I54&gt;=0.2,I54&lt;=-0.2),"超过20%","")</f>
        <v/>
      </c>
      <c r="K54" s="1103"/>
      <c r="L54" s="1104"/>
      <c r="M54" s="1142"/>
      <c r="N54" s="1142"/>
      <c r="O54" s="1142"/>
    </row>
    <row r="55" spans="1:29" s="502" customFormat="1" ht="13.5" customHeight="1">
      <c r="A55" s="1143"/>
      <c r="B55" s="1143"/>
      <c r="C55" s="497" t="s">
        <v>2664</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3" t="s">
        <v>2665</v>
      </c>
      <c r="B58" s="759"/>
      <c r="C58" s="764"/>
      <c r="D58" s="764"/>
      <c r="E58" s="764"/>
      <c r="F58" s="765"/>
      <c r="G58" s="765"/>
      <c r="H58" s="764"/>
      <c r="I58" s="764"/>
      <c r="J58" s="764"/>
      <c r="K58" s="766"/>
      <c r="L58" s="1159"/>
      <c r="M58" s="1157"/>
      <c r="N58" s="1157"/>
      <c r="O58" s="1157"/>
      <c r="P58" s="2678"/>
      <c r="Q58" s="504"/>
    </row>
    <row r="59" spans="1:29" s="508" customFormat="1" ht="15">
      <c r="A59" s="505" t="s">
        <v>2539</v>
      </c>
      <c r="B59" s="506"/>
      <c r="C59" s="1572" t="str">
        <f>YEAR(C7)&amp;"-"&amp;MONTH(C7)</f>
        <v>2018-3</v>
      </c>
      <c r="D59" s="1573">
        <f>EDATE(C59,-1)</f>
        <v>43132</v>
      </c>
      <c r="E59" s="1573">
        <f>EDATE(D59,-1)</f>
        <v>43101</v>
      </c>
      <c r="F59" s="1573">
        <f t="shared" ref="F59:O59" si="16">EDATE(E59,-1)</f>
        <v>43070</v>
      </c>
      <c r="G59" s="1573">
        <f t="shared" si="16"/>
        <v>43040</v>
      </c>
      <c r="H59" s="1573">
        <f t="shared" si="16"/>
        <v>43009</v>
      </c>
      <c r="I59" s="1573">
        <f t="shared" si="16"/>
        <v>42979</v>
      </c>
      <c r="J59" s="1573">
        <f t="shared" si="16"/>
        <v>42948</v>
      </c>
      <c r="K59" s="1573">
        <f t="shared" si="16"/>
        <v>42917</v>
      </c>
      <c r="L59" s="1573">
        <f t="shared" si="16"/>
        <v>42887</v>
      </c>
      <c r="M59" s="1573">
        <f t="shared" si="16"/>
        <v>42856</v>
      </c>
      <c r="N59" s="1573">
        <f t="shared" si="16"/>
        <v>42826</v>
      </c>
      <c r="O59" s="1573">
        <f t="shared" si="16"/>
        <v>42795</v>
      </c>
      <c r="P59" s="1569"/>
    </row>
    <row r="60" spans="1:29" s="117" customFormat="1" ht="15">
      <c r="A60" s="509"/>
      <c r="B60" s="510"/>
      <c r="C60" s="1571">
        <v>100</v>
      </c>
      <c r="D60" s="512"/>
      <c r="E60" s="512"/>
      <c r="F60" s="512"/>
      <c r="G60" s="512"/>
      <c r="H60" s="512"/>
      <c r="I60" s="512"/>
      <c r="J60" s="512"/>
      <c r="K60" s="512"/>
      <c r="L60" s="512"/>
      <c r="M60" s="513"/>
      <c r="N60" s="512"/>
      <c r="O60" s="513"/>
      <c r="P60" s="2679"/>
    </row>
    <row r="61" spans="1:29" s="117" customFormat="1" ht="15.75" thickBot="1">
      <c r="A61" s="515" t="s">
        <v>2576</v>
      </c>
      <c r="B61" s="516"/>
      <c r="C61" s="517"/>
      <c r="D61" s="518"/>
      <c r="E61" s="518"/>
      <c r="F61" s="518"/>
      <c r="G61" s="518"/>
      <c r="H61" s="518"/>
      <c r="I61" s="518"/>
      <c r="J61" s="518"/>
      <c r="K61" s="518"/>
      <c r="L61" s="518"/>
      <c r="M61" s="519"/>
      <c r="N61" s="518"/>
      <c r="O61" s="519"/>
      <c r="P61" s="2679"/>
      <c r="Q61" s="504"/>
    </row>
    <row r="62" spans="1:29" s="117" customFormat="1" ht="15">
      <c r="A62" s="521" t="s">
        <v>2541</v>
      </c>
      <c r="B62" s="510"/>
      <c r="C62" s="522" t="s">
        <v>2643</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2579</v>
      </c>
      <c r="B64" s="528" t="s">
        <v>2545</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8.5" thickTop="1">
      <c r="A66" s="534"/>
      <c r="B66" s="538" t="s">
        <v>2548</v>
      </c>
      <c r="C66" s="539" t="s">
        <v>2580</v>
      </c>
      <c r="D66" s="539" t="s">
        <v>2581</v>
      </c>
      <c r="E66" s="539" t="s">
        <v>2582</v>
      </c>
      <c r="F66" s="539" t="s">
        <v>2583</v>
      </c>
      <c r="G66" s="539" t="s">
        <v>2584</v>
      </c>
      <c r="H66" s="539" t="s">
        <v>2585</v>
      </c>
      <c r="I66" s="539" t="s">
        <v>2586</v>
      </c>
      <c r="J66" s="539"/>
      <c r="K66" s="540"/>
      <c r="L66" s="541"/>
      <c r="M66" s="542"/>
      <c r="N66" s="1150"/>
      <c r="O66" s="1150"/>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1"/>
      <c r="Q67" s="504"/>
    </row>
    <row r="68" spans="1:17" ht="15.75" hidden="1" customHeight="1" thickTop="1">
      <c r="A68" s="534"/>
      <c r="B68" s="546" t="s">
        <v>2549</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1"/>
      <c r="Q68" s="504"/>
    </row>
    <row r="69" spans="1:17" ht="15" hidden="1" customHeight="1">
      <c r="A69" s="534"/>
      <c r="B69" s="548"/>
      <c r="C69" s="549">
        <v>0</v>
      </c>
      <c r="D69" s="549"/>
      <c r="E69" s="549"/>
      <c r="F69" s="549"/>
      <c r="G69" s="549"/>
      <c r="H69" s="549"/>
      <c r="I69" s="549"/>
      <c r="J69" s="549"/>
      <c r="K69" s="550"/>
      <c r="L69" s="551"/>
      <c r="M69" s="552"/>
      <c r="N69" s="1150"/>
      <c r="O69" s="1150"/>
      <c r="P69" s="2681"/>
      <c r="Q69" s="504"/>
    </row>
    <row r="70" spans="1:17" ht="15.75" hidden="1" customHeight="1"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hidden="1" customHeight="1" thickTop="1">
      <c r="A71" s="553"/>
      <c r="B71" s="538" t="str">
        <f>B12</f>
        <v>建成年代</v>
      </c>
      <c r="C71" s="554"/>
      <c r="D71" s="554"/>
      <c r="E71" s="554"/>
      <c r="F71" s="554"/>
      <c r="G71" s="554"/>
      <c r="H71" s="555"/>
      <c r="I71" s="555"/>
      <c r="J71" s="555"/>
      <c r="K71" s="555"/>
      <c r="L71" s="556"/>
      <c r="M71" s="557"/>
      <c r="N71" s="1152"/>
      <c r="O71" s="1152"/>
      <c r="P71" s="2682"/>
      <c r="Q71" s="559"/>
    </row>
    <row r="72" spans="1:17" s="471" customFormat="1" ht="15.75" hidden="1" customHeight="1" thickBot="1">
      <c r="A72" s="553"/>
      <c r="B72" s="543"/>
      <c r="C72" s="560"/>
      <c r="D72" s="536"/>
      <c r="E72" s="536"/>
      <c r="F72" s="536"/>
      <c r="G72" s="536"/>
      <c r="H72" s="536"/>
      <c r="I72" s="536"/>
      <c r="J72" s="536"/>
      <c r="K72" s="536"/>
      <c r="L72" s="536"/>
      <c r="M72" s="537"/>
      <c r="N72" s="1151"/>
      <c r="O72" s="1151"/>
      <c r="P72" s="2682"/>
      <c r="Q72" s="559"/>
    </row>
    <row r="73" spans="1:17" s="471" customFormat="1" ht="15.75" hidden="1" customHeight="1" thickTop="1">
      <c r="A73" s="553"/>
      <c r="B73" s="538">
        <f>B13</f>
        <v>0</v>
      </c>
      <c r="C73" s="554"/>
      <c r="D73" s="554"/>
      <c r="E73" s="554"/>
      <c r="F73" s="554"/>
      <c r="G73" s="554"/>
      <c r="H73" s="555"/>
      <c r="I73" s="555"/>
      <c r="J73" s="555"/>
      <c r="K73" s="555"/>
      <c r="L73" s="556"/>
      <c r="M73" s="557"/>
      <c r="N73" s="1152"/>
      <c r="O73" s="1152"/>
      <c r="P73" s="2683"/>
      <c r="Q73" s="561"/>
    </row>
    <row r="74" spans="1:17" s="471" customFormat="1" ht="15.75" hidden="1" customHeight="1" thickBot="1">
      <c r="A74" s="553"/>
      <c r="B74" s="543"/>
      <c r="C74" s="560"/>
      <c r="D74" s="560"/>
      <c r="E74" s="560"/>
      <c r="F74" s="560"/>
      <c r="G74" s="560"/>
      <c r="H74" s="562"/>
      <c r="I74" s="562"/>
      <c r="J74" s="562"/>
      <c r="K74" s="562"/>
      <c r="L74" s="562"/>
      <c r="M74" s="563"/>
      <c r="N74" s="1152"/>
      <c r="O74" s="1152"/>
      <c r="P74" s="2682"/>
      <c r="Q74" s="559"/>
    </row>
    <row r="75" spans="1:17" s="471" customFormat="1" ht="15.75" hidden="1" customHeight="1" thickTop="1">
      <c r="A75" s="553"/>
      <c r="B75" s="546">
        <f>B14</f>
        <v>0</v>
      </c>
      <c r="C75" s="523"/>
      <c r="D75" s="523"/>
      <c r="E75" s="523"/>
      <c r="F75" s="523"/>
      <c r="G75" s="523"/>
      <c r="H75" s="564"/>
      <c r="I75" s="564"/>
      <c r="J75" s="564"/>
      <c r="K75" s="564"/>
      <c r="L75" s="565"/>
      <c r="M75" s="566"/>
      <c r="N75" s="1152"/>
      <c r="O75" s="1152"/>
      <c r="P75" s="2684"/>
      <c r="Q75" s="559"/>
    </row>
    <row r="76" spans="1:17" s="471" customFormat="1" ht="15.75" hidden="1" customHeight="1" thickBot="1">
      <c r="A76" s="568"/>
      <c r="B76" s="569"/>
      <c r="C76" s="570"/>
      <c r="D76" s="570"/>
      <c r="E76" s="570"/>
      <c r="F76" s="570"/>
      <c r="G76" s="570"/>
      <c r="H76" s="571"/>
      <c r="I76" s="571"/>
      <c r="J76" s="571"/>
      <c r="K76" s="571"/>
      <c r="L76" s="571"/>
      <c r="M76" s="572"/>
      <c r="N76" s="1152"/>
      <c r="O76" s="1152"/>
      <c r="P76" s="2682"/>
      <c r="Q76" s="559"/>
    </row>
    <row r="77" spans="1:17" ht="15" thickTop="1">
      <c r="A77" s="527" t="s">
        <v>2550</v>
      </c>
      <c r="B77" s="528" t="s">
        <v>2688</v>
      </c>
      <c r="C77" s="573" t="s">
        <v>2588</v>
      </c>
      <c r="D77" s="573" t="s">
        <v>2589</v>
      </c>
      <c r="E77" s="573" t="s">
        <v>2590</v>
      </c>
      <c r="F77" s="573" t="s">
        <v>2591</v>
      </c>
      <c r="G77" s="573" t="s">
        <v>2592</v>
      </c>
      <c r="H77" s="529"/>
      <c r="I77" s="529"/>
      <c r="J77" s="529"/>
      <c r="K77" s="574"/>
      <c r="L77" s="575"/>
      <c r="M77" s="576"/>
      <c r="N77" s="1150"/>
      <c r="O77" s="1150"/>
      <c r="P77" s="2685"/>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0"/>
      <c r="O79" s="1150"/>
      <c r="P79" s="268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1"/>
      <c r="O80" s="1151"/>
      <c r="P80" s="268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0"/>
      <c r="O81" s="1150"/>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1"/>
      <c r="O82" s="1151"/>
      <c r="P82" s="2681"/>
      <c r="Q82" s="504"/>
    </row>
    <row r="83" spans="1:17" ht="15.75" thickTop="1">
      <c r="A83" s="534"/>
      <c r="B83" s="546" t="s">
        <v>2680</v>
      </c>
      <c r="C83" s="660" t="s">
        <v>2666</v>
      </c>
      <c r="D83" s="660" t="s">
        <v>2667</v>
      </c>
      <c r="E83" s="660" t="s">
        <v>2668</v>
      </c>
      <c r="F83" s="660" t="s">
        <v>2669</v>
      </c>
      <c r="G83" s="660" t="s">
        <v>2670</v>
      </c>
      <c r="H83" s="539"/>
      <c r="I83" s="539"/>
      <c r="J83" s="539"/>
      <c r="K83" s="539"/>
      <c r="L83" s="539"/>
      <c r="M83" s="1380"/>
      <c r="N83" s="1151"/>
      <c r="O83" s="1151"/>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1"/>
      <c r="O84" s="1151"/>
      <c r="P84" s="268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2690</v>
      </c>
      <c r="C87" s="3357" t="s">
        <v>3710</v>
      </c>
      <c r="D87" s="3357" t="s">
        <v>3711</v>
      </c>
      <c r="E87" s="3357" t="s">
        <v>3712</v>
      </c>
      <c r="F87" s="3357" t="s">
        <v>3713</v>
      </c>
      <c r="G87" s="554"/>
      <c r="H87" s="554"/>
      <c r="I87" s="554"/>
      <c r="J87" s="554"/>
      <c r="K87" s="554"/>
      <c r="L87" s="580"/>
      <c r="M87" s="581"/>
      <c r="N87" s="1149"/>
      <c r="O87" s="1149"/>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1"/>
      <c r="Q88" s="504"/>
    </row>
    <row r="89" spans="1:17" s="117" customFormat="1" ht="15.75" hidden="1" thickTop="1">
      <c r="A89" s="579"/>
      <c r="B89" s="538" t="str">
        <f>B27</f>
        <v>楼层</v>
      </c>
      <c r="C89" s="554"/>
      <c r="D89" s="554"/>
      <c r="E89" s="554"/>
      <c r="F89" s="2633"/>
      <c r="G89" s="554"/>
      <c r="H89" s="554"/>
      <c r="I89" s="554"/>
      <c r="J89" s="554"/>
      <c r="K89" s="554"/>
      <c r="L89" s="554"/>
      <c r="M89" s="581"/>
      <c r="N89" s="1149"/>
      <c r="O89" s="1149"/>
      <c r="P89" s="2681"/>
      <c r="Q89" s="504"/>
    </row>
    <row r="90" spans="1:17" s="117" customFormat="1" ht="15.75" hidden="1"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hidden="1" thickTop="1">
      <c r="A93" s="534"/>
      <c r="B93" s="538">
        <f>B29</f>
        <v>0</v>
      </c>
      <c r="C93" s="554"/>
      <c r="D93" s="554"/>
      <c r="E93" s="554"/>
      <c r="F93" s="554"/>
      <c r="G93" s="554"/>
      <c r="H93" s="554"/>
      <c r="I93" s="554"/>
      <c r="J93" s="554"/>
      <c r="K93" s="554"/>
      <c r="L93" s="580"/>
      <c r="M93" s="581"/>
      <c r="N93" s="1150"/>
      <c r="O93" s="1150"/>
      <c r="P93" s="2681"/>
      <c r="Q93" s="504"/>
    </row>
    <row r="94" spans="1:17" ht="15.75" hidden="1" thickBot="1">
      <c r="A94" s="534"/>
      <c r="B94" s="543"/>
      <c r="C94" s="560"/>
      <c r="D94" s="536"/>
      <c r="E94" s="536"/>
      <c r="F94" s="536"/>
      <c r="G94" s="536"/>
      <c r="H94" s="536"/>
      <c r="I94" s="536"/>
      <c r="J94" s="536"/>
      <c r="K94" s="536"/>
      <c r="L94" s="536"/>
      <c r="M94" s="537"/>
      <c r="N94" s="1151"/>
      <c r="O94" s="1151"/>
      <c r="P94" s="2681"/>
      <c r="Q94" s="504"/>
    </row>
    <row r="95" spans="1:17" ht="15.75" hidden="1" thickTop="1">
      <c r="A95" s="534"/>
      <c r="B95" s="538">
        <f>B30</f>
        <v>0</v>
      </c>
      <c r="C95" s="554"/>
      <c r="D95" s="554"/>
      <c r="E95" s="554"/>
      <c r="F95" s="554"/>
      <c r="G95" s="583"/>
      <c r="H95" s="583"/>
      <c r="I95" s="583"/>
      <c r="J95" s="583"/>
      <c r="K95" s="584"/>
      <c r="L95" s="585"/>
      <c r="M95" s="586"/>
      <c r="N95" s="1150"/>
      <c r="O95" s="1150"/>
      <c r="P95" s="2681"/>
      <c r="Q95" s="504"/>
    </row>
    <row r="96" spans="1:17" ht="15.75" hidden="1" thickBot="1">
      <c r="A96" s="534"/>
      <c r="B96" s="543"/>
      <c r="C96" s="560"/>
      <c r="D96" s="560"/>
      <c r="E96" s="560"/>
      <c r="F96" s="560"/>
      <c r="G96" s="536"/>
      <c r="H96" s="536"/>
      <c r="I96" s="536"/>
      <c r="J96" s="536"/>
      <c r="K96" s="536"/>
      <c r="L96" s="536"/>
      <c r="M96" s="537"/>
      <c r="N96" s="1151"/>
      <c r="O96" s="1151"/>
      <c r="P96" s="2681"/>
      <c r="Q96" s="504"/>
    </row>
    <row r="97" spans="1:17" ht="15.75" hidden="1" thickTop="1">
      <c r="A97" s="534"/>
      <c r="B97" s="538">
        <f>B31</f>
        <v>0</v>
      </c>
      <c r="C97" s="554"/>
      <c r="D97" s="554"/>
      <c r="E97" s="554"/>
      <c r="F97" s="554"/>
      <c r="G97" s="583"/>
      <c r="H97" s="583"/>
      <c r="I97" s="583"/>
      <c r="J97" s="583"/>
      <c r="K97" s="584"/>
      <c r="L97" s="585"/>
      <c r="M97" s="586"/>
      <c r="N97" s="1150"/>
      <c r="O97" s="1150"/>
      <c r="P97" s="2681"/>
      <c r="Q97" s="504"/>
    </row>
    <row r="98" spans="1:17" ht="15.75" hidden="1" thickBot="1">
      <c r="A98" s="534"/>
      <c r="B98" s="543"/>
      <c r="C98" s="560"/>
      <c r="D98" s="536"/>
      <c r="E98" s="536"/>
      <c r="F98" s="536"/>
      <c r="G98" s="536"/>
      <c r="H98" s="536"/>
      <c r="I98" s="536"/>
      <c r="J98" s="536"/>
      <c r="K98" s="536"/>
      <c r="L98" s="536"/>
      <c r="M98" s="537"/>
      <c r="N98" s="1151"/>
      <c r="O98" s="1151"/>
      <c r="P98" s="2681"/>
      <c r="Q98" s="504"/>
    </row>
    <row r="99" spans="1:17" ht="15.75" hidden="1" thickTop="1">
      <c r="A99" s="534"/>
      <c r="B99" s="546">
        <f>B32</f>
        <v>0</v>
      </c>
      <c r="C99" s="523"/>
      <c r="D99" s="523"/>
      <c r="E99" s="523"/>
      <c r="F99" s="523"/>
      <c r="G99" s="587"/>
      <c r="H99" s="587"/>
      <c r="I99" s="587"/>
      <c r="J99" s="587"/>
      <c r="K99" s="588"/>
      <c r="L99" s="589"/>
      <c r="M99" s="590"/>
      <c r="N99" s="1150"/>
      <c r="O99" s="1150"/>
      <c r="P99" s="2681"/>
      <c r="Q99" s="504"/>
    </row>
    <row r="100" spans="1:17" ht="15.75" hidden="1" thickBot="1">
      <c r="A100" s="2634"/>
      <c r="B100" s="569"/>
      <c r="C100" s="570"/>
      <c r="D100" s="570"/>
      <c r="E100" s="570"/>
      <c r="F100" s="570"/>
      <c r="G100" s="591"/>
      <c r="H100" s="591"/>
      <c r="I100" s="591"/>
      <c r="J100" s="591"/>
      <c r="K100" s="591"/>
      <c r="L100" s="591"/>
      <c r="M100" s="592"/>
      <c r="N100" s="1151"/>
      <c r="O100" s="1151"/>
      <c r="P100" s="2681"/>
      <c r="Q100" s="504"/>
    </row>
    <row r="101" spans="1:17" ht="15" thickTop="1">
      <c r="A101" s="527" t="s">
        <v>2554</v>
      </c>
      <c r="B101" s="528" t="s">
        <v>2603</v>
      </c>
      <c r="C101" s="530"/>
      <c r="D101" s="530"/>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1"/>
      <c r="Q102" s="504"/>
    </row>
    <row r="103" spans="1:17" ht="15.75" thickTop="1">
      <c r="A103" s="534"/>
      <c r="B103" s="538" t="s">
        <v>2604</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1"/>
      <c r="Q103" s="504"/>
    </row>
    <row r="104" spans="1:17" s="471" customFormat="1">
      <c r="A104" s="593"/>
      <c r="B104" s="594"/>
      <c r="C104" s="595">
        <v>0</v>
      </c>
      <c r="D104" s="595"/>
      <c r="E104" s="595"/>
      <c r="F104" s="595"/>
      <c r="G104" s="595"/>
      <c r="H104" s="595"/>
      <c r="I104" s="595"/>
      <c r="J104" s="596"/>
      <c r="K104" s="596"/>
      <c r="L104" s="597"/>
      <c r="M104" s="598"/>
      <c r="N104" s="1152"/>
      <c r="O104" s="1152"/>
      <c r="P104" s="2682"/>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2"/>
      <c r="Q105" s="559"/>
    </row>
    <row r="106" spans="1:17" ht="15" thickTop="1">
      <c r="A106" s="599"/>
      <c r="B106" s="538" t="s">
        <v>2605</v>
      </c>
      <c r="C106" s="3357" t="s">
        <v>3714</v>
      </c>
      <c r="D106" s="554"/>
      <c r="E106" s="583"/>
      <c r="F106" s="583"/>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2607</v>
      </c>
      <c r="C108" s="3357" t="s">
        <v>3715</v>
      </c>
      <c r="D108" s="554"/>
      <c r="E108" s="554"/>
      <c r="F108" s="583"/>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1"/>
      <c r="Q112" s="504"/>
    </row>
    <row r="113" spans="1:17" s="471" customFormat="1" ht="15" thickTop="1">
      <c r="A113" s="593"/>
      <c r="B113" s="538" t="s">
        <v>2691</v>
      </c>
      <c r="C113" s="3357" t="s">
        <v>3716</v>
      </c>
      <c r="D113" s="3357" t="s">
        <v>3717</v>
      </c>
      <c r="E113" s="3357" t="s">
        <v>3718</v>
      </c>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2"/>
      <c r="O114" s="1152"/>
      <c r="P114" s="2682"/>
      <c r="Q114" s="559"/>
    </row>
    <row r="115" spans="1:17" ht="15" thickTop="1">
      <c r="A115" s="599"/>
      <c r="B115" s="538" t="s">
        <v>2608</v>
      </c>
      <c r="C115" s="3357" t="s">
        <v>3719</v>
      </c>
      <c r="D115" s="554"/>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2609</v>
      </c>
      <c r="C117" s="3357" t="s">
        <v>3720</v>
      </c>
      <c r="D117" s="554"/>
      <c r="E117" s="554"/>
      <c r="F117" s="554"/>
      <c r="G117" s="554"/>
      <c r="H117" s="583"/>
      <c r="I117" s="583"/>
      <c r="J117" s="583"/>
      <c r="K117" s="584"/>
      <c r="L117" s="585"/>
      <c r="M117" s="586"/>
      <c r="N117" s="1150"/>
      <c r="O117" s="1150"/>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1"/>
      <c r="Q118" s="504"/>
    </row>
    <row r="119" spans="1:17" ht="15" hidden="1" thickTop="1">
      <c r="A119" s="599"/>
      <c r="B119" s="636" t="s">
        <v>2692</v>
      </c>
      <c r="C119" s="583"/>
      <c r="D119" s="583"/>
      <c r="E119" s="583"/>
      <c r="F119" s="583"/>
      <c r="G119" s="583"/>
      <c r="H119" s="583"/>
      <c r="I119" s="583"/>
      <c r="J119" s="583"/>
      <c r="K119" s="583"/>
      <c r="L119" s="2686"/>
      <c r="M119" s="2687"/>
      <c r="N119" s="1151"/>
      <c r="O119" s="1151"/>
      <c r="P119" s="2688"/>
      <c r="Q119" s="638"/>
    </row>
    <row r="120" spans="1:17" ht="15.75" hidden="1"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hidden="1" thickTop="1">
      <c r="A121" s="593"/>
      <c r="B121" s="538" t="s">
        <v>2675</v>
      </c>
      <c r="C121" s="554"/>
      <c r="D121" s="554"/>
      <c r="E121" s="554"/>
      <c r="F121" s="583"/>
      <c r="G121" s="555"/>
      <c r="H121" s="555"/>
      <c r="I121" s="555"/>
      <c r="J121" s="555"/>
      <c r="K121" s="555"/>
      <c r="L121" s="556"/>
      <c r="M121" s="557"/>
      <c r="N121" s="1152"/>
      <c r="O121" s="1152"/>
      <c r="P121" s="2682"/>
      <c r="Q121" s="559"/>
    </row>
    <row r="122" spans="1:17" s="471" customFormat="1" ht="15.75" hidden="1"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2611</v>
      </c>
      <c r="C123" s="3357" t="s">
        <v>3721</v>
      </c>
      <c r="D123" s="3357" t="s">
        <v>3722</v>
      </c>
      <c r="E123" s="554"/>
      <c r="F123" s="583"/>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0"/>
      <c r="O125" s="1150"/>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1"/>
      <c r="Q126" s="504"/>
    </row>
    <row r="127" spans="1:17" s="471" customFormat="1" ht="15" hidden="1" thickTop="1">
      <c r="A127" s="593"/>
      <c r="B127" s="538">
        <f>B45</f>
        <v>0</v>
      </c>
      <c r="C127" s="554"/>
      <c r="D127" s="554"/>
      <c r="E127" s="554"/>
      <c r="F127" s="554"/>
      <c r="G127" s="554"/>
      <c r="H127" s="555"/>
      <c r="I127" s="555"/>
      <c r="J127" s="555"/>
      <c r="K127" s="555"/>
      <c r="L127" s="556"/>
      <c r="M127" s="557"/>
      <c r="N127" s="1152"/>
      <c r="O127" s="1152"/>
      <c r="P127" s="2682"/>
      <c r="Q127" s="559"/>
    </row>
    <row r="128" spans="1:17" s="471" customFormat="1" ht="15.75" hidden="1" thickBot="1">
      <c r="A128" s="553"/>
      <c r="B128" s="543"/>
      <c r="C128" s="560"/>
      <c r="D128" s="536"/>
      <c r="E128" s="536"/>
      <c r="F128" s="536"/>
      <c r="G128" s="560"/>
      <c r="H128" s="562"/>
      <c r="I128" s="562"/>
      <c r="J128" s="562"/>
      <c r="K128" s="562"/>
      <c r="L128" s="562"/>
      <c r="M128" s="563"/>
      <c r="N128" s="1152"/>
      <c r="O128" s="1152"/>
      <c r="P128" s="2682"/>
      <c r="Q128" s="559"/>
    </row>
    <row r="129" spans="1:17" ht="15" hidden="1" thickTop="1">
      <c r="A129" s="599"/>
      <c r="B129" s="538">
        <f>B46</f>
        <v>0</v>
      </c>
      <c r="C129" s="554"/>
      <c r="D129" s="554"/>
      <c r="E129" s="554"/>
      <c r="F129" s="554"/>
      <c r="G129" s="583"/>
      <c r="H129" s="583"/>
      <c r="I129" s="583"/>
      <c r="J129" s="583"/>
      <c r="K129" s="584"/>
      <c r="L129" s="585"/>
      <c r="M129" s="586"/>
      <c r="N129" s="1150"/>
      <c r="O129" s="1150"/>
      <c r="P129" s="2681"/>
      <c r="Q129" s="504"/>
    </row>
    <row r="130" spans="1:17" ht="15.75" hidden="1" thickBot="1">
      <c r="A130" s="534"/>
      <c r="B130" s="543"/>
      <c r="C130" s="560"/>
      <c r="D130" s="560"/>
      <c r="E130" s="560"/>
      <c r="F130" s="560"/>
      <c r="G130" s="536"/>
      <c r="H130" s="536"/>
      <c r="I130" s="536"/>
      <c r="J130" s="536"/>
      <c r="K130" s="536"/>
      <c r="L130" s="536"/>
      <c r="M130" s="537"/>
      <c r="N130" s="1151"/>
      <c r="O130" s="1151"/>
      <c r="P130" s="2681"/>
      <c r="Q130" s="504"/>
    </row>
    <row r="131" spans="1:17" ht="15" hidden="1" thickTop="1">
      <c r="A131" s="599"/>
      <c r="B131" s="546">
        <f>B47</f>
        <v>0</v>
      </c>
      <c r="C131" s="523"/>
      <c r="D131" s="523"/>
      <c r="E131" s="523"/>
      <c r="F131" s="523"/>
      <c r="G131" s="587"/>
      <c r="H131" s="587"/>
      <c r="I131" s="587"/>
      <c r="J131" s="587"/>
      <c r="K131" s="523"/>
      <c r="L131" s="524"/>
      <c r="M131" s="590"/>
      <c r="N131" s="1150"/>
      <c r="O131" s="1150"/>
      <c r="P131" s="2681"/>
      <c r="Q131" s="504"/>
    </row>
    <row r="132" spans="1:17" ht="15.75" hidden="1" thickBot="1">
      <c r="A132" s="2634"/>
      <c r="B132" s="569"/>
      <c r="C132" s="570"/>
      <c r="D132" s="570"/>
      <c r="E132" s="570"/>
      <c r="F132" s="570"/>
      <c r="G132" s="591"/>
      <c r="H132" s="591"/>
      <c r="I132" s="591"/>
      <c r="J132" s="591"/>
      <c r="K132" s="591"/>
      <c r="L132" s="591"/>
      <c r="M132" s="592"/>
      <c r="N132" s="1151"/>
      <c r="O132" s="1151"/>
      <c r="P132" s="2681"/>
      <c r="Q132" s="504"/>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50" priority="16" stopIfTrue="1" operator="containsText" text="超过">
      <formula>NOT(ISERROR(SEARCH("超过",F53)))</formula>
    </cfRule>
  </conditionalFormatting>
  <conditionalFormatting sqref="H55">
    <cfRule type="containsText" dxfId="149" priority="15" stopIfTrue="1" operator="containsText" text="超过">
      <formula>NOT(ISERROR(SEARCH("超过",H55)))</formula>
    </cfRule>
  </conditionalFormatting>
  <conditionalFormatting sqref="F55">
    <cfRule type="containsText" dxfId="148" priority="14" stopIfTrue="1" operator="containsText" text="超过">
      <formula>NOT(ISERROR(SEARCH("超过",F55)))</formula>
    </cfRule>
  </conditionalFormatting>
  <conditionalFormatting sqref="F54 H54">
    <cfRule type="containsText" dxfId="147" priority="13" stopIfTrue="1" operator="containsText" text="超过">
      <formula>NOT(ISERROR(SEARCH("超过",F54)))</formula>
    </cfRule>
  </conditionalFormatting>
  <conditionalFormatting sqref="E53">
    <cfRule type="expression" dxfId="146" priority="12" stopIfTrue="1">
      <formula>$F$53="超过30%"</formula>
    </cfRule>
  </conditionalFormatting>
  <conditionalFormatting sqref="E54">
    <cfRule type="expression" dxfId="145" priority="11" stopIfTrue="1">
      <formula>$F$54="超过20%"</formula>
    </cfRule>
  </conditionalFormatting>
  <conditionalFormatting sqref="E55">
    <cfRule type="expression" dxfId="144" priority="10" stopIfTrue="1">
      <formula>$F$55="超过30%"</formula>
    </cfRule>
  </conditionalFormatting>
  <conditionalFormatting sqref="G55">
    <cfRule type="expression" dxfId="143" priority="9" stopIfTrue="1">
      <formula>$H$55="超过30%"</formula>
    </cfRule>
  </conditionalFormatting>
  <conditionalFormatting sqref="G53">
    <cfRule type="expression" dxfId="142" priority="8" stopIfTrue="1">
      <formula>$H$53="超过30%"</formula>
    </cfRule>
  </conditionalFormatting>
  <conditionalFormatting sqref="G54">
    <cfRule type="expression" dxfId="141" priority="7" stopIfTrue="1">
      <formula>$H$54="超过20%"</formula>
    </cfRule>
  </conditionalFormatting>
  <conditionalFormatting sqref="J53">
    <cfRule type="containsText" dxfId="140" priority="6" stopIfTrue="1" operator="containsText" text="超过">
      <formula>NOT(ISERROR(SEARCH("超过",J53)))</formula>
    </cfRule>
  </conditionalFormatting>
  <conditionalFormatting sqref="J55">
    <cfRule type="containsText" dxfId="139" priority="5" stopIfTrue="1" operator="containsText" text="超过">
      <formula>NOT(ISERROR(SEARCH("超过",J55)))</formula>
    </cfRule>
  </conditionalFormatting>
  <conditionalFormatting sqref="J54">
    <cfRule type="containsText" dxfId="138" priority="4" stopIfTrue="1" operator="containsText" text="超过">
      <formula>NOT(ISERROR(SEARCH("超过",J54)))</formula>
    </cfRule>
  </conditionalFormatting>
  <conditionalFormatting sqref="I53">
    <cfRule type="expression" dxfId="137" priority="3" stopIfTrue="1">
      <formula>$J$53="超过30%"</formula>
    </cfRule>
  </conditionalFormatting>
  <conditionalFormatting sqref="I54">
    <cfRule type="expression" dxfId="136" priority="2" stopIfTrue="1">
      <formula>$J$53+$J$54="超过20%"</formula>
    </cfRule>
  </conditionalFormatting>
  <conditionalFormatting sqref="I55">
    <cfRule type="expression" dxfId="13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topLeftCell="A4" zoomScale="80" zoomScaleNormal="80" zoomScalePageLayoutView="90" workbookViewId="0">
      <selection activeCell="K32" sqref="K32:K38"/>
    </sheetView>
  </sheetViews>
  <sheetFormatPr defaultColWidth="8.875" defaultRowHeight="13.5"/>
  <cols>
    <col min="1" max="1" width="10.5" customWidth="1"/>
    <col min="2" max="2" width="15.625" customWidth="1"/>
    <col min="3" max="3" width="24.625" customWidth="1"/>
    <col min="4" max="4" width="8.625" customWidth="1"/>
    <col min="5" max="5" width="24.625" customWidth="1"/>
    <col min="6" max="6" width="8.625" customWidth="1"/>
    <col min="7" max="7" width="24.625" customWidth="1"/>
    <col min="8" max="8" width="8.625" customWidth="1"/>
    <col min="9" max="9" width="24.625" customWidth="1"/>
    <col min="10" max="11" width="8.625" customWidth="1"/>
    <col min="12" max="15" width="12.125" customWidth="1"/>
    <col min="16" max="16" width="4.625" customWidth="1"/>
    <col min="17" max="17" width="19.5" customWidth="1"/>
    <col min="18" max="22" width="6.125" customWidth="1"/>
    <col min="23" max="23" width="5.625" customWidth="1"/>
    <col min="24" max="24" width="4.125" customWidth="1"/>
    <col min="25" max="25" width="3.5" customWidth="1"/>
    <col min="26" max="26" width="19.625" customWidth="1"/>
    <col min="27" max="28" width="9.375" customWidth="1"/>
  </cols>
  <sheetData>
    <row r="1" spans="1:29" s="3372" customFormat="1" ht="28.5" customHeight="1" thickBot="1">
      <c r="A1" s="3359" t="s">
        <v>2519</v>
      </c>
      <c r="B1" s="3360" t="s">
        <v>2633</v>
      </c>
      <c r="C1" s="3361" t="s">
        <v>3600</v>
      </c>
      <c r="D1" s="3362" t="s">
        <v>1377</v>
      </c>
      <c r="E1" s="3363"/>
      <c r="F1" s="3364" t="s">
        <v>3586</v>
      </c>
      <c r="G1" s="3365" t="s">
        <v>3601</v>
      </c>
      <c r="H1" s="3366"/>
      <c r="I1" s="3366"/>
      <c r="J1" s="3366"/>
      <c r="K1" s="3367"/>
      <c r="L1" s="3368"/>
      <c r="M1" s="3361"/>
      <c r="N1" s="3361"/>
      <c r="O1" s="3361"/>
      <c r="P1" s="3369"/>
      <c r="Q1" s="3370"/>
      <c r="R1" s="3370"/>
      <c r="S1" s="3370"/>
      <c r="T1" s="3370"/>
      <c r="U1" s="3370"/>
      <c r="V1" s="3370"/>
      <c r="W1" s="3370"/>
      <c r="X1" s="3370"/>
      <c r="Y1" s="3370"/>
      <c r="Z1" s="3370"/>
      <c r="AA1" s="3370"/>
      <c r="AB1" s="3370"/>
      <c r="AC1" s="3371"/>
    </row>
    <row r="2" spans="1:29" s="3380" customFormat="1" ht="28.5" customHeight="1" thickTop="1">
      <c r="A2" s="1615" t="s">
        <v>2802</v>
      </c>
      <c r="B2" s="3373">
        <f>IF(C2="——",ROUND(C49*D3/10000,0),ROUND(C49*D3/10000,0)-D2)</f>
        <v>9585</v>
      </c>
      <c r="C2" s="2584" t="s">
        <v>70</v>
      </c>
      <c r="D2" s="3374" t="e">
        <f ca="1">SUMIF(INDIRECT("'"&amp;F2&amp;"'"&amp;"!A:A"),"承租人权益价值",INDIRECT("'"&amp;F2&amp;"'"&amp;"!c:c"))</f>
        <v>#REF!</v>
      </c>
      <c r="E2" s="2585" t="s">
        <v>2803</v>
      </c>
      <c r="F2" s="2586"/>
      <c r="G2" s="3375"/>
      <c r="H2" s="3375"/>
      <c r="I2" s="3375"/>
      <c r="J2" s="3375"/>
      <c r="K2" s="3375"/>
      <c r="L2" s="3376"/>
      <c r="M2" s="3377"/>
      <c r="N2" s="3377"/>
      <c r="O2" s="3377"/>
      <c r="P2" s="3378"/>
      <c r="Q2" s="3377"/>
      <c r="R2" s="3377"/>
      <c r="S2" s="3377"/>
      <c r="T2" s="3377"/>
      <c r="U2" s="3377"/>
      <c r="V2" s="3377"/>
      <c r="W2" s="3377"/>
      <c r="X2" s="3377"/>
      <c r="Y2" s="3377"/>
      <c r="Z2" s="3377"/>
      <c r="AA2" s="3377"/>
      <c r="AB2" s="3377"/>
      <c r="AC2" s="3379"/>
    </row>
    <row r="3" spans="1:29" s="3380" customFormat="1" ht="28.5" customHeight="1" thickBot="1">
      <c r="A3" s="247" t="s">
        <v>2808</v>
      </c>
      <c r="B3" s="3381">
        <f>IF(C2="——",C49,ROUND(B2*10000/D3,0))</f>
        <v>45548</v>
      </c>
      <c r="C3" s="3382" t="s">
        <v>3602</v>
      </c>
      <c r="D3" s="3383">
        <f>IF(D1="",'[1]数据-汇总表'!E3,SUMIF('[1]数据-汇总表'!$C19:$C33,D1,'[1]数据-汇总表'!$E19:$E33))</f>
        <v>2104.29</v>
      </c>
      <c r="E3" s="3384"/>
      <c r="F3" s="3385"/>
      <c r="G3" s="3375"/>
      <c r="H3" s="3375"/>
      <c r="I3" s="3375"/>
      <c r="J3" s="3375"/>
      <c r="K3" s="3386"/>
      <c r="L3" s="3376"/>
      <c r="M3" s="3377"/>
      <c r="N3" s="3377"/>
      <c r="O3" s="3377"/>
      <c r="P3" s="3378"/>
      <c r="Q3" s="3377"/>
      <c r="R3" s="3377"/>
      <c r="S3" s="3377"/>
      <c r="T3" s="3377"/>
      <c r="U3" s="3377"/>
      <c r="V3" s="3377"/>
      <c r="W3" s="3377"/>
      <c r="X3" s="3377"/>
      <c r="Y3" s="3377"/>
      <c r="Z3" s="3377"/>
      <c r="AA3" s="3377"/>
      <c r="AB3" s="3377"/>
      <c r="AC3" s="3384"/>
    </row>
    <row r="4" spans="1:29" ht="15.75" thickBot="1">
      <c r="A4" s="3387" t="s">
        <v>2526</v>
      </c>
      <c r="B4" s="3388"/>
      <c r="C4" s="3389" t="s">
        <v>2527</v>
      </c>
      <c r="D4" s="3390"/>
      <c r="E4" s="3391" t="s">
        <v>2528</v>
      </c>
      <c r="F4" s="3392"/>
      <c r="G4" s="3393" t="s">
        <v>2529</v>
      </c>
      <c r="H4" s="3394"/>
      <c r="I4" s="3389" t="s">
        <v>2530</v>
      </c>
      <c r="J4" s="3390"/>
      <c r="K4" s="3395" t="s">
        <v>2531</v>
      </c>
      <c r="L4" s="3396"/>
      <c r="M4" s="3397"/>
      <c r="N4" s="3397"/>
      <c r="O4" s="3397"/>
      <c r="P4" s="3398" t="s">
        <v>2532</v>
      </c>
      <c r="Q4" s="3399"/>
      <c r="R4" s="3400" t="s">
        <v>2528</v>
      </c>
      <c r="S4" s="3401"/>
      <c r="T4" s="3400" t="s">
        <v>2529</v>
      </c>
      <c r="U4" s="3401"/>
      <c r="V4" s="3402" t="s">
        <v>2530</v>
      </c>
      <c r="W4" s="3402"/>
      <c r="X4" s="3403"/>
      <c r="Y4" s="3400" t="s">
        <v>2532</v>
      </c>
      <c r="Z4" s="3401"/>
      <c r="AA4" s="3404" t="s">
        <v>2528</v>
      </c>
      <c r="AB4" s="3402" t="s">
        <v>2529</v>
      </c>
      <c r="AC4" s="3404" t="s">
        <v>2530</v>
      </c>
    </row>
    <row r="5" spans="1:29" ht="15">
      <c r="A5" s="3406"/>
      <c r="B5" s="3407"/>
      <c r="C5" s="3408" t="s">
        <v>2533</v>
      </c>
      <c r="D5" s="3409"/>
      <c r="E5" s="3410" t="s">
        <v>3603</v>
      </c>
      <c r="F5" s="3411"/>
      <c r="G5" s="3412" t="s">
        <v>3604</v>
      </c>
      <c r="H5" s="3413"/>
      <c r="I5" s="3414" t="s">
        <v>3605</v>
      </c>
      <c r="J5" s="3409"/>
      <c r="K5" s="3395"/>
      <c r="L5" s="3396"/>
      <c r="M5" s="3397"/>
      <c r="N5" s="3397"/>
      <c r="O5" s="3397"/>
      <c r="P5" s="3415"/>
      <c r="Q5" s="3416"/>
      <c r="R5" s="3417"/>
      <c r="S5" s="3418"/>
      <c r="T5" s="3417"/>
      <c r="U5" s="3418"/>
      <c r="V5" s="3402"/>
      <c r="W5" s="3402"/>
      <c r="X5" s="3403"/>
      <c r="Y5" s="3417"/>
      <c r="Z5" s="3418"/>
      <c r="AA5" s="3419"/>
      <c r="AB5" s="3402"/>
      <c r="AC5" s="3419"/>
    </row>
    <row r="6" spans="1:29" ht="15.75" thickBot="1">
      <c r="A6" s="3420"/>
      <c r="B6" s="3421"/>
      <c r="C6" s="3422" t="s">
        <v>2537</v>
      </c>
      <c r="D6" s="3423"/>
      <c r="E6" s="3424" t="s">
        <v>2537</v>
      </c>
      <c r="F6" s="3425"/>
      <c r="G6" s="3422" t="s">
        <v>2537</v>
      </c>
      <c r="H6" s="3423"/>
      <c r="I6" s="3422" t="s">
        <v>2537</v>
      </c>
      <c r="J6" s="3423"/>
      <c r="K6" s="3395" t="s">
        <v>2538</v>
      </c>
      <c r="L6" s="3396"/>
      <c r="M6" s="3397"/>
      <c r="N6" s="3397"/>
      <c r="O6" s="3397"/>
      <c r="P6" s="3426"/>
      <c r="Q6" s="3427"/>
      <c r="R6" s="3417"/>
      <c r="S6" s="3418"/>
      <c r="T6" s="3428"/>
      <c r="U6" s="3429"/>
      <c r="V6" s="3402"/>
      <c r="W6" s="3402"/>
      <c r="X6" s="3403"/>
      <c r="Y6" s="3428"/>
      <c r="Z6" s="3429"/>
      <c r="AA6" s="3430"/>
      <c r="AB6" s="3402"/>
      <c r="AC6" s="3430"/>
    </row>
    <row r="7" spans="1:29" s="3448" customFormat="1" ht="15.75" thickBot="1">
      <c r="A7" s="3431" t="s">
        <v>2539</v>
      </c>
      <c r="B7" s="3432"/>
      <c r="C7" s="3433">
        <f>'[1]数据-取费表'!B2</f>
        <v>43185</v>
      </c>
      <c r="D7" s="3434">
        <v>100</v>
      </c>
      <c r="E7" s="3435">
        <v>43160</v>
      </c>
      <c r="F7" s="3436">
        <f>SUMIF(58:58,YEAR(E7)&amp;"-"&amp;MONTH(E7),59:59)</f>
        <v>100</v>
      </c>
      <c r="G7" s="3437">
        <f>E7</f>
        <v>43160</v>
      </c>
      <c r="H7" s="3434">
        <f>SUMIF(58:58,YEAR(G7)&amp;"-"&amp;MONTH(G7),59:59)</f>
        <v>100</v>
      </c>
      <c r="I7" s="3435">
        <f>G7</f>
        <v>43160</v>
      </c>
      <c r="J7" s="3434">
        <f>SUMIF(58:58,YEAR(I7)&amp;"-"&amp;MONTH(I7),59:59)</f>
        <v>100</v>
      </c>
      <c r="K7" s="3438"/>
      <c r="L7" s="3439"/>
      <c r="M7" s="3440"/>
      <c r="N7" s="3440"/>
      <c r="O7" s="3440"/>
      <c r="P7" s="3441" t="s">
        <v>2540</v>
      </c>
      <c r="Q7" s="3442"/>
      <c r="R7" s="3443" t="s">
        <v>3606</v>
      </c>
      <c r="S7" s="3444">
        <f t="shared" ref="S7:S15" si="0">F7</f>
        <v>100</v>
      </c>
      <c r="T7" s="3443" t="s">
        <v>3606</v>
      </c>
      <c r="U7" s="3444">
        <f t="shared" ref="U7:U15" si="1">H7</f>
        <v>100</v>
      </c>
      <c r="V7" s="3443" t="s">
        <v>3606</v>
      </c>
      <c r="W7" s="3444">
        <f t="shared" ref="W7:W15" si="2">J7</f>
        <v>100</v>
      </c>
      <c r="X7" s="3445"/>
      <c r="Y7" s="3441" t="s">
        <v>2540</v>
      </c>
      <c r="Z7" s="3446"/>
      <c r="AA7" s="3447">
        <f>D7/F7</f>
        <v>1</v>
      </c>
      <c r="AB7" s="3447">
        <f>D7/H7</f>
        <v>1</v>
      </c>
      <c r="AC7" s="3447">
        <f>D7/J7</f>
        <v>1</v>
      </c>
    </row>
    <row r="8" spans="1:29" s="3448" customFormat="1" ht="15.75" thickBot="1">
      <c r="A8" s="3431" t="s">
        <v>2541</v>
      </c>
      <c r="B8" s="3432"/>
      <c r="C8" s="3449" t="s">
        <v>3607</v>
      </c>
      <c r="D8" s="3434">
        <v>100</v>
      </c>
      <c r="E8" s="3449" t="s">
        <v>3587</v>
      </c>
      <c r="F8" s="3436">
        <f>SUMIF(61:61,E8,62:62)-SUMIF(61:61,C8,62:62)+100</f>
        <v>100</v>
      </c>
      <c r="G8" s="3449" t="s">
        <v>3587</v>
      </c>
      <c r="H8" s="3434">
        <f>SUMIF(61:61,G8,62:62)-SUMIF(61:61,C8,62:62)+100</f>
        <v>100</v>
      </c>
      <c r="I8" s="3449" t="s">
        <v>3587</v>
      </c>
      <c r="J8" s="3434">
        <f>SUMIF(61:61,I8,62:62)-SUMIF(61:61,C8,62:62)+100</f>
        <v>100</v>
      </c>
      <c r="K8" s="3438"/>
      <c r="L8" s="3439"/>
      <c r="M8" s="3440"/>
      <c r="N8" s="3440"/>
      <c r="O8" s="3440"/>
      <c r="P8" s="3441" t="s">
        <v>2543</v>
      </c>
      <c r="Q8" s="3446"/>
      <c r="R8" s="3443" t="s">
        <v>3606</v>
      </c>
      <c r="S8" s="3444">
        <f t="shared" si="0"/>
        <v>100</v>
      </c>
      <c r="T8" s="3443" t="s">
        <v>3606</v>
      </c>
      <c r="U8" s="3444">
        <f t="shared" si="1"/>
        <v>100</v>
      </c>
      <c r="V8" s="3443" t="s">
        <v>3606</v>
      </c>
      <c r="W8" s="3444">
        <f t="shared" si="2"/>
        <v>100</v>
      </c>
      <c r="X8" s="3445"/>
      <c r="Y8" s="3441" t="s">
        <v>2543</v>
      </c>
      <c r="Z8" s="3446"/>
      <c r="AA8" s="3447">
        <f t="shared" ref="AA8:AA46" si="3">D8/F8</f>
        <v>1</v>
      </c>
      <c r="AB8" s="3447">
        <f t="shared" ref="AB8:AB46" si="4">D8/H8</f>
        <v>1</v>
      </c>
      <c r="AC8" s="3447">
        <f t="shared" ref="AC8:AC46" si="5">D8/J8</f>
        <v>1</v>
      </c>
    </row>
    <row r="9" spans="1:29" s="3448" customFormat="1" ht="14.25">
      <c r="A9" s="3450" t="s">
        <v>2544</v>
      </c>
      <c r="B9" s="3451" t="s">
        <v>2545</v>
      </c>
      <c r="C9" s="3452" t="s">
        <v>3608</v>
      </c>
      <c r="D9" s="3453">
        <v>100</v>
      </c>
      <c r="E9" s="3454" t="s">
        <v>1377</v>
      </c>
      <c r="F9" s="3455">
        <f>SUMIF(63:63,E9,64:64)-SUMIF(63:63,C9,64:64)+100</f>
        <v>100</v>
      </c>
      <c r="G9" s="3456" t="s">
        <v>1377</v>
      </c>
      <c r="H9" s="3453">
        <f>SUMIF(63:63,G9,64:64)-SUMIF(63:63,C9,64:64)+100</f>
        <v>100</v>
      </c>
      <c r="I9" s="3454" t="s">
        <v>1377</v>
      </c>
      <c r="J9" s="3453">
        <f>SUMIF(63:63,I9,64:64)-SUMIF(63:63,C9,64:64)+100</f>
        <v>100</v>
      </c>
      <c r="K9" s="3438"/>
      <c r="L9" s="3439"/>
      <c r="M9" s="3440"/>
      <c r="N9" s="3440"/>
      <c r="O9" s="3440"/>
      <c r="P9" s="3457" t="s">
        <v>2546</v>
      </c>
      <c r="Q9" s="3458" t="str">
        <f t="shared" ref="Q9:Q15" si="6">B9</f>
        <v>用途</v>
      </c>
      <c r="R9" s="3443" t="s">
        <v>3606</v>
      </c>
      <c r="S9" s="3444">
        <f t="shared" si="0"/>
        <v>100</v>
      </c>
      <c r="T9" s="3443" t="s">
        <v>3606</v>
      </c>
      <c r="U9" s="3444">
        <f t="shared" si="1"/>
        <v>100</v>
      </c>
      <c r="V9" s="3443" t="s">
        <v>3606</v>
      </c>
      <c r="W9" s="3444">
        <f t="shared" si="2"/>
        <v>100</v>
      </c>
      <c r="X9" s="3445"/>
      <c r="Y9" s="3459" t="s">
        <v>2547</v>
      </c>
      <c r="Z9" s="3460" t="str">
        <f t="shared" ref="Z9:Z15" si="7">Q9</f>
        <v>用途</v>
      </c>
      <c r="AA9" s="3447">
        <f t="shared" si="3"/>
        <v>1</v>
      </c>
      <c r="AB9" s="3447">
        <f t="shared" si="4"/>
        <v>1</v>
      </c>
      <c r="AC9" s="3447">
        <f t="shared" si="5"/>
        <v>1</v>
      </c>
    </row>
    <row r="10" spans="1:29" s="3470" customFormat="1" ht="27">
      <c r="A10" s="3461"/>
      <c r="B10" s="3462" t="s">
        <v>3609</v>
      </c>
      <c r="C10" s="3463" t="s">
        <v>3610</v>
      </c>
      <c r="D10" s="3464">
        <v>100</v>
      </c>
      <c r="E10" s="3465" t="s">
        <v>3611</v>
      </c>
      <c r="F10" s="3466">
        <f>SUMIF(65:65,E10,66:66)-SUMIF(65:65,C10,66:66)+100</f>
        <v>100</v>
      </c>
      <c r="G10" s="3463" t="s">
        <v>3611</v>
      </c>
      <c r="H10" s="3464">
        <f>SUMIF(65:65,G10,66:66)-SUMIF(65:65,C10,66:66)+100</f>
        <v>100</v>
      </c>
      <c r="I10" s="3465" t="s">
        <v>3611</v>
      </c>
      <c r="J10" s="3464">
        <f>SUMIF(65:65,I10,66:66)-SUMIF(65:65,C10,66:66)+100</f>
        <v>100</v>
      </c>
      <c r="K10" s="3467">
        <v>0</v>
      </c>
      <c r="L10" s="3468"/>
      <c r="M10" s="3469"/>
      <c r="N10" s="3469"/>
      <c r="O10" s="3469"/>
      <c r="P10" s="3457"/>
      <c r="Q10" s="3458" t="str">
        <f t="shared" si="6"/>
        <v>土地使用年限（年）</v>
      </c>
      <c r="R10" s="3443" t="s">
        <v>3606</v>
      </c>
      <c r="S10" s="3444">
        <f t="shared" si="0"/>
        <v>100</v>
      </c>
      <c r="T10" s="3443" t="s">
        <v>3606</v>
      </c>
      <c r="U10" s="3444">
        <f t="shared" si="1"/>
        <v>100</v>
      </c>
      <c r="V10" s="3443" t="s">
        <v>3606</v>
      </c>
      <c r="W10" s="3444">
        <f t="shared" si="2"/>
        <v>100</v>
      </c>
      <c r="X10" s="3445"/>
      <c r="Y10" s="3459"/>
      <c r="Z10" s="3460" t="str">
        <f t="shared" si="7"/>
        <v>土地使用年限（年）</v>
      </c>
      <c r="AA10" s="3447">
        <f t="shared" si="3"/>
        <v>1</v>
      </c>
      <c r="AB10" s="3447">
        <f t="shared" si="4"/>
        <v>1</v>
      </c>
      <c r="AC10" s="3447">
        <f t="shared" si="5"/>
        <v>1</v>
      </c>
    </row>
    <row r="11" spans="1:29" ht="15" hidden="1">
      <c r="A11" s="3471"/>
      <c r="B11" s="3472" t="s">
        <v>2549</v>
      </c>
      <c r="C11" s="3473"/>
      <c r="D11" s="3474">
        <v>100</v>
      </c>
      <c r="E11" s="3475"/>
      <c r="F11" s="3476">
        <f>LOOKUP(E11,68:68,69:69)-LOOKUP(C11,68:68,69:69)+100</f>
        <v>100</v>
      </c>
      <c r="G11" s="3473"/>
      <c r="H11" s="3474">
        <f>LOOKUP(G11,68:68,69:69)-LOOKUP(C11,68:68,69:69)+100</f>
        <v>100</v>
      </c>
      <c r="I11" s="3473"/>
      <c r="J11" s="3474">
        <f>LOOKUP(I11,68:68,69:69)-LOOKUP(C11,68:68,69:69)+100</f>
        <v>100</v>
      </c>
      <c r="K11" s="3477"/>
      <c r="L11" s="3478"/>
      <c r="M11" s="3397"/>
      <c r="N11" s="3397"/>
      <c r="O11" s="3397"/>
      <c r="P11" s="3457"/>
      <c r="Q11" s="3458" t="str">
        <f t="shared" si="6"/>
        <v>容积率</v>
      </c>
      <c r="R11" s="3443" t="s">
        <v>3606</v>
      </c>
      <c r="S11" s="3444">
        <f t="shared" si="0"/>
        <v>100</v>
      </c>
      <c r="T11" s="3443" t="s">
        <v>3606</v>
      </c>
      <c r="U11" s="3444">
        <f t="shared" si="1"/>
        <v>100</v>
      </c>
      <c r="V11" s="3443" t="s">
        <v>3606</v>
      </c>
      <c r="W11" s="3444">
        <f t="shared" si="2"/>
        <v>100</v>
      </c>
      <c r="X11" s="3445"/>
      <c r="Y11" s="3459"/>
      <c r="Z11" s="3460" t="str">
        <f t="shared" si="7"/>
        <v>容积率</v>
      </c>
      <c r="AA11" s="3447">
        <f t="shared" si="3"/>
        <v>1</v>
      </c>
      <c r="AB11" s="3447">
        <f t="shared" si="4"/>
        <v>1</v>
      </c>
      <c r="AC11" s="3447">
        <f t="shared" si="5"/>
        <v>1</v>
      </c>
    </row>
    <row r="12" spans="1:29" s="3448" customFormat="1" ht="29.25" thickBot="1">
      <c r="A12" s="3479"/>
      <c r="B12" s="3480" t="s">
        <v>3612</v>
      </c>
      <c r="C12" s="3481">
        <v>31</v>
      </c>
      <c r="D12" s="3482">
        <v>100</v>
      </c>
      <c r="E12" s="3483" t="s">
        <v>3613</v>
      </c>
      <c r="F12" s="3476">
        <f>SUMIF(70:70,E12,71:71)-SUMIF(70:70,C12,71:71)+100</f>
        <v>100</v>
      </c>
      <c r="G12" s="3483" t="s">
        <v>3614</v>
      </c>
      <c r="H12" s="3474">
        <f>SUMIF(70:70,G12,71:71)-SUMIF(70:70,C12,71:71)+100</f>
        <v>100</v>
      </c>
      <c r="I12" s="3483"/>
      <c r="J12" s="3474">
        <f>SUMIF(70:70,I12,71:71)-SUMIF(70:70,C12,71:71)+100</f>
        <v>100</v>
      </c>
      <c r="K12" s="3484"/>
      <c r="L12" s="3439"/>
      <c r="M12" s="3440"/>
      <c r="N12" s="3440"/>
      <c r="O12" s="3440"/>
      <c r="P12" s="3457"/>
      <c r="Q12" s="3458" t="str">
        <f t="shared" si="6"/>
        <v>剩余年限</v>
      </c>
      <c r="R12" s="3443" t="s">
        <v>3606</v>
      </c>
      <c r="S12" s="3444">
        <f t="shared" si="0"/>
        <v>100</v>
      </c>
      <c r="T12" s="3443" t="s">
        <v>3606</v>
      </c>
      <c r="U12" s="3444">
        <f t="shared" si="1"/>
        <v>100</v>
      </c>
      <c r="V12" s="3443" t="s">
        <v>3606</v>
      </c>
      <c r="W12" s="3444">
        <f t="shared" si="2"/>
        <v>100</v>
      </c>
      <c r="X12" s="3445"/>
      <c r="Y12" s="3459"/>
      <c r="Z12" s="3460" t="str">
        <f t="shared" si="7"/>
        <v>剩余年限</v>
      </c>
      <c r="AA12" s="3447">
        <f>D12/F12</f>
        <v>1</v>
      </c>
      <c r="AB12" s="3447">
        <f>D12/H12</f>
        <v>1</v>
      </c>
      <c r="AC12" s="3447">
        <f>D12/J12</f>
        <v>1</v>
      </c>
    </row>
    <row r="13" spans="1:29" ht="15.75" hidden="1" thickBot="1">
      <c r="A13" s="3471"/>
      <c r="B13" s="3485"/>
      <c r="C13" s="3483"/>
      <c r="D13" s="3486">
        <v>100</v>
      </c>
      <c r="E13" s="3483"/>
      <c r="F13" s="3476">
        <f>SUMIF(72:72,E13,73:73)-SUMIF(72:72,C13,73:73)+100</f>
        <v>100</v>
      </c>
      <c r="G13" s="3483"/>
      <c r="H13" s="3486">
        <f>SUMIF(72:72,G13,73:73)-SUMIF(72:72,C13,73:73)+100</f>
        <v>100</v>
      </c>
      <c r="I13" s="3483"/>
      <c r="J13" s="3486">
        <f>SUMIF(72:72,I13,73:73)-SUMIF(72:72,C13,73:73)+100</f>
        <v>100</v>
      </c>
      <c r="K13" s="3484"/>
      <c r="L13" s="3487"/>
      <c r="M13" s="3397"/>
      <c r="N13" s="3397"/>
      <c r="O13" s="3397"/>
      <c r="P13" s="3457"/>
      <c r="Q13" s="3458">
        <f t="shared" si="6"/>
        <v>0</v>
      </c>
      <c r="R13" s="3443" t="s">
        <v>3606</v>
      </c>
      <c r="S13" s="3444">
        <f t="shared" si="0"/>
        <v>100</v>
      </c>
      <c r="T13" s="3443" t="s">
        <v>3606</v>
      </c>
      <c r="U13" s="3444">
        <f t="shared" si="1"/>
        <v>100</v>
      </c>
      <c r="V13" s="3443" t="s">
        <v>3606</v>
      </c>
      <c r="W13" s="3444">
        <f t="shared" si="2"/>
        <v>100</v>
      </c>
      <c r="X13" s="3445"/>
      <c r="Y13" s="3459"/>
      <c r="Z13" s="3460">
        <f t="shared" si="7"/>
        <v>0</v>
      </c>
      <c r="AA13" s="3447">
        <f t="shared" si="3"/>
        <v>1</v>
      </c>
      <c r="AB13" s="3447">
        <f t="shared" si="4"/>
        <v>1</v>
      </c>
      <c r="AC13" s="3447">
        <f t="shared" si="5"/>
        <v>1</v>
      </c>
    </row>
    <row r="14" spans="1:29" ht="15.75" hidden="1" thickBot="1">
      <c r="A14" s="3488"/>
      <c r="B14" s="3489"/>
      <c r="C14" s="3490"/>
      <c r="D14" s="3491">
        <v>100</v>
      </c>
      <c r="E14" s="3483"/>
      <c r="F14" s="3492">
        <f>SUMIF(74:74,E14,75:75)-SUMIF(74:74,C14,75:75)+100</f>
        <v>100</v>
      </c>
      <c r="G14" s="3483"/>
      <c r="H14" s="3491">
        <f>SUMIF(74:74,G14,75:75)-SUMIF(74:74,C14,75:75)+100</f>
        <v>100</v>
      </c>
      <c r="I14" s="3483"/>
      <c r="J14" s="3491">
        <f>SUMIF(74:74,I14,75:75)-SUMIF(74:74,C14,75:75)+100</f>
        <v>100</v>
      </c>
      <c r="K14" s="3484"/>
      <c r="L14" s="3487"/>
      <c r="M14" s="3397"/>
      <c r="N14" s="3397"/>
      <c r="O14" s="3397"/>
      <c r="P14" s="3457"/>
      <c r="Q14" s="3458">
        <f t="shared" si="6"/>
        <v>0</v>
      </c>
      <c r="R14" s="3443" t="s">
        <v>3606</v>
      </c>
      <c r="S14" s="3444">
        <f t="shared" si="0"/>
        <v>100</v>
      </c>
      <c r="T14" s="3443" t="s">
        <v>3606</v>
      </c>
      <c r="U14" s="3444">
        <f t="shared" si="1"/>
        <v>100</v>
      </c>
      <c r="V14" s="3443" t="s">
        <v>3606</v>
      </c>
      <c r="W14" s="3444">
        <f t="shared" si="2"/>
        <v>100</v>
      </c>
      <c r="X14" s="3445"/>
      <c r="Y14" s="3459"/>
      <c r="Z14" s="3460">
        <f t="shared" si="7"/>
        <v>0</v>
      </c>
      <c r="AA14" s="3447">
        <f t="shared" si="3"/>
        <v>1</v>
      </c>
      <c r="AB14" s="3447">
        <f t="shared" si="4"/>
        <v>1</v>
      </c>
      <c r="AC14" s="3447">
        <f t="shared" si="5"/>
        <v>1</v>
      </c>
    </row>
    <row r="15" spans="1:29" ht="28.5">
      <c r="A15" s="3493" t="s">
        <v>2550</v>
      </c>
      <c r="B15" s="3494" t="s">
        <v>3615</v>
      </c>
      <c r="C15" s="3495" t="str">
        <f>[1]估价对象房地状况!C4</f>
        <v>XX商圈，周边商业氛围，人流量</v>
      </c>
      <c r="D15" s="3496">
        <v>100</v>
      </c>
      <c r="E15" s="3497"/>
      <c r="F15" s="3498">
        <f>SUMIF(76:76,E16,77:77)-SUMIF(76:76,C16,77:77)+100</f>
        <v>105</v>
      </c>
      <c r="G15" s="3499"/>
      <c r="H15" s="3496">
        <f>SUMIF(76:76,G16,77:77)-SUMIF(76:76,C16,77:77)+100</f>
        <v>100</v>
      </c>
      <c r="I15" s="3497"/>
      <c r="J15" s="3496">
        <f>SUMIF(76:76,I16,77:77)-SUMIF(76:76,C16,77:77)+100</f>
        <v>100</v>
      </c>
      <c r="K15" s="3500">
        <v>5</v>
      </c>
      <c r="L15" s="3487"/>
      <c r="M15" s="3397"/>
      <c r="N15" s="3397"/>
      <c r="O15" s="3397"/>
      <c r="P15" s="3501" t="s">
        <v>2551</v>
      </c>
      <c r="Q15" s="3502" t="str">
        <f t="shared" si="6"/>
        <v>商业繁华度</v>
      </c>
      <c r="R15" s="3503" t="s">
        <v>3606</v>
      </c>
      <c r="S15" s="3504">
        <f t="shared" si="0"/>
        <v>105</v>
      </c>
      <c r="T15" s="3503" t="s">
        <v>3606</v>
      </c>
      <c r="U15" s="3504">
        <f t="shared" si="1"/>
        <v>100</v>
      </c>
      <c r="V15" s="3503" t="s">
        <v>3606</v>
      </c>
      <c r="W15" s="3504">
        <f t="shared" si="2"/>
        <v>100</v>
      </c>
      <c r="X15" s="3403"/>
      <c r="Y15" s="3505" t="s">
        <v>2551</v>
      </c>
      <c r="Z15" s="3506" t="str">
        <f t="shared" si="7"/>
        <v>商业繁华度</v>
      </c>
      <c r="AA15" s="3507">
        <f t="shared" si="3"/>
        <v>0.95238095238095233</v>
      </c>
      <c r="AB15" s="3507">
        <f t="shared" si="4"/>
        <v>1</v>
      </c>
      <c r="AC15" s="3507">
        <f t="shared" si="5"/>
        <v>1</v>
      </c>
    </row>
    <row r="16" spans="1:29" ht="15">
      <c r="A16" s="3471"/>
      <c r="B16" s="3508"/>
      <c r="C16" s="3509" t="s">
        <v>3591</v>
      </c>
      <c r="D16" s="3510"/>
      <c r="E16" s="3509" t="s">
        <v>3589</v>
      </c>
      <c r="F16" s="3511"/>
      <c r="G16" s="3509" t="s">
        <v>3591</v>
      </c>
      <c r="H16" s="3512"/>
      <c r="I16" s="3509" t="s">
        <v>3591</v>
      </c>
      <c r="J16" s="3510"/>
      <c r="K16" s="3513"/>
      <c r="L16" s="3487"/>
      <c r="M16" s="3397"/>
      <c r="N16" s="3397"/>
      <c r="O16" s="3397"/>
      <c r="P16" s="3514"/>
      <c r="Q16" s="3502"/>
      <c r="R16" s="3503"/>
      <c r="S16" s="3504"/>
      <c r="T16" s="3503"/>
      <c r="U16" s="3504"/>
      <c r="V16" s="3503"/>
      <c r="W16" s="3504"/>
      <c r="X16" s="3403"/>
      <c r="Y16" s="3515"/>
      <c r="Z16" s="3506"/>
      <c r="AA16" s="3507">
        <v>1</v>
      </c>
      <c r="AB16" s="3507">
        <v>1</v>
      </c>
      <c r="AC16" s="3507">
        <v>1</v>
      </c>
    </row>
    <row r="17" spans="1:29" ht="34.5" customHeight="1">
      <c r="A17" s="3471"/>
      <c r="B17" s="3516" t="s">
        <v>2089</v>
      </c>
      <c r="C17" s="3517" t="str">
        <f>[1]估价对象房地状况!C6</f>
        <v>周边道路状况、公共交通通达情况、停车便捷程度（快速路西四环北路 六号线海淀五路居站 五路桥公交站  61路 79路 121路 地上停车位）</v>
      </c>
      <c r="D17" s="3512">
        <v>100</v>
      </c>
      <c r="E17" s="3518"/>
      <c r="F17" s="3519">
        <f>SUMIF(78:78,E18,79:79)-SUMIF(78:78,C18,79:79)+100</f>
        <v>100</v>
      </c>
      <c r="G17" s="3520"/>
      <c r="H17" s="3521">
        <f>SUMIF(78:78,G18,79:79)-SUMIF(78:78,C18,79:79)+100</f>
        <v>95</v>
      </c>
      <c r="I17" s="3518"/>
      <c r="J17" s="3521">
        <f>SUMIF(78:78,I18,79:79)-SUMIF(78:78,C18,79:79)+100</f>
        <v>100</v>
      </c>
      <c r="K17" s="3500">
        <v>5</v>
      </c>
      <c r="L17" s="3487"/>
      <c r="M17" s="3397"/>
      <c r="N17" s="3397"/>
      <c r="O17" s="3397"/>
      <c r="P17" s="3514"/>
      <c r="Q17" s="3502" t="str">
        <f>B17</f>
        <v>交通便捷度</v>
      </c>
      <c r="R17" s="3503" t="s">
        <v>3606</v>
      </c>
      <c r="S17" s="3504">
        <f>F17</f>
        <v>100</v>
      </c>
      <c r="T17" s="3503" t="s">
        <v>3606</v>
      </c>
      <c r="U17" s="3504">
        <f>H17</f>
        <v>95</v>
      </c>
      <c r="V17" s="3503" t="s">
        <v>3606</v>
      </c>
      <c r="W17" s="3504">
        <f>J17</f>
        <v>100</v>
      </c>
      <c r="X17" s="3403"/>
      <c r="Y17" s="3515"/>
      <c r="Z17" s="3506" t="str">
        <f>Q17</f>
        <v>交通便捷度</v>
      </c>
      <c r="AA17" s="3507">
        <f t="shared" si="3"/>
        <v>1</v>
      </c>
      <c r="AB17" s="3507">
        <f t="shared" si="4"/>
        <v>1.0526315789473684</v>
      </c>
      <c r="AC17" s="3507">
        <f t="shared" si="5"/>
        <v>1</v>
      </c>
    </row>
    <row r="18" spans="1:29" ht="15">
      <c r="A18" s="3471"/>
      <c r="B18" s="3522"/>
      <c r="C18" s="3523" t="s">
        <v>3598</v>
      </c>
      <c r="D18" s="3512"/>
      <c r="E18" s="3524" t="s">
        <v>3598</v>
      </c>
      <c r="F18" s="3519"/>
      <c r="G18" s="3525" t="s">
        <v>3589</v>
      </c>
      <c r="H18" s="3510"/>
      <c r="I18" s="3526" t="s">
        <v>3598</v>
      </c>
      <c r="J18" s="3510"/>
      <c r="K18" s="3513"/>
      <c r="L18" s="3487"/>
      <c r="M18" s="3397"/>
      <c r="N18" s="3397"/>
      <c r="O18" s="3397"/>
      <c r="P18" s="3514"/>
      <c r="Q18" s="3502"/>
      <c r="R18" s="3503"/>
      <c r="S18" s="3504"/>
      <c r="T18" s="3503"/>
      <c r="U18" s="3504"/>
      <c r="V18" s="3503"/>
      <c r="W18" s="3504"/>
      <c r="X18" s="3403"/>
      <c r="Y18" s="3515"/>
      <c r="Z18" s="3506"/>
      <c r="AA18" s="3507">
        <v>1</v>
      </c>
      <c r="AB18" s="3507">
        <v>1</v>
      </c>
      <c r="AC18" s="3507">
        <v>1</v>
      </c>
    </row>
    <row r="19" spans="1:29" ht="28.5" customHeight="1">
      <c r="A19" s="3471"/>
      <c r="B19" s="3516" t="s">
        <v>3616</v>
      </c>
      <c r="C19" s="3517" t="str">
        <f>[1]估价对象房地状况!C7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3521">
        <v>100</v>
      </c>
      <c r="E19" s="3527"/>
      <c r="F19" s="3528">
        <f>SUMIF(80:80,E20,81:81)-SUMIF(80:80,C20,81:81)+100</f>
        <v>100</v>
      </c>
      <c r="G19" s="3529"/>
      <c r="H19" s="3512">
        <f>SUMIF(80:80,G20,81:81)-SUMIF(80:80,C20,81:81)+100</f>
        <v>100</v>
      </c>
      <c r="I19" s="3527"/>
      <c r="J19" s="3512">
        <f>SUMIF(80:80,I20,81:81)-SUMIF(80:80,C20,81:81)+100</f>
        <v>100</v>
      </c>
      <c r="K19" s="3500">
        <v>3</v>
      </c>
      <c r="L19" s="3487"/>
      <c r="M19" s="3397"/>
      <c r="N19" s="3397"/>
      <c r="O19" s="3397"/>
      <c r="P19" s="3514"/>
      <c r="Q19" s="3502" t="str">
        <f>B19</f>
        <v>公共配套设施</v>
      </c>
      <c r="R19" s="3503" t="s">
        <v>3606</v>
      </c>
      <c r="S19" s="3504">
        <f>F19</f>
        <v>100</v>
      </c>
      <c r="T19" s="3503" t="s">
        <v>3606</v>
      </c>
      <c r="U19" s="3504">
        <f>H19</f>
        <v>100</v>
      </c>
      <c r="V19" s="3503" t="s">
        <v>3606</v>
      </c>
      <c r="W19" s="3504">
        <f>J19</f>
        <v>100</v>
      </c>
      <c r="X19" s="3403"/>
      <c r="Y19" s="3515"/>
      <c r="Z19" s="3506" t="str">
        <f>Q19</f>
        <v>公共配套设施</v>
      </c>
      <c r="AA19" s="3507">
        <f t="shared" si="3"/>
        <v>1</v>
      </c>
      <c r="AB19" s="3507">
        <f t="shared" si="4"/>
        <v>1</v>
      </c>
      <c r="AC19" s="3507">
        <f t="shared" si="5"/>
        <v>1</v>
      </c>
    </row>
    <row r="20" spans="1:29" ht="15">
      <c r="A20" s="3471"/>
      <c r="B20" s="3522"/>
      <c r="C20" s="3509" t="s">
        <v>3589</v>
      </c>
      <c r="D20" s="3510"/>
      <c r="E20" s="3530" t="s">
        <v>3589</v>
      </c>
      <c r="F20" s="3511"/>
      <c r="G20" s="3531" t="s">
        <v>3589</v>
      </c>
      <c r="H20" s="3510"/>
      <c r="I20" s="3530" t="s">
        <v>3589</v>
      </c>
      <c r="J20" s="3510"/>
      <c r="K20" s="3513"/>
      <c r="L20" s="3487"/>
      <c r="M20" s="3397"/>
      <c r="N20" s="3397"/>
      <c r="O20" s="3397"/>
      <c r="P20" s="3514"/>
      <c r="Q20" s="3502"/>
      <c r="R20" s="3503"/>
      <c r="S20" s="3504"/>
      <c r="T20" s="3503"/>
      <c r="U20" s="3504"/>
      <c r="V20" s="3503"/>
      <c r="W20" s="3504"/>
      <c r="X20" s="3403"/>
      <c r="Y20" s="3515"/>
      <c r="Z20" s="3506"/>
      <c r="AA20" s="3507">
        <v>1</v>
      </c>
      <c r="AB20" s="3507">
        <v>1</v>
      </c>
      <c r="AC20" s="3507">
        <v>1</v>
      </c>
    </row>
    <row r="21" spans="1:29" ht="15">
      <c r="A21" s="3471"/>
      <c r="B21" s="3532" t="s">
        <v>3617</v>
      </c>
      <c r="C21" s="3517">
        <f>[1]估价对象房地状况!C8</f>
        <v>0</v>
      </c>
      <c r="D21" s="3521">
        <v>100</v>
      </c>
      <c r="E21" s="3527"/>
      <c r="F21" s="3528">
        <f>SUMIF(82:82,E22,83:83)-SUMIF(82:82,C22,83:83)+100</f>
        <v>100</v>
      </c>
      <c r="G21" s="3529"/>
      <c r="H21" s="3512">
        <f>SUMIF(82:82,G22,83:83)-SUMIF(82:82,C22,83:83)+100</f>
        <v>100</v>
      </c>
      <c r="I21" s="3527"/>
      <c r="J21" s="3512">
        <f>SUMIF(82:82,I22,83:83)-SUMIF(82:82,C22,83:83)+100</f>
        <v>100</v>
      </c>
      <c r="K21" s="3500">
        <v>2</v>
      </c>
      <c r="L21" s="3487"/>
      <c r="M21" s="3397"/>
      <c r="N21" s="3397"/>
      <c r="O21" s="3397"/>
      <c r="P21" s="3514"/>
      <c r="Q21" s="3502" t="str">
        <f>B21</f>
        <v>基础设施水平</v>
      </c>
      <c r="R21" s="3503" t="s">
        <v>3606</v>
      </c>
      <c r="S21" s="3504">
        <f>F21</f>
        <v>100</v>
      </c>
      <c r="T21" s="3503" t="s">
        <v>3606</v>
      </c>
      <c r="U21" s="3504">
        <f>H21</f>
        <v>100</v>
      </c>
      <c r="V21" s="3503" t="s">
        <v>3606</v>
      </c>
      <c r="W21" s="3504">
        <f>J21</f>
        <v>100</v>
      </c>
      <c r="X21" s="3403"/>
      <c r="Y21" s="3515"/>
      <c r="Z21" s="3506" t="str">
        <f>Q21</f>
        <v>基础设施水平</v>
      </c>
      <c r="AA21" s="3507">
        <f t="shared" ref="AA21" si="8">D21/F21</f>
        <v>1</v>
      </c>
      <c r="AB21" s="3507">
        <f t="shared" ref="AB21" si="9">D21/H21</f>
        <v>1</v>
      </c>
      <c r="AC21" s="3507">
        <f t="shared" ref="AC21" si="10">D21/J21</f>
        <v>1</v>
      </c>
    </row>
    <row r="22" spans="1:29" ht="15">
      <c r="A22" s="3471"/>
      <c r="B22" s="3532"/>
      <c r="C22" s="3523" t="s">
        <v>3590</v>
      </c>
      <c r="D22" s="3510"/>
      <c r="E22" s="3509" t="s">
        <v>3590</v>
      </c>
      <c r="F22" s="3511"/>
      <c r="G22" s="3509" t="s">
        <v>3590</v>
      </c>
      <c r="H22" s="3510"/>
      <c r="I22" s="3509" t="s">
        <v>3590</v>
      </c>
      <c r="J22" s="3510"/>
      <c r="K22" s="3533"/>
      <c r="L22" s="3487"/>
      <c r="M22" s="3397"/>
      <c r="N22" s="3397"/>
      <c r="O22" s="3397"/>
      <c r="P22" s="3514"/>
      <c r="Q22" s="3502"/>
      <c r="R22" s="3503"/>
      <c r="S22" s="3504"/>
      <c r="T22" s="3503"/>
      <c r="U22" s="3504"/>
      <c r="V22" s="3503"/>
      <c r="W22" s="3504"/>
      <c r="X22" s="3403"/>
      <c r="Y22" s="3515"/>
      <c r="Z22" s="3506"/>
      <c r="AA22" s="3507">
        <v>1</v>
      </c>
      <c r="AB22" s="3507">
        <v>1</v>
      </c>
      <c r="AC22" s="3507">
        <v>1</v>
      </c>
    </row>
    <row r="23" spans="1:29" ht="15">
      <c r="A23" s="3471"/>
      <c r="B23" s="3516" t="s">
        <v>2092</v>
      </c>
      <c r="C23" s="3534">
        <f>[1]估价对象房地状况!C9</f>
        <v>0</v>
      </c>
      <c r="D23" s="3512">
        <v>100</v>
      </c>
      <c r="E23" s="3518"/>
      <c r="F23" s="3519">
        <f>SUMIF(84:84,E24,85:85)-SUMIF(84:84,C24,85:85)+100</f>
        <v>100</v>
      </c>
      <c r="G23" s="3520"/>
      <c r="H23" s="3512">
        <f>SUMIF(84:84,G24,85:85)-SUMIF(84:84,C24,85:85)+100</f>
        <v>100</v>
      </c>
      <c r="I23" s="3518"/>
      <c r="J23" s="3512">
        <f>SUMIF(84:84,I24,85:85)-SUMIF(84:84,C24,85:85)+100</f>
        <v>100</v>
      </c>
      <c r="K23" s="3500">
        <v>2</v>
      </c>
      <c r="L23" s="3487"/>
      <c r="M23" s="3397"/>
      <c r="N23" s="3397"/>
      <c r="O23" s="3397"/>
      <c r="P23" s="3514"/>
      <c r="Q23" s="3502" t="str">
        <f>B23</f>
        <v>自然及人文环境</v>
      </c>
      <c r="R23" s="3503" t="s">
        <v>3606</v>
      </c>
      <c r="S23" s="3504">
        <f>F23</f>
        <v>100</v>
      </c>
      <c r="T23" s="3503" t="s">
        <v>3606</v>
      </c>
      <c r="U23" s="3504">
        <f>H23</f>
        <v>100</v>
      </c>
      <c r="V23" s="3503" t="s">
        <v>3606</v>
      </c>
      <c r="W23" s="3504">
        <f>J23</f>
        <v>100</v>
      </c>
      <c r="X23" s="3403"/>
      <c r="Y23" s="3515"/>
      <c r="Z23" s="3506" t="str">
        <f>Q23</f>
        <v>自然及人文环境</v>
      </c>
      <c r="AA23" s="3507">
        <f t="shared" si="3"/>
        <v>1</v>
      </c>
      <c r="AB23" s="3507">
        <f t="shared" si="4"/>
        <v>1</v>
      </c>
      <c r="AC23" s="3507">
        <f t="shared" si="5"/>
        <v>1</v>
      </c>
    </row>
    <row r="24" spans="1:29" ht="15">
      <c r="A24" s="3471"/>
      <c r="B24" s="3522"/>
      <c r="C24" s="3509" t="s">
        <v>3591</v>
      </c>
      <c r="D24" s="3510"/>
      <c r="E24" s="3509" t="s">
        <v>3591</v>
      </c>
      <c r="F24" s="3511"/>
      <c r="G24" s="3509" t="s">
        <v>3591</v>
      </c>
      <c r="H24" s="3510"/>
      <c r="I24" s="3509" t="s">
        <v>3591</v>
      </c>
      <c r="J24" s="3510"/>
      <c r="K24" s="3513"/>
      <c r="L24" s="3487"/>
      <c r="M24" s="3397"/>
      <c r="N24" s="3397"/>
      <c r="O24" s="3397"/>
      <c r="P24" s="3514"/>
      <c r="Q24" s="3502"/>
      <c r="R24" s="3503"/>
      <c r="S24" s="3504"/>
      <c r="T24" s="3503"/>
      <c r="U24" s="3504"/>
      <c r="V24" s="3503"/>
      <c r="W24" s="3504"/>
      <c r="X24" s="3403"/>
      <c r="Y24" s="3515"/>
      <c r="Z24" s="3506"/>
      <c r="AA24" s="3507">
        <v>1</v>
      </c>
      <c r="AB24" s="3507">
        <v>1</v>
      </c>
      <c r="AC24" s="3507">
        <v>1</v>
      </c>
    </row>
    <row r="25" spans="1:29" ht="15">
      <c r="A25" s="3471"/>
      <c r="B25" s="3472" t="s">
        <v>2671</v>
      </c>
      <c r="C25" s="3535" t="s">
        <v>3618</v>
      </c>
      <c r="D25" s="3486">
        <v>100</v>
      </c>
      <c r="E25" s="3535" t="s">
        <v>3618</v>
      </c>
      <c r="F25" s="3536">
        <f>SUMIF(86:86,E25,87:87)-SUMIF(86:86,C25,87:87)+100</f>
        <v>100</v>
      </c>
      <c r="G25" s="3535" t="s">
        <v>3618</v>
      </c>
      <c r="H25" s="3486">
        <f>SUMIF(86:86,G25,87:87)-SUMIF(86:86,C25,87:87)+100</f>
        <v>100</v>
      </c>
      <c r="I25" s="3535" t="s">
        <v>3618</v>
      </c>
      <c r="J25" s="3486">
        <f>SUMIF(86:86,I25,87:87)-SUMIF(86:86,C25,87:87)+100</f>
        <v>100</v>
      </c>
      <c r="K25" s="3477">
        <v>3</v>
      </c>
      <c r="L25" s="3487"/>
      <c r="M25" s="3397"/>
      <c r="N25" s="3397"/>
      <c r="O25" s="3397"/>
      <c r="P25" s="3514"/>
      <c r="Q25" s="3502" t="str">
        <f t="shared" ref="Q25:Q46" si="11">B25</f>
        <v>临街状况</v>
      </c>
      <c r="R25" s="3503" t="s">
        <v>3606</v>
      </c>
      <c r="S25" s="3504">
        <f>F25</f>
        <v>100</v>
      </c>
      <c r="T25" s="3503" t="s">
        <v>3606</v>
      </c>
      <c r="U25" s="3504">
        <f>H25</f>
        <v>100</v>
      </c>
      <c r="V25" s="3503" t="s">
        <v>3606</v>
      </c>
      <c r="W25" s="3504">
        <f>J25</f>
        <v>100</v>
      </c>
      <c r="X25" s="3403"/>
      <c r="Y25" s="3515"/>
      <c r="Z25" s="3506" t="str">
        <f>Q25</f>
        <v>临街状况</v>
      </c>
      <c r="AA25" s="3507">
        <f t="shared" si="3"/>
        <v>1</v>
      </c>
      <c r="AB25" s="3507">
        <f t="shared" si="4"/>
        <v>1</v>
      </c>
      <c r="AC25" s="3507">
        <f t="shared" si="5"/>
        <v>1</v>
      </c>
    </row>
    <row r="26" spans="1:29" ht="15">
      <c r="A26" s="3471"/>
      <c r="B26" s="3537" t="s">
        <v>3619</v>
      </c>
      <c r="C26" s="3538" t="s">
        <v>3620</v>
      </c>
      <c r="D26" s="3486">
        <v>100</v>
      </c>
      <c r="E26" s="3538" t="s">
        <v>3621</v>
      </c>
      <c r="F26" s="3536">
        <f>SUMIF(88:88,E26,89:89)-SUMIF(88:88,C26,89:89)+100</f>
        <v>103</v>
      </c>
      <c r="G26" s="3538" t="s">
        <v>3621</v>
      </c>
      <c r="H26" s="3486">
        <f>SUMIF(88:88,G26,89:89)-SUMIF(88:88,C26,89:89)+100</f>
        <v>103</v>
      </c>
      <c r="I26" s="3538" t="s">
        <v>3621</v>
      </c>
      <c r="J26" s="3486">
        <f>SUMIF(88:88,I26,89:89)-SUMIF(88:88,C26,89:89)+100</f>
        <v>103</v>
      </c>
      <c r="K26" s="3484"/>
      <c r="L26" s="3487"/>
      <c r="M26" s="3397"/>
      <c r="N26" s="3397"/>
      <c r="O26" s="3397"/>
      <c r="P26" s="3514"/>
      <c r="Q26" s="3502" t="str">
        <f t="shared" si="11"/>
        <v>平面位置/可视性</v>
      </c>
      <c r="R26" s="3503" t="s">
        <v>3606</v>
      </c>
      <c r="S26" s="3504">
        <f>F26</f>
        <v>103</v>
      </c>
      <c r="T26" s="3503" t="s">
        <v>3606</v>
      </c>
      <c r="U26" s="3504">
        <f>H26</f>
        <v>103</v>
      </c>
      <c r="V26" s="3503" t="s">
        <v>3606</v>
      </c>
      <c r="W26" s="3504">
        <f>J26</f>
        <v>103</v>
      </c>
      <c r="X26" s="3403"/>
      <c r="Y26" s="3515"/>
      <c r="Z26" s="3506" t="str">
        <f>Q26</f>
        <v>平面位置/可视性</v>
      </c>
      <c r="AA26" s="3507">
        <f t="shared" si="3"/>
        <v>0.970873786407767</v>
      </c>
      <c r="AB26" s="3507">
        <f t="shared" si="4"/>
        <v>0.970873786407767</v>
      </c>
      <c r="AC26" s="3507">
        <f t="shared" si="5"/>
        <v>0.970873786407767</v>
      </c>
    </row>
    <row r="27" spans="1:29" s="3448" customFormat="1" ht="15">
      <c r="A27" s="3479"/>
      <c r="B27" s="3516" t="s">
        <v>3622</v>
      </c>
      <c r="C27" s="3539" t="s">
        <v>3623</v>
      </c>
      <c r="D27" s="3540">
        <v>100</v>
      </c>
      <c r="E27" s="3539" t="s">
        <v>3623</v>
      </c>
      <c r="F27" s="3541">
        <f>SUMIF(90:90,E27,91:91)-SUMIF(90:90,C27,91:91)+100</f>
        <v>100</v>
      </c>
      <c r="G27" s="3539" t="s">
        <v>3623</v>
      </c>
      <c r="H27" s="3540">
        <f>SUMIF(90:90,G27,91:91)-SUMIF(90:90,C27,91:91)+100</f>
        <v>100</v>
      </c>
      <c r="I27" s="3539" t="s">
        <v>3623</v>
      </c>
      <c r="J27" s="3540">
        <f>SUMIF(90:90,I27,91:91)-SUMIF(90:90,C27,91:91)+100</f>
        <v>100</v>
      </c>
      <c r="K27" s="3477">
        <v>3</v>
      </c>
      <c r="L27" s="3439"/>
      <c r="M27" s="3440"/>
      <c r="N27" s="3440"/>
      <c r="O27" s="3440"/>
      <c r="P27" s="3514"/>
      <c r="Q27" s="3458" t="str">
        <f t="shared" si="11"/>
        <v>人流量</v>
      </c>
      <c r="R27" s="3443" t="s">
        <v>3606</v>
      </c>
      <c r="S27" s="3444">
        <f>F27</f>
        <v>100</v>
      </c>
      <c r="T27" s="3443" t="s">
        <v>3606</v>
      </c>
      <c r="U27" s="3444">
        <f>H27</f>
        <v>100</v>
      </c>
      <c r="V27" s="3443" t="s">
        <v>3606</v>
      </c>
      <c r="W27" s="3444">
        <f>J27</f>
        <v>100</v>
      </c>
      <c r="X27" s="3445"/>
      <c r="Y27" s="3515"/>
      <c r="Z27" s="3460" t="str">
        <f>Q27</f>
        <v>人流量</v>
      </c>
      <c r="AA27" s="3507">
        <f>D27/F27</f>
        <v>1</v>
      </c>
      <c r="AB27" s="3507">
        <f>D27/H27</f>
        <v>1</v>
      </c>
      <c r="AC27" s="3507">
        <f>D27/J27</f>
        <v>1</v>
      </c>
    </row>
    <row r="28" spans="1:29" ht="15.75" thickBot="1">
      <c r="A28" s="3471"/>
      <c r="B28" s="3472" t="s">
        <v>3624</v>
      </c>
      <c r="C28" s="3535" t="s">
        <v>3625</v>
      </c>
      <c r="D28" s="3486">
        <v>100</v>
      </c>
      <c r="E28" s="3535" t="s">
        <v>3625</v>
      </c>
      <c r="F28" s="3536">
        <f>SUMIF(92:92,E28,93:93)-SUMIF(92:92,C28,93:93)+100</f>
        <v>100</v>
      </c>
      <c r="G28" s="3535" t="s">
        <v>3625</v>
      </c>
      <c r="H28" s="3486">
        <f>SUMIF(92:92,G28,93:93)-SUMIF(92:92,C28,93:93)+100</f>
        <v>100</v>
      </c>
      <c r="I28" s="3535">
        <v>1</v>
      </c>
      <c r="J28" s="3486">
        <f>SUMIF(92:92,I28,93:93)-SUMIF(92:92,C28,93:93)+100</f>
        <v>115</v>
      </c>
      <c r="K28" s="3484"/>
      <c r="L28" s="3487"/>
      <c r="M28" s="3397"/>
      <c r="N28" s="3397"/>
      <c r="O28" s="3397"/>
      <c r="P28" s="3514"/>
      <c r="Q28" s="3502" t="str">
        <f t="shared" si="11"/>
        <v>楼层</v>
      </c>
      <c r="R28" s="3503" t="s">
        <v>3606</v>
      </c>
      <c r="S28" s="3504">
        <f t="shared" ref="S28:S46" si="12">F28</f>
        <v>100</v>
      </c>
      <c r="T28" s="3503" t="s">
        <v>3606</v>
      </c>
      <c r="U28" s="3504">
        <f t="shared" ref="U28:U46" si="13">H28</f>
        <v>100</v>
      </c>
      <c r="V28" s="3503" t="s">
        <v>3606</v>
      </c>
      <c r="W28" s="3504">
        <f t="shared" ref="W28:W46" si="14">J28</f>
        <v>115</v>
      </c>
      <c r="X28" s="3403"/>
      <c r="Y28" s="3515"/>
      <c r="Z28" s="3506" t="str">
        <f t="shared" ref="Z28:Z46" si="15">Q28</f>
        <v>楼层</v>
      </c>
      <c r="AA28" s="3507">
        <f t="shared" si="3"/>
        <v>1</v>
      </c>
      <c r="AB28" s="3507">
        <f t="shared" si="4"/>
        <v>1</v>
      </c>
      <c r="AC28" s="3507">
        <f t="shared" si="5"/>
        <v>0.86956521739130432</v>
      </c>
    </row>
    <row r="29" spans="1:29" ht="15.75" hidden="1" thickBot="1">
      <c r="A29" s="3471"/>
      <c r="B29" s="3537"/>
      <c r="C29" s="3483"/>
      <c r="D29" s="3486">
        <v>100</v>
      </c>
      <c r="E29" s="3483"/>
      <c r="F29" s="3536">
        <f>SUMIF(94:94,E29,95:95)-SUMIF(94:94,C29,95:95)+100</f>
        <v>100</v>
      </c>
      <c r="G29" s="3483"/>
      <c r="H29" s="3486">
        <f>SUMIF(94:94,G29,95:95)-SUMIF(94:94,C29,95:95)+100</f>
        <v>100</v>
      </c>
      <c r="I29" s="3483"/>
      <c r="J29" s="3486">
        <f>SUMIF(94:94,I29,95:95)-SUMIF(94:94,C29,95:95)+100</f>
        <v>100</v>
      </c>
      <c r="K29" s="3484"/>
      <c r="L29" s="3487"/>
      <c r="M29" s="3397"/>
      <c r="N29" s="3397"/>
      <c r="O29" s="3397"/>
      <c r="P29" s="3514"/>
      <c r="Q29" s="3502">
        <f t="shared" si="11"/>
        <v>0</v>
      </c>
      <c r="R29" s="3503" t="s">
        <v>3606</v>
      </c>
      <c r="S29" s="3504">
        <f t="shared" si="12"/>
        <v>100</v>
      </c>
      <c r="T29" s="3503" t="s">
        <v>3606</v>
      </c>
      <c r="U29" s="3504">
        <f t="shared" si="13"/>
        <v>100</v>
      </c>
      <c r="V29" s="3503" t="s">
        <v>3606</v>
      </c>
      <c r="W29" s="3504">
        <f t="shared" si="14"/>
        <v>100</v>
      </c>
      <c r="X29" s="3403"/>
      <c r="Y29" s="3515"/>
      <c r="Z29" s="3506">
        <f t="shared" si="15"/>
        <v>0</v>
      </c>
      <c r="AA29" s="3507">
        <f t="shared" si="3"/>
        <v>1</v>
      </c>
      <c r="AB29" s="3507">
        <f t="shared" si="4"/>
        <v>1</v>
      </c>
      <c r="AC29" s="3507">
        <f t="shared" si="5"/>
        <v>1</v>
      </c>
    </row>
    <row r="30" spans="1:29" ht="15.75" hidden="1" thickBot="1">
      <c r="A30" s="3471"/>
      <c r="B30" s="3537"/>
      <c r="C30" s="3483"/>
      <c r="D30" s="3486">
        <v>100</v>
      </c>
      <c r="E30" s="3483"/>
      <c r="F30" s="3536">
        <f>SUMIF(96:96,E30,97:97)-SUMIF(96:96,C30,97:97)+100</f>
        <v>100</v>
      </c>
      <c r="G30" s="3483"/>
      <c r="H30" s="3486">
        <f>SUMIF(96:96,G30,97:97)-SUMIF(96:96,C30,97:97)+100</f>
        <v>100</v>
      </c>
      <c r="I30" s="3483"/>
      <c r="J30" s="3486">
        <f>SUMIF(96:96,I30,97:97)-SUMIF(96:96,C30,97:97)+100</f>
        <v>100</v>
      </c>
      <c r="K30" s="3484"/>
      <c r="L30" s="3487"/>
      <c r="M30" s="3397"/>
      <c r="N30" s="3397"/>
      <c r="O30" s="3397"/>
      <c r="P30" s="3514"/>
      <c r="Q30" s="3502">
        <f t="shared" si="11"/>
        <v>0</v>
      </c>
      <c r="R30" s="3503" t="s">
        <v>3606</v>
      </c>
      <c r="S30" s="3504">
        <f t="shared" si="12"/>
        <v>100</v>
      </c>
      <c r="T30" s="3503" t="s">
        <v>3606</v>
      </c>
      <c r="U30" s="3504">
        <f t="shared" si="13"/>
        <v>100</v>
      </c>
      <c r="V30" s="3503" t="s">
        <v>3606</v>
      </c>
      <c r="W30" s="3504">
        <f t="shared" si="14"/>
        <v>100</v>
      </c>
      <c r="X30" s="3403"/>
      <c r="Y30" s="3515"/>
      <c r="Z30" s="3506">
        <f t="shared" si="15"/>
        <v>0</v>
      </c>
      <c r="AA30" s="3507">
        <f t="shared" si="3"/>
        <v>1</v>
      </c>
      <c r="AB30" s="3507">
        <f t="shared" si="4"/>
        <v>1</v>
      </c>
      <c r="AC30" s="3507">
        <f t="shared" si="5"/>
        <v>1</v>
      </c>
    </row>
    <row r="31" spans="1:29" ht="15.75" hidden="1" thickBot="1">
      <c r="A31" s="3488"/>
      <c r="B31" s="3537"/>
      <c r="C31" s="3490"/>
      <c r="D31" s="3491">
        <v>100</v>
      </c>
      <c r="E31" s="3483"/>
      <c r="F31" s="3492">
        <f>SUMIF(98:98,E31,99:99)-SUMIF(98:98,C31,99:99)+100</f>
        <v>100</v>
      </c>
      <c r="G31" s="3483"/>
      <c r="H31" s="3491">
        <f>SUMIF(98:98,G31,99:99)-SUMIF(98:98,C31,99:99)+100</f>
        <v>100</v>
      </c>
      <c r="I31" s="3483"/>
      <c r="J31" s="3491">
        <f>SUMIF(98:98,I31,99:99)-SUMIF(98:98,C31,99:99)+100</f>
        <v>100</v>
      </c>
      <c r="K31" s="3484"/>
      <c r="L31" s="3487"/>
      <c r="M31" s="3397"/>
      <c r="N31" s="3397"/>
      <c r="O31" s="3397"/>
      <c r="P31" s="3514"/>
      <c r="Q31" s="3502">
        <f t="shared" si="11"/>
        <v>0</v>
      </c>
      <c r="R31" s="3503" t="s">
        <v>3606</v>
      </c>
      <c r="S31" s="3504">
        <f t="shared" si="12"/>
        <v>100</v>
      </c>
      <c r="T31" s="3503" t="s">
        <v>3606</v>
      </c>
      <c r="U31" s="3504">
        <f t="shared" si="13"/>
        <v>100</v>
      </c>
      <c r="V31" s="3503" t="s">
        <v>3606</v>
      </c>
      <c r="W31" s="3504">
        <f t="shared" si="14"/>
        <v>100</v>
      </c>
      <c r="X31" s="3403"/>
      <c r="Y31" s="3515"/>
      <c r="Z31" s="3506">
        <f t="shared" si="15"/>
        <v>0</v>
      </c>
      <c r="AA31" s="3507">
        <f t="shared" si="3"/>
        <v>1</v>
      </c>
      <c r="AB31" s="3507">
        <f t="shared" si="4"/>
        <v>1</v>
      </c>
      <c r="AC31" s="3507">
        <f t="shared" si="5"/>
        <v>1</v>
      </c>
    </row>
    <row r="32" spans="1:29" ht="15">
      <c r="A32" s="3493" t="s">
        <v>2554</v>
      </c>
      <c r="B32" s="3451" t="s">
        <v>2672</v>
      </c>
      <c r="C32" s="3542" t="s">
        <v>3626</v>
      </c>
      <c r="D32" s="3543">
        <v>100</v>
      </c>
      <c r="E32" s="3542" t="s">
        <v>3626</v>
      </c>
      <c r="F32" s="3536">
        <f>SUMIF(100:100,E32,101:101)-SUMIF(100:100,C32,101:101)+100</f>
        <v>100</v>
      </c>
      <c r="G32" s="3542" t="s">
        <v>3626</v>
      </c>
      <c r="H32" s="3486">
        <f>SUMIF(100:100,G32,101:101)-SUMIF(100:100,C32,101:101)+100</f>
        <v>100</v>
      </c>
      <c r="I32" s="3542" t="s">
        <v>3627</v>
      </c>
      <c r="J32" s="3543">
        <f>SUMIF(100:100,I32,101:101)-SUMIF(100:100,C32,101:101)+100</f>
        <v>103</v>
      </c>
      <c r="K32" s="3477">
        <v>3</v>
      </c>
      <c r="L32" s="3487"/>
      <c r="M32" s="3397"/>
      <c r="N32" s="3397"/>
      <c r="O32" s="3397"/>
      <c r="P32" s="3544" t="s">
        <v>2556</v>
      </c>
      <c r="Q32" s="3502" t="str">
        <f t="shared" si="11"/>
        <v>商业类型</v>
      </c>
      <c r="R32" s="3503" t="s">
        <v>3606</v>
      </c>
      <c r="S32" s="3504">
        <f t="shared" si="12"/>
        <v>100</v>
      </c>
      <c r="T32" s="3503" t="s">
        <v>3606</v>
      </c>
      <c r="U32" s="3504">
        <f t="shared" si="13"/>
        <v>100</v>
      </c>
      <c r="V32" s="3503" t="s">
        <v>3606</v>
      </c>
      <c r="W32" s="3504">
        <f t="shared" si="14"/>
        <v>103</v>
      </c>
      <c r="X32" s="3403"/>
      <c r="Y32" s="3545" t="s">
        <v>2556</v>
      </c>
      <c r="Z32" s="3506" t="str">
        <f t="shared" si="15"/>
        <v>商业类型</v>
      </c>
      <c r="AA32" s="3507">
        <f t="shared" si="3"/>
        <v>1</v>
      </c>
      <c r="AB32" s="3507">
        <f t="shared" si="4"/>
        <v>1</v>
      </c>
      <c r="AC32" s="3507">
        <f t="shared" si="5"/>
        <v>0.970873786407767</v>
      </c>
    </row>
    <row r="33" spans="1:29" s="3555" customFormat="1" ht="15" hidden="1">
      <c r="A33" s="3546"/>
      <c r="B33" s="3472" t="s">
        <v>2557</v>
      </c>
      <c r="C33" s="3547"/>
      <c r="D33" s="3474">
        <v>100</v>
      </c>
      <c r="E33" s="3475"/>
      <c r="F33" s="3476">
        <f>LOOKUP(E33,103:103,104:104)-LOOKUP(C33,103:103,104:104)+100</f>
        <v>100</v>
      </c>
      <c r="G33" s="3473"/>
      <c r="H33" s="3474">
        <f>LOOKUP(G33,103:103,104:104)-LOOKUP(C33,103:103,104:104)+100</f>
        <v>100</v>
      </c>
      <c r="I33" s="3473"/>
      <c r="J33" s="3474">
        <f>LOOKUP(I33,103:103,104:104)-LOOKUP(C33,103:103,104:104)+100</f>
        <v>100</v>
      </c>
      <c r="K33" s="3484"/>
      <c r="L33" s="3478"/>
      <c r="M33" s="3548"/>
      <c r="N33" s="3548"/>
      <c r="O33" s="3548"/>
      <c r="P33" s="3549"/>
      <c r="Q33" s="3550" t="str">
        <f t="shared" si="11"/>
        <v>项目建筑规模</v>
      </c>
      <c r="R33" s="3551" t="s">
        <v>3606</v>
      </c>
      <c r="S33" s="3552">
        <f t="shared" si="12"/>
        <v>100</v>
      </c>
      <c r="T33" s="3551" t="s">
        <v>3606</v>
      </c>
      <c r="U33" s="3552">
        <f t="shared" si="13"/>
        <v>100</v>
      </c>
      <c r="V33" s="3551" t="s">
        <v>3606</v>
      </c>
      <c r="W33" s="3552">
        <f t="shared" si="14"/>
        <v>100</v>
      </c>
      <c r="X33" s="3553"/>
      <c r="Y33" s="3545"/>
      <c r="Z33" s="3554" t="str">
        <f t="shared" si="15"/>
        <v>项目建筑规模</v>
      </c>
      <c r="AA33" s="3507">
        <f t="shared" si="3"/>
        <v>1</v>
      </c>
      <c r="AB33" s="3507">
        <f t="shared" si="4"/>
        <v>1</v>
      </c>
      <c r="AC33" s="3507">
        <f t="shared" si="5"/>
        <v>1</v>
      </c>
    </row>
    <row r="34" spans="1:29" ht="15">
      <c r="A34" s="3556"/>
      <c r="B34" s="3472" t="s">
        <v>2558</v>
      </c>
      <c r="C34" s="3557" t="s">
        <v>3575</v>
      </c>
      <c r="D34" s="3486">
        <v>100</v>
      </c>
      <c r="E34" s="3557" t="s">
        <v>3575</v>
      </c>
      <c r="F34" s="3536">
        <f>SUMIF(105:105,E34,106:106)-SUMIF(105:105,C34,106:106)+100</f>
        <v>100</v>
      </c>
      <c r="G34" s="3557" t="s">
        <v>3575</v>
      </c>
      <c r="H34" s="3486">
        <f>SUMIF(105:105,G34,106:106)-SUMIF(105:105,C34,106:106)+100</f>
        <v>100</v>
      </c>
      <c r="I34" s="3557" t="s">
        <v>3575</v>
      </c>
      <c r="J34" s="3486">
        <f>SUMIF(105:105,I34,106:106)-SUMIF(105:105,C34,106:106)+100</f>
        <v>100</v>
      </c>
      <c r="K34" s="3477">
        <v>2</v>
      </c>
      <c r="L34" s="3487"/>
      <c r="M34" s="3397"/>
      <c r="N34" s="3397"/>
      <c r="O34" s="3397"/>
      <c r="P34" s="3549"/>
      <c r="Q34" s="3502" t="str">
        <f t="shared" si="11"/>
        <v>建筑结构</v>
      </c>
      <c r="R34" s="3503" t="s">
        <v>3606</v>
      </c>
      <c r="S34" s="3504">
        <f t="shared" si="12"/>
        <v>100</v>
      </c>
      <c r="T34" s="3503" t="s">
        <v>3606</v>
      </c>
      <c r="U34" s="3504">
        <f t="shared" si="13"/>
        <v>100</v>
      </c>
      <c r="V34" s="3503" t="s">
        <v>3606</v>
      </c>
      <c r="W34" s="3504">
        <f t="shared" si="14"/>
        <v>100</v>
      </c>
      <c r="X34" s="3403"/>
      <c r="Y34" s="3545"/>
      <c r="Z34" s="3506" t="str">
        <f t="shared" si="15"/>
        <v>建筑结构</v>
      </c>
      <c r="AA34" s="3507">
        <f t="shared" si="3"/>
        <v>1</v>
      </c>
      <c r="AB34" s="3507">
        <f t="shared" si="4"/>
        <v>1</v>
      </c>
      <c r="AC34" s="3507">
        <f t="shared" si="5"/>
        <v>1</v>
      </c>
    </row>
    <row r="35" spans="1:29" ht="15">
      <c r="A35" s="3556"/>
      <c r="B35" s="3472" t="s">
        <v>2607</v>
      </c>
      <c r="C35" s="3558" t="s">
        <v>3592</v>
      </c>
      <c r="D35" s="3486">
        <v>100</v>
      </c>
      <c r="E35" s="3558" t="s">
        <v>3592</v>
      </c>
      <c r="F35" s="3536">
        <f>SUMIF(107:107,E35,108:108)-SUMIF(107:107,C35,108:108)+100</f>
        <v>100</v>
      </c>
      <c r="G35" s="3558" t="s">
        <v>3592</v>
      </c>
      <c r="H35" s="3486">
        <f>SUMIF(107:107,G35,108:108)-SUMIF(107:107,C35,108:108)+100</f>
        <v>100</v>
      </c>
      <c r="I35" s="3558" t="s">
        <v>3592</v>
      </c>
      <c r="J35" s="3486">
        <f>SUMIF(107:107,I35,108:108)-SUMIF(107:107,C35,108:108)+100</f>
        <v>100</v>
      </c>
      <c r="K35" s="3477">
        <v>2</v>
      </c>
      <c r="L35" s="3487"/>
      <c r="M35" s="3397"/>
      <c r="N35" s="3397"/>
      <c r="O35" s="3397"/>
      <c r="P35" s="3549"/>
      <c r="Q35" s="3502" t="str">
        <f t="shared" si="11"/>
        <v>公共部分装修</v>
      </c>
      <c r="R35" s="3503" t="s">
        <v>3606</v>
      </c>
      <c r="S35" s="3504">
        <f t="shared" si="12"/>
        <v>100</v>
      </c>
      <c r="T35" s="3503" t="s">
        <v>3606</v>
      </c>
      <c r="U35" s="3504">
        <f t="shared" si="13"/>
        <v>100</v>
      </c>
      <c r="V35" s="3503" t="s">
        <v>3606</v>
      </c>
      <c r="W35" s="3504">
        <f t="shared" si="14"/>
        <v>100</v>
      </c>
      <c r="X35" s="3403"/>
      <c r="Y35" s="3545"/>
      <c r="Z35" s="3506" t="str">
        <f t="shared" si="15"/>
        <v>公共部分装修</v>
      </c>
      <c r="AA35" s="3507">
        <f t="shared" si="3"/>
        <v>1</v>
      </c>
      <c r="AB35" s="3507">
        <f t="shared" si="4"/>
        <v>1</v>
      </c>
      <c r="AC35" s="3507">
        <f t="shared" si="5"/>
        <v>1</v>
      </c>
    </row>
    <row r="36" spans="1:29" s="3569" customFormat="1" ht="15">
      <c r="A36" s="3559"/>
      <c r="B36" s="3462" t="s">
        <v>3628</v>
      </c>
      <c r="C36" s="3560">
        <v>0.9</v>
      </c>
      <c r="D36" s="3464">
        <v>100</v>
      </c>
      <c r="E36" s="3560">
        <v>0.9</v>
      </c>
      <c r="F36" s="3466">
        <f>LOOKUP(E36,110:110,111:111)-LOOKUP(C36,110:110,111:111)+100</f>
        <v>100</v>
      </c>
      <c r="G36" s="3560">
        <v>0.9</v>
      </c>
      <c r="H36" s="3464">
        <f>LOOKUP(G36,110:110,111:111)-LOOKUP(C36,110:110,111:111)+100</f>
        <v>100</v>
      </c>
      <c r="I36" s="3560">
        <v>0.8</v>
      </c>
      <c r="J36" s="3464">
        <f>LOOKUP(I36,110:110,111:111)-LOOKUP(C36,110:110,111:111)+100</f>
        <v>97</v>
      </c>
      <c r="K36" s="3467">
        <v>3</v>
      </c>
      <c r="L36" s="3561"/>
      <c r="M36" s="3562"/>
      <c r="N36" s="3562"/>
      <c r="O36" s="3562"/>
      <c r="P36" s="3549"/>
      <c r="Q36" s="3563" t="str">
        <f t="shared" si="11"/>
        <v>成新度</v>
      </c>
      <c r="R36" s="3564" t="s">
        <v>3606</v>
      </c>
      <c r="S36" s="3565">
        <f t="shared" si="12"/>
        <v>100</v>
      </c>
      <c r="T36" s="3564" t="s">
        <v>3606</v>
      </c>
      <c r="U36" s="3565">
        <f t="shared" si="13"/>
        <v>100</v>
      </c>
      <c r="V36" s="3564" t="s">
        <v>3606</v>
      </c>
      <c r="W36" s="3565">
        <f t="shared" si="14"/>
        <v>97</v>
      </c>
      <c r="X36" s="3566"/>
      <c r="Y36" s="3545"/>
      <c r="Z36" s="3567" t="str">
        <f t="shared" si="15"/>
        <v>成新度</v>
      </c>
      <c r="AA36" s="3568">
        <f t="shared" si="3"/>
        <v>1</v>
      </c>
      <c r="AB36" s="3568">
        <f t="shared" si="4"/>
        <v>1</v>
      </c>
      <c r="AC36" s="3568">
        <f t="shared" si="5"/>
        <v>1.0309278350515463</v>
      </c>
    </row>
    <row r="37" spans="1:29" s="3448" customFormat="1" ht="15">
      <c r="A37" s="3570"/>
      <c r="B37" s="3472" t="s">
        <v>2609</v>
      </c>
      <c r="C37" s="3558" t="s">
        <v>3629</v>
      </c>
      <c r="D37" s="3474">
        <v>100</v>
      </c>
      <c r="E37" s="3558" t="s">
        <v>3629</v>
      </c>
      <c r="F37" s="3536">
        <f>SUMIF(112:112,E37,113:113)-SUMIF(112:112,C37,113:113)+100</f>
        <v>100</v>
      </c>
      <c r="G37" s="3558" t="s">
        <v>3629</v>
      </c>
      <c r="H37" s="3486">
        <f>SUMIF(112:112,G37,113:113)-SUMIF(112:112,C37,113:113)+100</f>
        <v>100</v>
      </c>
      <c r="I37" s="3558" t="s">
        <v>3629</v>
      </c>
      <c r="J37" s="3486">
        <f>SUMIF(112:112,I37,113:113)-SUMIF(112:112,C37,113:113)+100</f>
        <v>100</v>
      </c>
      <c r="K37" s="3477">
        <v>2</v>
      </c>
      <c r="L37" s="3439"/>
      <c r="M37" s="3440"/>
      <c r="N37" s="3440"/>
      <c r="O37" s="3440"/>
      <c r="P37" s="3549"/>
      <c r="Q37" s="3458" t="str">
        <f t="shared" si="11"/>
        <v>市政基础设施</v>
      </c>
      <c r="R37" s="3443" t="s">
        <v>3606</v>
      </c>
      <c r="S37" s="3444">
        <f t="shared" si="12"/>
        <v>100</v>
      </c>
      <c r="T37" s="3443" t="s">
        <v>3606</v>
      </c>
      <c r="U37" s="3444">
        <f t="shared" si="13"/>
        <v>100</v>
      </c>
      <c r="V37" s="3443" t="s">
        <v>3606</v>
      </c>
      <c r="W37" s="3444">
        <f t="shared" si="14"/>
        <v>100</v>
      </c>
      <c r="X37" s="3445"/>
      <c r="Y37" s="3545"/>
      <c r="Z37" s="3460" t="str">
        <f t="shared" si="15"/>
        <v>市政基础设施</v>
      </c>
      <c r="AA37" s="3447">
        <f t="shared" si="3"/>
        <v>1</v>
      </c>
      <c r="AB37" s="3447">
        <f t="shared" si="4"/>
        <v>1</v>
      </c>
      <c r="AC37" s="3447">
        <f t="shared" si="5"/>
        <v>1</v>
      </c>
    </row>
    <row r="38" spans="1:29" ht="15">
      <c r="A38" s="3556"/>
      <c r="B38" s="3472" t="s">
        <v>3630</v>
      </c>
      <c r="C38" s="3558"/>
      <c r="D38" s="3486">
        <v>100</v>
      </c>
      <c r="E38" s="3558"/>
      <c r="F38" s="3536">
        <f>SUMIF(114:114,E38,115:115)-SUMIF(114:114,C38,115:115)+100</f>
        <v>100</v>
      </c>
      <c r="G38" s="3558"/>
      <c r="H38" s="3486">
        <f>SUMIF(114:114,G38,115:115)-SUMIF(114:114,C38,115:115)+100</f>
        <v>100</v>
      </c>
      <c r="I38" s="3558"/>
      <c r="J38" s="3486">
        <f>SUMIF(114:114,I38,115:115)-SUMIF(114:114,C38,115:115)+100</f>
        <v>100</v>
      </c>
      <c r="K38" s="3477">
        <v>2</v>
      </c>
      <c r="L38" s="3487"/>
      <c r="M38" s="3397"/>
      <c r="N38" s="3397"/>
      <c r="O38" s="3397"/>
      <c r="P38" s="3549" t="s">
        <v>2556</v>
      </c>
      <c r="Q38" s="3502" t="str">
        <f t="shared" si="11"/>
        <v>业态</v>
      </c>
      <c r="R38" s="3503" t="s">
        <v>3606</v>
      </c>
      <c r="S38" s="3504">
        <f t="shared" si="12"/>
        <v>100</v>
      </c>
      <c r="T38" s="3503" t="s">
        <v>3606</v>
      </c>
      <c r="U38" s="3504">
        <f t="shared" si="13"/>
        <v>100</v>
      </c>
      <c r="V38" s="3503" t="s">
        <v>3606</v>
      </c>
      <c r="W38" s="3504">
        <f t="shared" si="14"/>
        <v>100</v>
      </c>
      <c r="X38" s="3403"/>
      <c r="Y38" s="3545" t="s">
        <v>2556</v>
      </c>
      <c r="Z38" s="3506" t="str">
        <f t="shared" si="15"/>
        <v>业态</v>
      </c>
      <c r="AA38" s="3507">
        <f t="shared" si="3"/>
        <v>1</v>
      </c>
      <c r="AB38" s="3507">
        <f t="shared" si="4"/>
        <v>1</v>
      </c>
      <c r="AC38" s="3507">
        <f t="shared" si="5"/>
        <v>1</v>
      </c>
    </row>
    <row r="39" spans="1:29" ht="15" hidden="1">
      <c r="A39" s="3556"/>
      <c r="B39" s="3472" t="s">
        <v>3631</v>
      </c>
      <c r="C39" s="3558"/>
      <c r="D39" s="3486">
        <v>100</v>
      </c>
      <c r="E39" s="3558"/>
      <c r="F39" s="3536">
        <f>SUMIF(116:116,E39,117:117)-SUMIF(116:116,C39,117:117)+100</f>
        <v>100</v>
      </c>
      <c r="G39" s="3558"/>
      <c r="H39" s="3486">
        <f>SUMIF(116:116,G39,117:117)-SUMIF(116:116,C39,117:117)+100</f>
        <v>100</v>
      </c>
      <c r="I39" s="3558"/>
      <c r="J39" s="3486">
        <f>SUMIF(116:116,I39,117:117)-SUMIF(116:116,C39,117:117)+100</f>
        <v>100</v>
      </c>
      <c r="K39" s="3477">
        <v>2</v>
      </c>
      <c r="L39" s="3487"/>
      <c r="M39" s="3397"/>
      <c r="N39" s="3397"/>
      <c r="O39" s="3397"/>
      <c r="P39" s="3549"/>
      <c r="Q39" s="3502" t="str">
        <f t="shared" si="11"/>
        <v>层高</v>
      </c>
      <c r="R39" s="3503" t="s">
        <v>3606</v>
      </c>
      <c r="S39" s="3504">
        <f t="shared" si="12"/>
        <v>100</v>
      </c>
      <c r="T39" s="3503" t="s">
        <v>3606</v>
      </c>
      <c r="U39" s="3504">
        <f t="shared" si="13"/>
        <v>100</v>
      </c>
      <c r="V39" s="3503" t="s">
        <v>3606</v>
      </c>
      <c r="W39" s="3504">
        <f t="shared" si="14"/>
        <v>100</v>
      </c>
      <c r="X39" s="3403"/>
      <c r="Y39" s="3545"/>
      <c r="Z39" s="3506" t="str">
        <f t="shared" si="15"/>
        <v>层高</v>
      </c>
      <c r="AA39" s="3507">
        <f t="shared" si="3"/>
        <v>1</v>
      </c>
      <c r="AB39" s="3507">
        <f t="shared" si="4"/>
        <v>1</v>
      </c>
      <c r="AC39" s="3507">
        <f t="shared" si="5"/>
        <v>1</v>
      </c>
    </row>
    <row r="40" spans="1:29" s="3578" customFormat="1" ht="15">
      <c r="A40" s="3571"/>
      <c r="B40" s="3536" t="s">
        <v>3632</v>
      </c>
      <c r="C40" s="3483"/>
      <c r="D40" s="3486">
        <v>100</v>
      </c>
      <c r="E40" s="3483">
        <v>200</v>
      </c>
      <c r="F40" s="3536">
        <f>SUMIF(118:118,E40,119:119)-SUMIF(118:118,C40,119:119)+100</f>
        <v>100</v>
      </c>
      <c r="G40" s="3483">
        <v>238</v>
      </c>
      <c r="H40" s="3486">
        <f>SUMIF(118:118,G40,119:119)-SUMIF(118:118,C40,119:119)+100</f>
        <v>100</v>
      </c>
      <c r="I40" s="3483">
        <v>140</v>
      </c>
      <c r="J40" s="3486">
        <f>SUMIF(118:118,I40,119:119)-SUMIF(118:118,C40,119:119)+100</f>
        <v>100</v>
      </c>
      <c r="K40" s="3484"/>
      <c r="L40" s="3572"/>
      <c r="M40" s="3573"/>
      <c r="N40" s="3573"/>
      <c r="O40" s="3573"/>
      <c r="P40" s="3549"/>
      <c r="Q40" s="3574" t="str">
        <f t="shared" si="11"/>
        <v>单套建筑面积</v>
      </c>
      <c r="R40" s="3575" t="s">
        <v>3606</v>
      </c>
      <c r="S40" s="3576">
        <f t="shared" si="12"/>
        <v>100</v>
      </c>
      <c r="T40" s="3575" t="s">
        <v>3606</v>
      </c>
      <c r="U40" s="3576">
        <f t="shared" si="13"/>
        <v>100</v>
      </c>
      <c r="V40" s="3575" t="s">
        <v>3606</v>
      </c>
      <c r="W40" s="3576">
        <f t="shared" si="14"/>
        <v>100</v>
      </c>
      <c r="X40" s="3577"/>
      <c r="Y40" s="3545"/>
      <c r="Z40" s="3507" t="str">
        <f t="shared" si="15"/>
        <v>单套建筑面积</v>
      </c>
      <c r="AA40" s="3507">
        <f t="shared" si="3"/>
        <v>1</v>
      </c>
      <c r="AB40" s="3507">
        <f t="shared" si="4"/>
        <v>1</v>
      </c>
      <c r="AC40" s="3507">
        <f t="shared" si="5"/>
        <v>1</v>
      </c>
    </row>
    <row r="41" spans="1:29" s="3555" customFormat="1" ht="15" hidden="1">
      <c r="A41" s="3546"/>
      <c r="B41" s="3579" t="s">
        <v>2658</v>
      </c>
      <c r="C41" s="3535"/>
      <c r="D41" s="3486">
        <v>100</v>
      </c>
      <c r="E41" s="3535"/>
      <c r="F41" s="3536">
        <f>SUMIF(120:120,E41,121:121)-SUMIF(120:120,C41,121:121)+100</f>
        <v>100</v>
      </c>
      <c r="G41" s="3535"/>
      <c r="H41" s="3486">
        <f>SUMIF(120:120,G41,121:121)-SUMIF(120:120,C41,121:121)+100</f>
        <v>100</v>
      </c>
      <c r="I41" s="3535"/>
      <c r="J41" s="3486">
        <f>SUMIF(120:120,I41,121:121)-SUMIF(120:120,C41,121:121)+100</f>
        <v>100</v>
      </c>
      <c r="K41" s="3477">
        <v>2</v>
      </c>
      <c r="L41" s="3478"/>
      <c r="M41" s="3548"/>
      <c r="N41" s="3548"/>
      <c r="O41" s="3548"/>
      <c r="P41" s="3549"/>
      <c r="Q41" s="3550" t="str">
        <f t="shared" si="11"/>
        <v>进深比</v>
      </c>
      <c r="R41" s="3551" t="s">
        <v>3606</v>
      </c>
      <c r="S41" s="3552">
        <f t="shared" si="12"/>
        <v>100</v>
      </c>
      <c r="T41" s="3551" t="s">
        <v>3606</v>
      </c>
      <c r="U41" s="3552">
        <f t="shared" si="13"/>
        <v>100</v>
      </c>
      <c r="V41" s="3551" t="s">
        <v>3606</v>
      </c>
      <c r="W41" s="3552">
        <f t="shared" si="14"/>
        <v>100</v>
      </c>
      <c r="X41" s="3553"/>
      <c r="Y41" s="3545"/>
      <c r="Z41" s="3554" t="str">
        <f t="shared" si="15"/>
        <v>进深比</v>
      </c>
      <c r="AA41" s="3507">
        <f t="shared" si="3"/>
        <v>1</v>
      </c>
      <c r="AB41" s="3507">
        <f t="shared" si="4"/>
        <v>1</v>
      </c>
      <c r="AC41" s="3507">
        <f t="shared" si="5"/>
        <v>1</v>
      </c>
    </row>
    <row r="42" spans="1:29" ht="15">
      <c r="A42" s="3556"/>
      <c r="B42" s="3472" t="s">
        <v>2611</v>
      </c>
      <c r="C42" s="3558" t="s">
        <v>3633</v>
      </c>
      <c r="D42" s="3486">
        <v>100</v>
      </c>
      <c r="E42" s="3558" t="s">
        <v>3633</v>
      </c>
      <c r="F42" s="3536">
        <f>SUMIF(122:122,E42,123:123)-SUMIF(122:122,C42,123:123)+100</f>
        <v>100</v>
      </c>
      <c r="G42" s="3558" t="s">
        <v>3633</v>
      </c>
      <c r="H42" s="3486">
        <f>SUMIF(122:122,G42,123:123)-SUMIF(122:122,C42,123:123)+100</f>
        <v>100</v>
      </c>
      <c r="I42" s="3558" t="s">
        <v>3633</v>
      </c>
      <c r="J42" s="3486">
        <f>SUMIF(122:122,I42,123:123)-SUMIF(122:122,C42,123:123)+100</f>
        <v>100</v>
      </c>
      <c r="K42" s="3477">
        <v>2</v>
      </c>
      <c r="L42" s="3487"/>
      <c r="M42" s="3397"/>
      <c r="N42" s="3397"/>
      <c r="O42" s="3397"/>
      <c r="P42" s="3549"/>
      <c r="Q42" s="3502" t="str">
        <f t="shared" si="11"/>
        <v>内部装修</v>
      </c>
      <c r="R42" s="3503" t="s">
        <v>3606</v>
      </c>
      <c r="S42" s="3504">
        <f t="shared" si="12"/>
        <v>100</v>
      </c>
      <c r="T42" s="3503" t="s">
        <v>3606</v>
      </c>
      <c r="U42" s="3504">
        <f t="shared" si="13"/>
        <v>100</v>
      </c>
      <c r="V42" s="3503" t="s">
        <v>3606</v>
      </c>
      <c r="W42" s="3504">
        <f t="shared" si="14"/>
        <v>100</v>
      </c>
      <c r="X42" s="3403"/>
      <c r="Y42" s="3545"/>
      <c r="Z42" s="3506" t="str">
        <f t="shared" si="15"/>
        <v>内部装修</v>
      </c>
      <c r="AA42" s="3507">
        <f t="shared" si="3"/>
        <v>1</v>
      </c>
      <c r="AB42" s="3507">
        <f t="shared" si="4"/>
        <v>1</v>
      </c>
      <c r="AC42" s="3507">
        <f t="shared" si="5"/>
        <v>1</v>
      </c>
    </row>
    <row r="43" spans="1:29" ht="15.75" thickBot="1">
      <c r="A43" s="3556"/>
      <c r="B43" s="3472" t="s">
        <v>2567</v>
      </c>
      <c r="C43" s="3558" t="s">
        <v>3589</v>
      </c>
      <c r="D43" s="3486">
        <v>100</v>
      </c>
      <c r="E43" s="3558" t="s">
        <v>3589</v>
      </c>
      <c r="F43" s="3536">
        <f>SUMIF(124:124,E43,125:125)-SUMIF(124:124,C43,125:125)+100</f>
        <v>100</v>
      </c>
      <c r="G43" s="3558" t="s">
        <v>3589</v>
      </c>
      <c r="H43" s="3486">
        <f>SUMIF(124:124,G43,125:125)-SUMIF(124:124,C43,125:125)+100</f>
        <v>100</v>
      </c>
      <c r="I43" s="3558" t="s">
        <v>3589</v>
      </c>
      <c r="J43" s="3486">
        <f>SUMIF(124:124,I43,125:125)-SUMIF(124:124,C43,125:125)+100</f>
        <v>100</v>
      </c>
      <c r="K43" s="3477">
        <v>2</v>
      </c>
      <c r="L43" s="3487"/>
      <c r="M43" s="3397"/>
      <c r="N43" s="3397"/>
      <c r="O43" s="3397"/>
      <c r="P43" s="3549"/>
      <c r="Q43" s="3502" t="str">
        <f t="shared" si="11"/>
        <v>内部装修维护情况</v>
      </c>
      <c r="R43" s="3503" t="s">
        <v>3606</v>
      </c>
      <c r="S43" s="3504">
        <f t="shared" si="12"/>
        <v>100</v>
      </c>
      <c r="T43" s="3503" t="s">
        <v>3606</v>
      </c>
      <c r="U43" s="3504">
        <f t="shared" si="13"/>
        <v>100</v>
      </c>
      <c r="V43" s="3503" t="s">
        <v>3606</v>
      </c>
      <c r="W43" s="3504">
        <f t="shared" si="14"/>
        <v>100</v>
      </c>
      <c r="X43" s="3403"/>
      <c r="Y43" s="3545"/>
      <c r="Z43" s="3506" t="str">
        <f t="shared" si="15"/>
        <v>内部装修维护情况</v>
      </c>
      <c r="AA43" s="3507">
        <f t="shared" si="3"/>
        <v>1</v>
      </c>
      <c r="AB43" s="3507">
        <f t="shared" si="4"/>
        <v>1</v>
      </c>
      <c r="AC43" s="3507">
        <f t="shared" si="5"/>
        <v>1</v>
      </c>
    </row>
    <row r="44" spans="1:29" s="3448" customFormat="1" ht="15.75" hidden="1" thickBot="1">
      <c r="A44" s="3570"/>
      <c r="B44" s="3537"/>
      <c r="C44" s="3547"/>
      <c r="D44" s="3474">
        <v>100</v>
      </c>
      <c r="E44" s="3483"/>
      <c r="F44" s="3476">
        <f>SUMIF(126:126,E44,127:127)-SUMIF(126:126,C44,127:127)+100</f>
        <v>100</v>
      </c>
      <c r="G44" s="3483"/>
      <c r="H44" s="3474">
        <f>SUMIF(126:126,G44,127:127)-SUMIF(126:126,C44,127:127)+100</f>
        <v>100</v>
      </c>
      <c r="I44" s="3483"/>
      <c r="J44" s="3474">
        <f>SUMIF(126:126,I44,127:127)-SUMIF(126:126,C44,127:127)+100</f>
        <v>100</v>
      </c>
      <c r="K44" s="3484"/>
      <c r="L44" s="3439"/>
      <c r="M44" s="3440"/>
      <c r="N44" s="3440"/>
      <c r="O44" s="3440"/>
      <c r="P44" s="3549"/>
      <c r="Q44" s="3458">
        <f t="shared" si="11"/>
        <v>0</v>
      </c>
      <c r="R44" s="3443" t="s">
        <v>3606</v>
      </c>
      <c r="S44" s="3444">
        <f t="shared" si="12"/>
        <v>100</v>
      </c>
      <c r="T44" s="3443" t="s">
        <v>3606</v>
      </c>
      <c r="U44" s="3444">
        <f t="shared" si="13"/>
        <v>100</v>
      </c>
      <c r="V44" s="3443" t="s">
        <v>3606</v>
      </c>
      <c r="W44" s="3444">
        <f t="shared" si="14"/>
        <v>100</v>
      </c>
      <c r="X44" s="3445"/>
      <c r="Y44" s="3545"/>
      <c r="Z44" s="3460">
        <f t="shared" si="15"/>
        <v>0</v>
      </c>
      <c r="AA44" s="3447">
        <f t="shared" si="3"/>
        <v>1</v>
      </c>
      <c r="AB44" s="3447">
        <f t="shared" si="4"/>
        <v>1</v>
      </c>
      <c r="AC44" s="3447">
        <f t="shared" si="5"/>
        <v>1</v>
      </c>
    </row>
    <row r="45" spans="1:29" ht="15.75" hidden="1" thickBot="1">
      <c r="A45" s="3556"/>
      <c r="B45" s="3537"/>
      <c r="C45" s="3483"/>
      <c r="D45" s="3486">
        <v>100</v>
      </c>
      <c r="E45" s="3483"/>
      <c r="F45" s="3536">
        <f>SUMIF(128:128,E45,129:129)-SUMIF(128:128,C45,129:129)+100</f>
        <v>100</v>
      </c>
      <c r="G45" s="3483"/>
      <c r="H45" s="3486">
        <f>SUMIF(128:128,G45,129:129)-SUMIF(128:128,C45,129:129)+100</f>
        <v>100</v>
      </c>
      <c r="I45" s="3483"/>
      <c r="J45" s="3486">
        <f>SUMIF(128:128,I45,129:129)-SUMIF(128:128,C45,129:129)+100</f>
        <v>100</v>
      </c>
      <c r="K45" s="3484"/>
      <c r="L45" s="3487"/>
      <c r="M45" s="3397"/>
      <c r="N45" s="3397"/>
      <c r="O45" s="3397"/>
      <c r="P45" s="3549"/>
      <c r="Q45" s="3502">
        <f t="shared" si="11"/>
        <v>0</v>
      </c>
      <c r="R45" s="3503" t="s">
        <v>3606</v>
      </c>
      <c r="S45" s="3504">
        <f t="shared" si="12"/>
        <v>100</v>
      </c>
      <c r="T45" s="3503" t="s">
        <v>3606</v>
      </c>
      <c r="U45" s="3504">
        <f t="shared" si="13"/>
        <v>100</v>
      </c>
      <c r="V45" s="3503" t="s">
        <v>3606</v>
      </c>
      <c r="W45" s="3504">
        <f t="shared" si="14"/>
        <v>100</v>
      </c>
      <c r="X45" s="3403"/>
      <c r="Y45" s="3545"/>
      <c r="Z45" s="3506">
        <f t="shared" si="15"/>
        <v>0</v>
      </c>
      <c r="AA45" s="3507">
        <f t="shared" si="3"/>
        <v>1</v>
      </c>
      <c r="AB45" s="3507">
        <f t="shared" si="4"/>
        <v>1</v>
      </c>
      <c r="AC45" s="3507">
        <f t="shared" si="5"/>
        <v>1</v>
      </c>
    </row>
    <row r="46" spans="1:29" ht="15.75" hidden="1" thickBot="1">
      <c r="A46" s="3580"/>
      <c r="B46" s="3489"/>
      <c r="C46" s="3490"/>
      <c r="D46" s="3491">
        <v>100</v>
      </c>
      <c r="E46" s="3483"/>
      <c r="F46" s="3492">
        <f>SUMIF(130:130,E46,131:131)-SUMIF(130:130,C46,131:131)+100</f>
        <v>100</v>
      </c>
      <c r="G46" s="3483"/>
      <c r="H46" s="3491">
        <f>SUMIF(130:130,G46,131:131)-SUMIF(130:130,C46,131:131)+100</f>
        <v>100</v>
      </c>
      <c r="I46" s="3483"/>
      <c r="J46" s="3491">
        <f>SUMIF(130:130,I46,131:131)-SUMIF(130:130,C46,131:131)+100</f>
        <v>100</v>
      </c>
      <c r="K46" s="3484"/>
      <c r="L46" s="3487"/>
      <c r="M46" s="3397"/>
      <c r="N46" s="3397"/>
      <c r="O46" s="3397"/>
      <c r="P46" s="3581"/>
      <c r="Q46" s="3502">
        <f t="shared" si="11"/>
        <v>0</v>
      </c>
      <c r="R46" s="3503" t="s">
        <v>3606</v>
      </c>
      <c r="S46" s="3504">
        <f t="shared" si="12"/>
        <v>100</v>
      </c>
      <c r="T46" s="3503" t="s">
        <v>3606</v>
      </c>
      <c r="U46" s="3504">
        <f t="shared" si="13"/>
        <v>100</v>
      </c>
      <c r="V46" s="3503" t="s">
        <v>3606</v>
      </c>
      <c r="W46" s="3504">
        <f t="shared" si="14"/>
        <v>100</v>
      </c>
      <c r="X46" s="3403"/>
      <c r="Y46" s="3582"/>
      <c r="Z46" s="3506">
        <f t="shared" si="15"/>
        <v>0</v>
      </c>
      <c r="AA46" s="3507">
        <f t="shared" si="3"/>
        <v>1</v>
      </c>
      <c r="AB46" s="3507">
        <f t="shared" si="4"/>
        <v>1</v>
      </c>
      <c r="AC46" s="3507">
        <f t="shared" si="5"/>
        <v>1</v>
      </c>
    </row>
    <row r="47" spans="1:29" ht="15">
      <c r="A47" s="3583" t="s">
        <v>2568</v>
      </c>
      <c r="B47" s="3584"/>
      <c r="C47" s="3585" t="s">
        <v>555</v>
      </c>
      <c r="D47" s="3586"/>
      <c r="E47" s="3587">
        <f>ROUND(1010/200*10000,0)</f>
        <v>50500</v>
      </c>
      <c r="F47" s="3588"/>
      <c r="G47" s="3589">
        <f>ROUND(1108/238*10000,0)</f>
        <v>46555</v>
      </c>
      <c r="H47" s="3590"/>
      <c r="I47" s="3589">
        <f>ROUND(702/140*10000,0)</f>
        <v>50143</v>
      </c>
      <c r="J47" s="3590"/>
      <c r="K47" s="3591"/>
      <c r="L47" s="3592"/>
      <c r="M47" s="3593"/>
      <c r="N47" s="3397"/>
      <c r="O47" s="3593"/>
      <c r="P47" s="3594" t="str">
        <f>A47</f>
        <v>成交单价（元/平方米）</v>
      </c>
      <c r="Q47" s="3594"/>
      <c r="R47" s="3402">
        <f>E47</f>
        <v>50500</v>
      </c>
      <c r="S47" s="3402"/>
      <c r="T47" s="3402">
        <f>G47</f>
        <v>46555</v>
      </c>
      <c r="U47" s="3402"/>
      <c r="V47" s="3402">
        <f>I47</f>
        <v>50143</v>
      </c>
      <c r="W47" s="3402"/>
      <c r="X47" s="3595"/>
      <c r="Y47" s="3596"/>
      <c r="Z47" s="3595"/>
      <c r="AA47" s="3595"/>
      <c r="AB47" s="3595"/>
      <c r="AC47" s="3595"/>
    </row>
    <row r="48" spans="1:29" ht="15.75" thickBot="1">
      <c r="A48" s="3597" t="s">
        <v>2569</v>
      </c>
      <c r="B48" s="3598"/>
      <c r="C48" s="3599">
        <f>R49</f>
        <v>45548</v>
      </c>
      <c r="D48" s="3600"/>
      <c r="E48" s="3601">
        <f>R48</f>
        <v>46694</v>
      </c>
      <c r="F48" s="3601"/>
      <c r="G48" s="3599">
        <f>T48</f>
        <v>47578</v>
      </c>
      <c r="H48" s="3600"/>
      <c r="I48" s="3601">
        <f>V48</f>
        <v>42371</v>
      </c>
      <c r="J48" s="3600"/>
      <c r="K48" s="3602"/>
      <c r="L48" s="3592"/>
      <c r="M48" s="3593"/>
      <c r="N48" s="3397"/>
      <c r="O48" s="3593"/>
      <c r="P48" s="3594" t="str">
        <f>A48</f>
        <v>比较价值（元/平方米）</v>
      </c>
      <c r="Q48" s="3594"/>
      <c r="R48" s="3603">
        <f>IF(F1="售价",ROUND(PRODUCT(R47,AA7:AA46),0),ROUND(PRODUCT(R47,AA7:AA46),1))</f>
        <v>46694</v>
      </c>
      <c r="S48" s="3603"/>
      <c r="T48" s="3603">
        <f>IF(F1="售价",ROUND(PRODUCT(T47,AB7:AB46),0),ROUND(PRODUCT(T47,AB7:AB46),1))</f>
        <v>47578</v>
      </c>
      <c r="U48" s="3603"/>
      <c r="V48" s="3603">
        <f>IF(F1="售价",ROUND(PRODUCT(V47,AC7:AC46),0),ROUND(PRODUCT(V47,AC7:AC46),1))</f>
        <v>42371</v>
      </c>
      <c r="W48" s="3603"/>
      <c r="X48" s="3595"/>
      <c r="Y48" s="3595"/>
      <c r="Z48" s="3595"/>
      <c r="AA48" s="3595"/>
      <c r="AB48" s="3595"/>
      <c r="AC48" s="3595"/>
    </row>
    <row r="49" spans="1:29" ht="15.75" thickBot="1">
      <c r="A49" s="3604" t="s">
        <v>2570</v>
      </c>
      <c r="B49" s="3605"/>
      <c r="C49" s="3606">
        <f>R49</f>
        <v>45548</v>
      </c>
      <c r="D49" s="3606"/>
      <c r="E49" s="3606"/>
      <c r="F49" s="3606"/>
      <c r="G49" s="3606"/>
      <c r="H49" s="3606"/>
      <c r="I49" s="3606"/>
      <c r="J49" s="3606"/>
      <c r="K49" s="3607"/>
      <c r="L49" s="3592"/>
      <c r="M49" s="3593"/>
      <c r="N49" s="3397"/>
      <c r="O49" s="3593"/>
      <c r="P49" s="3608" t="str">
        <f>A49</f>
        <v>估价对象XX用房的比较价值（楼面单价，元/平方米）</v>
      </c>
      <c r="Q49" s="3609"/>
      <c r="R49" s="3610">
        <f>IF(F1="售价",ROUND(AVERAGE(R48:V48),0),ROUND(AVERAGE(R48:V48),1))</f>
        <v>45548</v>
      </c>
      <c r="S49" s="3610"/>
      <c r="T49" s="3610"/>
      <c r="U49" s="3610"/>
      <c r="V49" s="3610"/>
      <c r="W49" s="3610"/>
      <c r="X49" s="3595"/>
      <c r="Y49" s="3595"/>
      <c r="Z49" s="3595"/>
      <c r="AA49" s="3595"/>
      <c r="AB49" s="3595"/>
      <c r="AC49" s="3595"/>
    </row>
    <row r="50" spans="1:29" ht="14.25">
      <c r="A50" s="3593"/>
      <c r="B50" s="3593"/>
      <c r="C50" s="3593"/>
      <c r="D50" s="3593"/>
      <c r="E50" s="3593"/>
      <c r="F50" s="3593"/>
      <c r="G50" s="3611"/>
      <c r="H50" s="3593"/>
      <c r="I50" s="3593"/>
      <c r="J50" s="3593"/>
      <c r="K50" s="3612"/>
      <c r="L50" s="3613"/>
      <c r="M50" s="3593"/>
      <c r="N50" s="3593"/>
      <c r="O50" s="3593"/>
      <c r="P50" s="3614"/>
      <c r="Q50" s="3595"/>
      <c r="R50" s="3595"/>
      <c r="S50" s="3595"/>
      <c r="T50" s="3595"/>
      <c r="U50" s="3595"/>
      <c r="V50" s="3595"/>
      <c r="W50" s="3595"/>
      <c r="X50" s="3595"/>
      <c r="Y50" s="3595"/>
      <c r="Z50" s="3595"/>
      <c r="AA50" s="3595"/>
      <c r="AB50" s="3595"/>
      <c r="AC50" s="3595"/>
    </row>
    <row r="51" spans="1:29" ht="14.25">
      <c r="A51" s="3593"/>
      <c r="B51" s="3593"/>
      <c r="C51" s="3593"/>
      <c r="D51" s="3593"/>
      <c r="E51" s="3593"/>
      <c r="F51" s="3593"/>
      <c r="G51" s="3593"/>
      <c r="H51" s="3593"/>
      <c r="I51" s="3593"/>
      <c r="J51" s="3593"/>
      <c r="K51" s="3612"/>
      <c r="L51" s="3613"/>
      <c r="M51" s="3593"/>
      <c r="N51" s="3593"/>
      <c r="O51" s="3593"/>
      <c r="P51" s="3614"/>
      <c r="Q51" s="3595"/>
      <c r="R51" s="3595"/>
      <c r="S51" s="3595"/>
      <c r="T51" s="3595"/>
      <c r="U51" s="3595"/>
      <c r="V51" s="3595"/>
      <c r="W51" s="3595"/>
      <c r="X51" s="3595"/>
      <c r="Y51" s="3595"/>
      <c r="Z51" s="3595"/>
      <c r="AA51" s="3595"/>
      <c r="AB51" s="3595"/>
      <c r="AC51" s="3595"/>
    </row>
    <row r="52" spans="1:29" ht="13.5" customHeight="1">
      <c r="A52" s="3593"/>
      <c r="B52" s="3593"/>
      <c r="C52" s="3615" t="s">
        <v>2571</v>
      </c>
      <c r="D52" s="3616"/>
      <c r="E52" s="3617">
        <f>IF(E47&lt;E48,E48/E47-1,E47/E48-1)</f>
        <v>8.1509401636184586E-2</v>
      </c>
      <c r="F52" s="3618" t="str">
        <f>IF(OR(E52&gt;=0.3,E52&lt;=-0.3),"超过30%","")</f>
        <v/>
      </c>
      <c r="G52" s="3617">
        <f>IF(G47&lt;G48,G48/G47-1,G47/G48-1)</f>
        <v>2.1974009236387149E-2</v>
      </c>
      <c r="H52" s="3618" t="str">
        <f>IF(OR(G52&gt;=0.3,G52&lt;=-0.3),"超过30%","")</f>
        <v/>
      </c>
      <c r="I52" s="3617">
        <f>IF(I47&lt;I48,I48/I47-1,I47/I48-1)</f>
        <v>0.18342734417408124</v>
      </c>
      <c r="J52" s="3618" t="str">
        <f>IF(OR(I52&gt;=0.3,I52&lt;=-0.3),"超过30%","")</f>
        <v/>
      </c>
      <c r="K52" s="3612"/>
      <c r="L52" s="3613"/>
      <c r="M52" s="3593"/>
      <c r="N52" s="3593"/>
      <c r="O52" s="3593"/>
      <c r="P52" s="3614"/>
      <c r="Q52" s="3595"/>
      <c r="R52" s="3595"/>
      <c r="S52" s="3595"/>
      <c r="T52" s="3595"/>
      <c r="U52" s="3595"/>
      <c r="V52" s="3595"/>
      <c r="W52" s="3595"/>
      <c r="X52" s="3595"/>
      <c r="Y52" s="3595"/>
      <c r="Z52" s="3595"/>
      <c r="AA52" s="3595"/>
      <c r="AB52" s="3595"/>
      <c r="AC52" s="3595"/>
    </row>
    <row r="53" spans="1:29" ht="13.5" customHeight="1">
      <c r="A53" s="3593"/>
      <c r="B53" s="3593"/>
      <c r="C53" s="3615" t="s">
        <v>2572</v>
      </c>
      <c r="D53" s="3619"/>
      <c r="E53" s="3617">
        <f>IF(E48&lt;G48,G48/E48-1,E48/G48-1)</f>
        <v>1.8931768535572102E-2</v>
      </c>
      <c r="F53" s="3618" t="str">
        <f>IF(OR(E53&gt;=0.2,E53&lt;=-0.2),"超过20%","")</f>
        <v/>
      </c>
      <c r="G53" s="3617">
        <f>IF(G48&lt;I48,I48/G48-1,G48/I48-1)</f>
        <v>0.12289065634514174</v>
      </c>
      <c r="H53" s="3618" t="str">
        <f>IF(OR(G53&gt;=0.2,G53&lt;=-0.2),"超过20%","")</f>
        <v/>
      </c>
      <c r="I53" s="3617">
        <f>IF(I48&lt;E48,E48/I48-1,I48/E48-1)</f>
        <v>0.10202733001345266</v>
      </c>
      <c r="J53" s="3618" t="str">
        <f>IF(OR(I53&gt;=0.2,I53&lt;=-0.2),"超过20%","")</f>
        <v/>
      </c>
      <c r="K53" s="3612"/>
      <c r="L53" s="3613"/>
      <c r="M53" s="3593"/>
      <c r="N53" s="3593"/>
      <c r="O53" s="3593"/>
      <c r="P53" s="3614"/>
      <c r="Q53" s="3595"/>
      <c r="R53" s="3595"/>
      <c r="S53" s="3595"/>
      <c r="T53" s="3595"/>
      <c r="U53" s="3595"/>
      <c r="V53" s="3595"/>
      <c r="W53" s="3595"/>
      <c r="X53" s="3595"/>
      <c r="Y53" s="3595"/>
      <c r="Z53" s="3595"/>
      <c r="AA53" s="3595"/>
      <c r="AB53" s="3595"/>
      <c r="AC53" s="3595"/>
    </row>
    <row r="54" spans="1:29" s="3625" customFormat="1" ht="13.5" customHeight="1">
      <c r="A54" s="3620"/>
      <c r="B54" s="3620"/>
      <c r="C54" s="3615" t="s">
        <v>3634</v>
      </c>
      <c r="D54" s="3619"/>
      <c r="E54" s="3617">
        <f>IF(E47&lt;G47,G47/E47-1,E47/G47-1)</f>
        <v>8.4738481366126051E-2</v>
      </c>
      <c r="F54" s="3618" t="str">
        <f>IF(OR(E54&gt;=0.3,E54&lt;=-0.3),"超过30%","")</f>
        <v/>
      </c>
      <c r="G54" s="3617">
        <f>IF(G47&lt;I47,I47/G47-1,G47/I47-1)</f>
        <v>7.7070132101815014E-2</v>
      </c>
      <c r="H54" s="3618" t="str">
        <f>IF(OR(G54&gt;=0.3,G54&lt;=-0.3),"超过30%","")</f>
        <v/>
      </c>
      <c r="I54" s="3617">
        <f>IF(I47&lt;E47,E47/I47-1,I47/E47-1)</f>
        <v>7.1196378357896162E-3</v>
      </c>
      <c r="J54" s="3618" t="str">
        <f>IF(OR(I54&gt;=0.3,I54&lt;=-0.3),"超过30%","")</f>
        <v/>
      </c>
      <c r="K54" s="3621"/>
      <c r="L54" s="3622"/>
      <c r="M54" s="3620"/>
      <c r="N54" s="3620"/>
      <c r="O54" s="3620"/>
      <c r="P54" s="3623"/>
      <c r="Q54" s="3624"/>
      <c r="R54" s="3624"/>
      <c r="S54" s="3624"/>
      <c r="T54" s="3624"/>
      <c r="U54" s="3624"/>
      <c r="V54" s="3624"/>
      <c r="W54" s="3624"/>
      <c r="X54" s="3624"/>
      <c r="Y54" s="3624"/>
      <c r="Z54" s="3624"/>
      <c r="AA54" s="3624"/>
      <c r="AB54" s="3624"/>
      <c r="AC54" s="3624"/>
    </row>
    <row r="55" spans="1:29" s="3625" customFormat="1" ht="14.25">
      <c r="A55" s="3620"/>
      <c r="B55" s="3626"/>
      <c r="C55" s="3627"/>
      <c r="D55" s="3620"/>
      <c r="E55" s="3620"/>
      <c r="F55" s="3620"/>
      <c r="G55" s="3620"/>
      <c r="H55" s="3620"/>
      <c r="I55" s="3620"/>
      <c r="J55" s="3620"/>
      <c r="K55" s="3621"/>
      <c r="L55" s="3622"/>
      <c r="M55" s="3620"/>
      <c r="N55" s="3620"/>
      <c r="O55" s="3620"/>
      <c r="P55" s="3623"/>
      <c r="Q55" s="3624"/>
      <c r="R55" s="3624"/>
      <c r="S55" s="3624"/>
      <c r="T55" s="3624"/>
      <c r="U55" s="3624"/>
      <c r="V55" s="3624"/>
      <c r="W55" s="3624"/>
      <c r="X55" s="3624"/>
      <c r="Y55" s="3624"/>
      <c r="Z55" s="3624"/>
      <c r="AA55" s="3624"/>
      <c r="AB55" s="3624"/>
      <c r="AC55" s="3624"/>
    </row>
    <row r="56" spans="1:29" ht="14.25">
      <c r="A56" s="3593"/>
      <c r="B56" s="3626"/>
      <c r="C56" s="3627"/>
      <c r="D56" s="3593"/>
      <c r="E56" s="3593"/>
      <c r="F56" s="3593"/>
      <c r="G56" s="3593"/>
      <c r="H56" s="3593"/>
      <c r="I56" s="3593"/>
      <c r="J56" s="3593"/>
      <c r="K56" s="3612"/>
      <c r="L56" s="3613"/>
      <c r="M56" s="3593"/>
      <c r="N56" s="3593"/>
      <c r="O56" s="3593"/>
      <c r="P56" s="3614"/>
      <c r="Q56" s="3595"/>
      <c r="R56" s="3595"/>
      <c r="S56" s="3595"/>
      <c r="T56" s="3595"/>
      <c r="U56" s="3595"/>
      <c r="V56" s="3595"/>
      <c r="W56" s="3595"/>
      <c r="X56" s="3595"/>
      <c r="Y56" s="3595"/>
      <c r="Z56" s="3595"/>
      <c r="AA56" s="3595"/>
      <c r="AB56" s="3595"/>
      <c r="AC56" s="3595"/>
    </row>
    <row r="57" spans="1:29" ht="21.75" thickBot="1">
      <c r="A57" s="3628" t="s">
        <v>3635</v>
      </c>
      <c r="B57" s="3595"/>
      <c r="C57" s="3629"/>
      <c r="D57" s="3629"/>
      <c r="E57" s="3629"/>
      <c r="F57" s="3630"/>
      <c r="G57" s="3630"/>
      <c r="H57" s="3629"/>
      <c r="I57" s="3629"/>
      <c r="J57" s="3629"/>
      <c r="K57" s="3631"/>
      <c r="L57" s="3632"/>
      <c r="M57" s="3633"/>
      <c r="N57" s="3633"/>
      <c r="O57" s="3633"/>
      <c r="P57" s="3634"/>
      <c r="Q57" s="3635"/>
      <c r="R57" s="3595"/>
      <c r="S57" s="3595"/>
      <c r="T57" s="3595"/>
      <c r="U57" s="3595"/>
      <c r="V57" s="3595"/>
      <c r="W57" s="3595"/>
      <c r="X57" s="3595"/>
      <c r="Y57" s="3595"/>
      <c r="Z57" s="3595"/>
      <c r="AA57" s="3595"/>
      <c r="AB57" s="3595"/>
      <c r="AC57" s="3595"/>
    </row>
    <row r="58" spans="1:29" s="3641" customFormat="1" ht="15">
      <c r="A58" s="3636" t="s">
        <v>3636</v>
      </c>
      <c r="B58" s="3637"/>
      <c r="C58" s="3638" t="str">
        <f>YEAR(C7)&amp;"-"&amp;MONTH(C7)</f>
        <v>2018-3</v>
      </c>
      <c r="D58" s="3639">
        <f>EDATE(C58,-1)</f>
        <v>43132</v>
      </c>
      <c r="E58" s="3639">
        <f t="shared" ref="E58:N58" si="16">EDATE(D58,-1)</f>
        <v>43101</v>
      </c>
      <c r="F58" s="3639">
        <f t="shared" si="16"/>
        <v>43070</v>
      </c>
      <c r="G58" s="3639">
        <f t="shared" si="16"/>
        <v>43040</v>
      </c>
      <c r="H58" s="3639">
        <f t="shared" si="16"/>
        <v>43009</v>
      </c>
      <c r="I58" s="3639">
        <f t="shared" si="16"/>
        <v>42979</v>
      </c>
      <c r="J58" s="3639">
        <f t="shared" si="16"/>
        <v>42948</v>
      </c>
      <c r="K58" s="3639">
        <f t="shared" si="16"/>
        <v>42917</v>
      </c>
      <c r="L58" s="3639">
        <f t="shared" si="16"/>
        <v>42887</v>
      </c>
      <c r="M58" s="3639">
        <f t="shared" si="16"/>
        <v>42856</v>
      </c>
      <c r="N58" s="3639">
        <f t="shared" si="16"/>
        <v>42826</v>
      </c>
      <c r="O58" s="3639">
        <f>EDATE(N58,-1)</f>
        <v>42795</v>
      </c>
      <c r="P58" s="3640"/>
    </row>
    <row r="59" spans="1:29" s="3448" customFormat="1" ht="15">
      <c r="A59" s="3642"/>
      <c r="B59" s="3643"/>
      <c r="C59" s="3644">
        <v>100</v>
      </c>
      <c r="D59" s="3645"/>
      <c r="E59" s="3645"/>
      <c r="F59" s="3645"/>
      <c r="G59" s="3645"/>
      <c r="H59" s="3645"/>
      <c r="I59" s="3645"/>
      <c r="J59" s="3645"/>
      <c r="K59" s="3645"/>
      <c r="L59" s="3645"/>
      <c r="M59" s="3646"/>
      <c r="N59" s="3645"/>
      <c r="O59" s="3646"/>
      <c r="P59" s="3647"/>
    </row>
    <row r="60" spans="1:29" s="3448" customFormat="1" ht="15.75" thickBot="1">
      <c r="A60" s="3648" t="s">
        <v>3637</v>
      </c>
      <c r="B60" s="3649"/>
      <c r="C60" s="3650"/>
      <c r="D60" s="3651"/>
      <c r="E60" s="3651"/>
      <c r="F60" s="3651"/>
      <c r="G60" s="3651"/>
      <c r="H60" s="3651"/>
      <c r="I60" s="3651"/>
      <c r="J60" s="3651"/>
      <c r="K60" s="3651"/>
      <c r="L60" s="3651"/>
      <c r="M60" s="3652"/>
      <c r="N60" s="3651"/>
      <c r="O60" s="3652"/>
      <c r="P60" s="3647"/>
      <c r="Q60" s="3653"/>
    </row>
    <row r="61" spans="1:29" s="3448" customFormat="1" ht="15">
      <c r="A61" s="3654" t="s">
        <v>2541</v>
      </c>
      <c r="B61" s="3643"/>
      <c r="C61" s="3655" t="s">
        <v>3607</v>
      </c>
      <c r="D61" s="3656"/>
      <c r="E61" s="3656"/>
      <c r="F61" s="3656"/>
      <c r="G61" s="3656"/>
      <c r="H61" s="3656"/>
      <c r="I61" s="3656"/>
      <c r="J61" s="3656"/>
      <c r="K61" s="3656"/>
      <c r="L61" s="3657"/>
      <c r="M61" s="3658"/>
      <c r="N61" s="3659"/>
      <c r="O61" s="3659"/>
      <c r="P61" s="3660"/>
      <c r="Q61" s="3653"/>
    </row>
    <row r="62" spans="1:29" s="3448" customFormat="1" ht="15.75" thickBot="1">
      <c r="A62" s="3654"/>
      <c r="B62" s="3643"/>
      <c r="C62" s="3661">
        <v>100</v>
      </c>
      <c r="D62" s="3645"/>
      <c r="E62" s="3645"/>
      <c r="F62" s="3645"/>
      <c r="G62" s="3645"/>
      <c r="H62" s="3645"/>
      <c r="I62" s="3645"/>
      <c r="J62" s="3645"/>
      <c r="K62" s="3645"/>
      <c r="L62" s="3645"/>
      <c r="M62" s="3662"/>
      <c r="N62" s="3659"/>
      <c r="O62" s="3659"/>
      <c r="P62" s="3647"/>
      <c r="Q62" s="3653"/>
    </row>
    <row r="63" spans="1:29" ht="14.25">
      <c r="A63" s="3663" t="s">
        <v>2579</v>
      </c>
      <c r="B63" s="3664" t="s">
        <v>2545</v>
      </c>
      <c r="C63" s="3665" t="str">
        <f>C9</f>
        <v>商业</v>
      </c>
      <c r="D63" s="3666"/>
      <c r="E63" s="3666"/>
      <c r="F63" s="3666"/>
      <c r="G63" s="3666"/>
      <c r="H63" s="3666"/>
      <c r="I63" s="3666"/>
      <c r="J63" s="3666"/>
      <c r="K63" s="3667"/>
      <c r="L63" s="3668"/>
      <c r="M63" s="3669"/>
      <c r="N63" s="3670"/>
      <c r="O63" s="3670"/>
      <c r="P63" s="3671"/>
      <c r="Q63" s="3653"/>
      <c r="R63" s="3405"/>
      <c r="S63" s="3405"/>
      <c r="T63" s="3405"/>
      <c r="U63" s="3405"/>
      <c r="V63" s="3405"/>
      <c r="W63" s="3405"/>
      <c r="X63" s="3405"/>
      <c r="Y63" s="3405"/>
      <c r="Z63" s="3405"/>
      <c r="AA63" s="3405"/>
      <c r="AB63" s="3405"/>
      <c r="AC63" s="3405"/>
    </row>
    <row r="64" spans="1:29" ht="15.75" thickBot="1">
      <c r="A64" s="3672"/>
      <c r="B64" s="3673"/>
      <c r="C64" s="3674">
        <v>100</v>
      </c>
      <c r="D64" s="3674"/>
      <c r="E64" s="3674"/>
      <c r="F64" s="3674"/>
      <c r="G64" s="3674"/>
      <c r="H64" s="3674"/>
      <c r="I64" s="3674"/>
      <c r="J64" s="3674"/>
      <c r="K64" s="3674"/>
      <c r="L64" s="3674"/>
      <c r="M64" s="3675"/>
      <c r="N64" s="3572"/>
      <c r="O64" s="3572"/>
      <c r="P64" s="3671"/>
      <c r="Q64" s="3653"/>
      <c r="R64" s="3405"/>
      <c r="S64" s="3405"/>
      <c r="T64" s="3405"/>
      <c r="U64" s="3405"/>
      <c r="V64" s="3405"/>
      <c r="W64" s="3405"/>
      <c r="X64" s="3405"/>
      <c r="Y64" s="3405"/>
      <c r="Z64" s="3405"/>
      <c r="AA64" s="3405"/>
      <c r="AB64" s="3405"/>
      <c r="AC64" s="3405"/>
    </row>
    <row r="65" spans="1:17" ht="28.5" thickTop="1">
      <c r="A65" s="3672"/>
      <c r="B65" s="3676" t="s">
        <v>2548</v>
      </c>
      <c r="C65" s="3677" t="s">
        <v>3638</v>
      </c>
      <c r="D65" s="3677" t="s">
        <v>3639</v>
      </c>
      <c r="E65" s="3677" t="s">
        <v>3640</v>
      </c>
      <c r="F65" s="3677" t="s">
        <v>3641</v>
      </c>
      <c r="G65" s="3677" t="s">
        <v>3642</v>
      </c>
      <c r="H65" s="3677" t="s">
        <v>3643</v>
      </c>
      <c r="I65" s="3677" t="s">
        <v>3644</v>
      </c>
      <c r="J65" s="3677"/>
      <c r="K65" s="3678"/>
      <c r="L65" s="3679"/>
      <c r="M65" s="3680"/>
      <c r="N65" s="3670"/>
      <c r="O65" s="3670"/>
      <c r="P65" s="3671"/>
      <c r="Q65" s="3653"/>
    </row>
    <row r="66" spans="1:17" ht="15.75" thickBot="1">
      <c r="A66" s="3672"/>
      <c r="B66" s="3681"/>
      <c r="C66" s="3682" t="s">
        <v>1029</v>
      </c>
      <c r="D66" s="3682" t="s">
        <v>1029</v>
      </c>
      <c r="E66" s="3682" t="s">
        <v>1029</v>
      </c>
      <c r="F66" s="3682">
        <v>100</v>
      </c>
      <c r="G66" s="3682">
        <f>F66-$K10</f>
        <v>100</v>
      </c>
      <c r="H66" s="3682">
        <f>G66-$K10</f>
        <v>100</v>
      </c>
      <c r="I66" s="3682">
        <f>H66-$K10</f>
        <v>100</v>
      </c>
      <c r="J66" s="3682"/>
      <c r="K66" s="3682"/>
      <c r="L66" s="3682"/>
      <c r="M66" s="3683"/>
      <c r="N66" s="3572"/>
      <c r="O66" s="3572"/>
      <c r="P66" s="3671"/>
      <c r="Q66" s="3653"/>
    </row>
    <row r="67" spans="1:17" ht="15.75" thickTop="1">
      <c r="A67" s="3672"/>
      <c r="B67" s="3684" t="s">
        <v>2549</v>
      </c>
      <c r="C67" s="3685" t="str">
        <f>C68&amp;"（含）"&amp;"-"&amp;D68</f>
        <v>0（含）-</v>
      </c>
      <c r="D67" s="3685" t="str">
        <f t="shared" ref="D67:L67" si="17">D68&amp;"（含）"&amp;"-"&amp;E68</f>
        <v>（含）-</v>
      </c>
      <c r="E67" s="3685" t="str">
        <f t="shared" si="17"/>
        <v>（含）-</v>
      </c>
      <c r="F67" s="3685" t="str">
        <f t="shared" si="17"/>
        <v>（含）-</v>
      </c>
      <c r="G67" s="3685" t="str">
        <f t="shared" si="17"/>
        <v>（含）-</v>
      </c>
      <c r="H67" s="3685" t="str">
        <f t="shared" si="17"/>
        <v>（含）-</v>
      </c>
      <c r="I67" s="3685" t="str">
        <f t="shared" si="17"/>
        <v>（含）-</v>
      </c>
      <c r="J67" s="3685" t="str">
        <f t="shared" si="17"/>
        <v>（含）-</v>
      </c>
      <c r="K67" s="3685" t="str">
        <f t="shared" si="17"/>
        <v>（含）-</v>
      </c>
      <c r="L67" s="3685" t="str">
        <f t="shared" si="17"/>
        <v>（含）-</v>
      </c>
      <c r="M67" s="3510" t="str">
        <f>M68&amp;"（含）"&amp;"-"&amp;P68</f>
        <v>（含）-</v>
      </c>
      <c r="N67" s="3572"/>
      <c r="O67" s="3572"/>
      <c r="P67" s="3671"/>
      <c r="Q67" s="3653"/>
    </row>
    <row r="68" spans="1:17" ht="15">
      <c r="A68" s="3672"/>
      <c r="B68" s="3686"/>
      <c r="C68" s="3687">
        <v>0</v>
      </c>
      <c r="D68" s="3687"/>
      <c r="E68" s="3687"/>
      <c r="F68" s="3687"/>
      <c r="G68" s="3687"/>
      <c r="H68" s="3687"/>
      <c r="I68" s="3687"/>
      <c r="J68" s="3687"/>
      <c r="K68" s="3688"/>
      <c r="L68" s="3689"/>
      <c r="M68" s="3690"/>
      <c r="N68" s="3670"/>
      <c r="O68" s="3670"/>
      <c r="P68" s="3671"/>
      <c r="Q68" s="3653"/>
    </row>
    <row r="69" spans="1:17" ht="15.75" thickBot="1">
      <c r="A69" s="3672"/>
      <c r="B69" s="3673"/>
      <c r="C69" s="3682">
        <v>100</v>
      </c>
      <c r="D69" s="3682">
        <f t="shared" ref="D69:M69" si="18">C69-$K11</f>
        <v>100</v>
      </c>
      <c r="E69" s="3682">
        <f t="shared" si="18"/>
        <v>100</v>
      </c>
      <c r="F69" s="3682">
        <f t="shared" si="18"/>
        <v>100</v>
      </c>
      <c r="G69" s="3682">
        <f t="shared" si="18"/>
        <v>100</v>
      </c>
      <c r="H69" s="3682">
        <f t="shared" si="18"/>
        <v>100</v>
      </c>
      <c r="I69" s="3682">
        <f t="shared" si="18"/>
        <v>100</v>
      </c>
      <c r="J69" s="3682">
        <f t="shared" si="18"/>
        <v>100</v>
      </c>
      <c r="K69" s="3682">
        <f t="shared" si="18"/>
        <v>100</v>
      </c>
      <c r="L69" s="3682">
        <f t="shared" si="18"/>
        <v>100</v>
      </c>
      <c r="M69" s="3683">
        <f t="shared" si="18"/>
        <v>100</v>
      </c>
      <c r="N69" s="3572"/>
      <c r="O69" s="3572"/>
      <c r="P69" s="3671"/>
      <c r="Q69" s="3653"/>
    </row>
    <row r="70" spans="1:17" s="3555" customFormat="1" ht="16.5" hidden="1" thickTop="1" thickBot="1">
      <c r="A70" s="3691"/>
      <c r="B70" s="3676" t="str">
        <f>B12</f>
        <v>剩余年限</v>
      </c>
      <c r="C70" s="3692"/>
      <c r="D70" s="3692"/>
      <c r="E70" s="3692"/>
      <c r="F70" s="3692"/>
      <c r="G70" s="3692"/>
      <c r="H70" s="3693"/>
      <c r="I70" s="3693"/>
      <c r="J70" s="3693"/>
      <c r="K70" s="3693"/>
      <c r="L70" s="3694"/>
      <c r="M70" s="3695"/>
      <c r="N70" s="3696"/>
      <c r="O70" s="3696"/>
      <c r="P70" s="3697"/>
      <c r="Q70" s="3698"/>
    </row>
    <row r="71" spans="1:17" s="3555" customFormat="1" ht="16.5" hidden="1" thickTop="1" thickBot="1">
      <c r="A71" s="3691"/>
      <c r="B71" s="3681"/>
      <c r="C71" s="3699"/>
      <c r="D71" s="3674"/>
      <c r="E71" s="3674"/>
      <c r="F71" s="3674"/>
      <c r="G71" s="3674"/>
      <c r="H71" s="3674"/>
      <c r="I71" s="3674"/>
      <c r="J71" s="3674"/>
      <c r="K71" s="3674"/>
      <c r="L71" s="3674"/>
      <c r="M71" s="3675"/>
      <c r="N71" s="3572"/>
      <c r="O71" s="3572"/>
      <c r="P71" s="3697"/>
      <c r="Q71" s="3698"/>
    </row>
    <row r="72" spans="1:17" s="3555" customFormat="1" ht="16.5" hidden="1" thickTop="1" thickBot="1">
      <c r="A72" s="3691"/>
      <c r="B72" s="3676">
        <f>B13</f>
        <v>0</v>
      </c>
      <c r="C72" s="3692"/>
      <c r="D72" s="3692"/>
      <c r="E72" s="3692"/>
      <c r="F72" s="3692"/>
      <c r="G72" s="3692"/>
      <c r="H72" s="3693"/>
      <c r="I72" s="3693"/>
      <c r="J72" s="3693"/>
      <c r="K72" s="3693"/>
      <c r="L72" s="3694"/>
      <c r="M72" s="3695"/>
      <c r="N72" s="3696"/>
      <c r="O72" s="3696"/>
      <c r="P72" s="3700"/>
      <c r="Q72" s="3701"/>
    </row>
    <row r="73" spans="1:17" s="3555" customFormat="1" ht="16.5" hidden="1" thickTop="1" thickBot="1">
      <c r="A73" s="3691"/>
      <c r="B73" s="3681"/>
      <c r="C73" s="3699"/>
      <c r="D73" s="3674"/>
      <c r="E73" s="3674"/>
      <c r="F73" s="3674"/>
      <c r="G73" s="3699"/>
      <c r="H73" s="3702"/>
      <c r="I73" s="3702"/>
      <c r="J73" s="3702"/>
      <c r="K73" s="3702"/>
      <c r="L73" s="3702"/>
      <c r="M73" s="3703"/>
      <c r="N73" s="3696"/>
      <c r="O73" s="3696"/>
      <c r="P73" s="3697"/>
      <c r="Q73" s="3698"/>
    </row>
    <row r="74" spans="1:17" s="3555" customFormat="1" ht="16.5" hidden="1" thickTop="1" thickBot="1">
      <c r="A74" s="3691"/>
      <c r="B74" s="3684">
        <f>B14</f>
        <v>0</v>
      </c>
      <c r="C74" s="3692"/>
      <c r="D74" s="3692"/>
      <c r="E74" s="3692"/>
      <c r="F74" s="3692"/>
      <c r="G74" s="3656"/>
      <c r="H74" s="3704"/>
      <c r="I74" s="3704"/>
      <c r="J74" s="3704"/>
      <c r="K74" s="3704"/>
      <c r="L74" s="3705"/>
      <c r="M74" s="3706"/>
      <c r="N74" s="3696"/>
      <c r="O74" s="3696"/>
      <c r="P74" s="3707"/>
      <c r="Q74" s="3698"/>
    </row>
    <row r="75" spans="1:17" s="3555" customFormat="1" ht="16.5" hidden="1" thickTop="1" thickBot="1">
      <c r="A75" s="3708"/>
      <c r="B75" s="3709"/>
      <c r="C75" s="3710"/>
      <c r="D75" s="3710"/>
      <c r="E75" s="3710"/>
      <c r="F75" s="3710"/>
      <c r="G75" s="3710"/>
      <c r="H75" s="3711"/>
      <c r="I75" s="3711"/>
      <c r="J75" s="3711"/>
      <c r="K75" s="3711"/>
      <c r="L75" s="3711"/>
      <c r="M75" s="3712"/>
      <c r="N75" s="3696"/>
      <c r="O75" s="3696"/>
      <c r="P75" s="3697"/>
      <c r="Q75" s="3698"/>
    </row>
    <row r="76" spans="1:17" ht="15" thickTop="1">
      <c r="A76" s="3663" t="s">
        <v>2550</v>
      </c>
      <c r="B76" s="3664" t="s">
        <v>2587</v>
      </c>
      <c r="C76" s="3713" t="s">
        <v>2588</v>
      </c>
      <c r="D76" s="3713" t="s">
        <v>3645</v>
      </c>
      <c r="E76" s="3713" t="s">
        <v>3646</v>
      </c>
      <c r="F76" s="3713" t="s">
        <v>3647</v>
      </c>
      <c r="G76" s="3713" t="s">
        <v>3648</v>
      </c>
      <c r="H76" s="3665"/>
      <c r="I76" s="3665"/>
      <c r="J76" s="3665"/>
      <c r="K76" s="3714"/>
      <c r="L76" s="3715"/>
      <c r="M76" s="3716"/>
      <c r="N76" s="3670"/>
      <c r="O76" s="3670"/>
      <c r="P76" s="3717"/>
      <c r="Q76" s="3653"/>
    </row>
    <row r="77" spans="1:17" ht="15.75" thickBot="1">
      <c r="A77" s="3672"/>
      <c r="B77" s="3681"/>
      <c r="C77" s="3682">
        <v>100</v>
      </c>
      <c r="D77" s="3682">
        <f>C77-$K15</f>
        <v>95</v>
      </c>
      <c r="E77" s="3682">
        <f>D77-$K15</f>
        <v>90</v>
      </c>
      <c r="F77" s="3682">
        <f>E77-$K15</f>
        <v>85</v>
      </c>
      <c r="G77" s="3682">
        <f>F77-$K15</f>
        <v>80</v>
      </c>
      <c r="H77" s="3682"/>
      <c r="I77" s="3682"/>
      <c r="J77" s="3682"/>
      <c r="K77" s="3682"/>
      <c r="L77" s="3682"/>
      <c r="M77" s="3683"/>
      <c r="N77" s="3572"/>
      <c r="O77" s="3572"/>
      <c r="P77" s="3671"/>
      <c r="Q77" s="3653"/>
    </row>
    <row r="78" spans="1:17" ht="15.75" thickTop="1">
      <c r="A78" s="3672"/>
      <c r="B78" s="3676" t="s">
        <v>3649</v>
      </c>
      <c r="C78" s="3718" t="s">
        <v>2588</v>
      </c>
      <c r="D78" s="3718" t="s">
        <v>3645</v>
      </c>
      <c r="E78" s="3718" t="s">
        <v>3646</v>
      </c>
      <c r="F78" s="3718" t="s">
        <v>3647</v>
      </c>
      <c r="G78" s="3718" t="s">
        <v>3648</v>
      </c>
      <c r="H78" s="3677"/>
      <c r="I78" s="3677"/>
      <c r="J78" s="3677"/>
      <c r="K78" s="3678"/>
      <c r="L78" s="3679"/>
      <c r="M78" s="3680"/>
      <c r="N78" s="3670"/>
      <c r="O78" s="3670"/>
      <c r="P78" s="3671"/>
      <c r="Q78" s="3653"/>
    </row>
    <row r="79" spans="1:17" ht="15.75" thickBot="1">
      <c r="A79" s="3672"/>
      <c r="B79" s="3681"/>
      <c r="C79" s="3682">
        <v>100</v>
      </c>
      <c r="D79" s="3682">
        <f>C79-$K17</f>
        <v>95</v>
      </c>
      <c r="E79" s="3682">
        <f>D79-$K17</f>
        <v>90</v>
      </c>
      <c r="F79" s="3682">
        <f>E79-$K17</f>
        <v>85</v>
      </c>
      <c r="G79" s="3682">
        <f>F79-$K17</f>
        <v>80</v>
      </c>
      <c r="H79" s="3682"/>
      <c r="I79" s="3682"/>
      <c r="J79" s="3682"/>
      <c r="K79" s="3682"/>
      <c r="L79" s="3682"/>
      <c r="M79" s="3683"/>
      <c r="N79" s="3572"/>
      <c r="O79" s="3572"/>
      <c r="P79" s="3671"/>
      <c r="Q79" s="3653"/>
    </row>
    <row r="80" spans="1:17" ht="15.75" thickTop="1">
      <c r="A80" s="3672"/>
      <c r="B80" s="3676" t="s">
        <v>3616</v>
      </c>
      <c r="C80" s="3718" t="s">
        <v>2588</v>
      </c>
      <c r="D80" s="3718" t="s">
        <v>3645</v>
      </c>
      <c r="E80" s="3718" t="s">
        <v>3646</v>
      </c>
      <c r="F80" s="3718" t="s">
        <v>3647</v>
      </c>
      <c r="G80" s="3718" t="s">
        <v>3648</v>
      </c>
      <c r="H80" s="3677"/>
      <c r="I80" s="3677"/>
      <c r="J80" s="3677"/>
      <c r="K80" s="3678"/>
      <c r="L80" s="3679"/>
      <c r="M80" s="3680"/>
      <c r="N80" s="3670"/>
      <c r="O80" s="3670"/>
      <c r="P80" s="3671"/>
      <c r="Q80" s="3653"/>
    </row>
    <row r="81" spans="1:17" ht="15.75" thickBot="1">
      <c r="A81" s="3672"/>
      <c r="B81" s="3681"/>
      <c r="C81" s="3682">
        <v>100</v>
      </c>
      <c r="D81" s="3682">
        <f>C81-$K19</f>
        <v>97</v>
      </c>
      <c r="E81" s="3682">
        <f>D81-$K19</f>
        <v>94</v>
      </c>
      <c r="F81" s="3682">
        <f>E81-$K19</f>
        <v>91</v>
      </c>
      <c r="G81" s="3682">
        <f>F81-$K19</f>
        <v>88</v>
      </c>
      <c r="H81" s="3682"/>
      <c r="I81" s="3682"/>
      <c r="J81" s="3682"/>
      <c r="K81" s="3682"/>
      <c r="L81" s="3682"/>
      <c r="M81" s="3683"/>
      <c r="N81" s="3572"/>
      <c r="O81" s="3572"/>
      <c r="P81" s="3671"/>
      <c r="Q81" s="3653"/>
    </row>
    <row r="82" spans="1:17" ht="15.75" thickTop="1">
      <c r="A82" s="3672"/>
      <c r="B82" s="3684" t="s">
        <v>3617</v>
      </c>
      <c r="C82" s="3719" t="s">
        <v>3650</v>
      </c>
      <c r="D82" s="3719" t="s">
        <v>3651</v>
      </c>
      <c r="E82" s="3719" t="s">
        <v>3652</v>
      </c>
      <c r="F82" s="3719" t="s">
        <v>3653</v>
      </c>
      <c r="G82" s="3719" t="s">
        <v>3654</v>
      </c>
      <c r="H82" s="3677"/>
      <c r="I82" s="3677"/>
      <c r="J82" s="3677"/>
      <c r="K82" s="3677"/>
      <c r="L82" s="3677"/>
      <c r="M82" s="3720"/>
      <c r="N82" s="3572"/>
      <c r="O82" s="3572"/>
      <c r="P82" s="3671"/>
      <c r="Q82" s="3653"/>
    </row>
    <row r="83" spans="1:17" ht="15.75" thickBot="1">
      <c r="A83" s="3672"/>
      <c r="B83" s="3684"/>
      <c r="C83" s="3682">
        <v>100</v>
      </c>
      <c r="D83" s="3682">
        <f>C83-$K21</f>
        <v>98</v>
      </c>
      <c r="E83" s="3682">
        <f t="shared" ref="E83:G83" si="19">D83-$K21</f>
        <v>96</v>
      </c>
      <c r="F83" s="3682">
        <f t="shared" si="19"/>
        <v>94</v>
      </c>
      <c r="G83" s="3682">
        <f t="shared" si="19"/>
        <v>92</v>
      </c>
      <c r="H83" s="3719"/>
      <c r="I83" s="3719"/>
      <c r="J83" s="3719"/>
      <c r="K83" s="3719"/>
      <c r="L83" s="3719"/>
      <c r="M83" s="3512"/>
      <c r="N83" s="3572"/>
      <c r="O83" s="3572"/>
      <c r="P83" s="3671"/>
      <c r="Q83" s="3653"/>
    </row>
    <row r="84" spans="1:17" ht="15.75" thickTop="1">
      <c r="A84" s="3672"/>
      <c r="B84" s="3676" t="s">
        <v>3655</v>
      </c>
      <c r="C84" s="3718" t="s">
        <v>3656</v>
      </c>
      <c r="D84" s="3718" t="s">
        <v>3657</v>
      </c>
      <c r="E84" s="3718" t="s">
        <v>3658</v>
      </c>
      <c r="F84" s="3718" t="s">
        <v>3659</v>
      </c>
      <c r="G84" s="3718" t="s">
        <v>3660</v>
      </c>
      <c r="H84" s="3677"/>
      <c r="I84" s="3677"/>
      <c r="J84" s="3677"/>
      <c r="K84" s="3678"/>
      <c r="L84" s="3679"/>
      <c r="M84" s="3680"/>
      <c r="N84" s="3670"/>
      <c r="O84" s="3670"/>
      <c r="P84" s="3671"/>
      <c r="Q84" s="3653"/>
    </row>
    <row r="85" spans="1:17" ht="15.75" thickBot="1">
      <c r="A85" s="3672"/>
      <c r="B85" s="3681"/>
      <c r="C85" s="3682">
        <v>100</v>
      </c>
      <c r="D85" s="3682">
        <f>C85-$K23</f>
        <v>98</v>
      </c>
      <c r="E85" s="3682">
        <f>D85-$K23</f>
        <v>96</v>
      </c>
      <c r="F85" s="3682">
        <f>E85-$K23</f>
        <v>94</v>
      </c>
      <c r="G85" s="3682">
        <f>F85-$K23</f>
        <v>92</v>
      </c>
      <c r="H85" s="3682"/>
      <c r="I85" s="3682"/>
      <c r="J85" s="3682"/>
      <c r="K85" s="3682"/>
      <c r="L85" s="3682"/>
      <c r="M85" s="3683"/>
      <c r="N85" s="3572"/>
      <c r="O85" s="3572"/>
      <c r="P85" s="3671"/>
      <c r="Q85" s="3653"/>
    </row>
    <row r="86" spans="1:17" s="3448" customFormat="1" ht="15.75" thickTop="1">
      <c r="A86" s="3721"/>
      <c r="B86" s="3676" t="s">
        <v>3661</v>
      </c>
      <c r="C86" s="3722" t="s">
        <v>3662</v>
      </c>
      <c r="D86" s="3692"/>
      <c r="E86" s="3692"/>
      <c r="F86" s="3692"/>
      <c r="G86" s="3692"/>
      <c r="H86" s="3692"/>
      <c r="I86" s="3692"/>
      <c r="J86" s="3692"/>
      <c r="K86" s="3692"/>
      <c r="L86" s="3723"/>
      <c r="M86" s="3724"/>
      <c r="N86" s="3659"/>
      <c r="O86" s="3659"/>
      <c r="P86" s="3671"/>
      <c r="Q86" s="3653"/>
    </row>
    <row r="87" spans="1:17" s="3448" customFormat="1" ht="15.75" thickBot="1">
      <c r="A87" s="3721"/>
      <c r="B87" s="3681"/>
      <c r="C87" s="3725">
        <v>100</v>
      </c>
      <c r="D87" s="3682">
        <f t="shared" ref="D87:M87" si="20">C87-$K25</f>
        <v>97</v>
      </c>
      <c r="E87" s="3682">
        <f t="shared" si="20"/>
        <v>94</v>
      </c>
      <c r="F87" s="3682">
        <f t="shared" si="20"/>
        <v>91</v>
      </c>
      <c r="G87" s="3682">
        <f t="shared" si="20"/>
        <v>88</v>
      </c>
      <c r="H87" s="3682">
        <f t="shared" si="20"/>
        <v>85</v>
      </c>
      <c r="I87" s="3682">
        <f t="shared" si="20"/>
        <v>82</v>
      </c>
      <c r="J87" s="3682">
        <f t="shared" si="20"/>
        <v>79</v>
      </c>
      <c r="K87" s="3682">
        <f t="shared" si="20"/>
        <v>76</v>
      </c>
      <c r="L87" s="3682">
        <f t="shared" si="20"/>
        <v>73</v>
      </c>
      <c r="M87" s="3682">
        <f t="shared" si="20"/>
        <v>70</v>
      </c>
      <c r="N87" s="3572"/>
      <c r="O87" s="3572"/>
      <c r="P87" s="3671"/>
      <c r="Q87" s="3653"/>
    </row>
    <row r="88" spans="1:17" s="3448" customFormat="1" ht="15.75" thickTop="1">
      <c r="A88" s="3721"/>
      <c r="B88" s="3676" t="str">
        <f>B26</f>
        <v>平面位置/可视性</v>
      </c>
      <c r="C88" s="3722" t="s">
        <v>3621</v>
      </c>
      <c r="D88" s="3722" t="s">
        <v>3620</v>
      </c>
      <c r="E88" s="3722" t="s">
        <v>3663</v>
      </c>
      <c r="F88" s="3726"/>
      <c r="G88" s="3692"/>
      <c r="H88" s="3692"/>
      <c r="I88" s="3692"/>
      <c r="J88" s="3692"/>
      <c r="K88" s="3692"/>
      <c r="L88" s="3692"/>
      <c r="M88" s="3724"/>
      <c r="N88" s="3659"/>
      <c r="O88" s="3659"/>
      <c r="P88" s="3671"/>
      <c r="Q88" s="3653"/>
    </row>
    <row r="89" spans="1:17" s="3448" customFormat="1" ht="15.75" thickBot="1">
      <c r="A89" s="3721"/>
      <c r="B89" s="3681"/>
      <c r="C89" s="3699">
        <v>100</v>
      </c>
      <c r="D89" s="3674">
        <v>97</v>
      </c>
      <c r="E89" s="3674">
        <v>94</v>
      </c>
      <c r="F89" s="3674"/>
      <c r="G89" s="3674"/>
      <c r="H89" s="3674"/>
      <c r="I89" s="3674"/>
      <c r="J89" s="3674"/>
      <c r="K89" s="3674"/>
      <c r="L89" s="3674"/>
      <c r="M89" s="3674"/>
      <c r="N89" s="3572"/>
      <c r="O89" s="3572"/>
      <c r="P89" s="3671"/>
      <c r="Q89" s="3653"/>
    </row>
    <row r="90" spans="1:17" s="3555" customFormat="1" ht="15.75" thickTop="1">
      <c r="A90" s="3691"/>
      <c r="B90" s="3676" t="str">
        <f>B27</f>
        <v>人流量</v>
      </c>
      <c r="C90" s="3722" t="s">
        <v>3664</v>
      </c>
      <c r="D90" s="3722" t="s">
        <v>3620</v>
      </c>
      <c r="E90" s="3722" t="s">
        <v>3665</v>
      </c>
      <c r="F90" s="3692"/>
      <c r="G90" s="3692"/>
      <c r="H90" s="3693"/>
      <c r="I90" s="3693"/>
      <c r="J90" s="3693"/>
      <c r="K90" s="3693"/>
      <c r="L90" s="3694"/>
      <c r="M90" s="3695"/>
      <c r="N90" s="3696"/>
      <c r="O90" s="3696"/>
      <c r="P90" s="3697"/>
      <c r="Q90" s="3698"/>
    </row>
    <row r="91" spans="1:17" s="3555" customFormat="1" ht="15.75" thickBot="1">
      <c r="A91" s="3691"/>
      <c r="B91" s="3681"/>
      <c r="C91" s="3725">
        <v>100</v>
      </c>
      <c r="D91" s="3682">
        <f>C91-$K27</f>
        <v>97</v>
      </c>
      <c r="E91" s="3682">
        <f t="shared" ref="E91:M91" si="21">D91-$K27</f>
        <v>94</v>
      </c>
      <c r="F91" s="3682">
        <f t="shared" si="21"/>
        <v>91</v>
      </c>
      <c r="G91" s="3682">
        <f t="shared" si="21"/>
        <v>88</v>
      </c>
      <c r="H91" s="3682">
        <f t="shared" si="21"/>
        <v>85</v>
      </c>
      <c r="I91" s="3682">
        <f t="shared" si="21"/>
        <v>82</v>
      </c>
      <c r="J91" s="3682">
        <f t="shared" si="21"/>
        <v>79</v>
      </c>
      <c r="K91" s="3682">
        <f t="shared" si="21"/>
        <v>76</v>
      </c>
      <c r="L91" s="3682">
        <f t="shared" si="21"/>
        <v>73</v>
      </c>
      <c r="M91" s="3682">
        <f t="shared" si="21"/>
        <v>70</v>
      </c>
      <c r="N91" s="3696"/>
      <c r="O91" s="3696"/>
      <c r="P91" s="3697"/>
      <c r="Q91" s="3698"/>
    </row>
    <row r="92" spans="1:17" ht="15.75" thickTop="1">
      <c r="A92" s="3672"/>
      <c r="B92" s="3676" t="str">
        <f>B28</f>
        <v>楼层</v>
      </c>
      <c r="C92" s="3692">
        <v>1</v>
      </c>
      <c r="D92" s="3692">
        <v>2</v>
      </c>
      <c r="E92" s="3727" t="s">
        <v>3666</v>
      </c>
      <c r="F92" s="3692"/>
      <c r="G92" s="3692"/>
      <c r="H92" s="3692"/>
      <c r="I92" s="3692"/>
      <c r="J92" s="3692"/>
      <c r="K92" s="3692"/>
      <c r="L92" s="3723"/>
      <c r="M92" s="3724"/>
      <c r="N92" s="3670"/>
      <c r="O92" s="3670"/>
      <c r="P92" s="3671"/>
      <c r="Q92" s="3653"/>
    </row>
    <row r="93" spans="1:17" ht="15.75" thickBot="1">
      <c r="A93" s="3672"/>
      <c r="B93" s="3681"/>
      <c r="C93" s="3674">
        <v>100</v>
      </c>
      <c r="D93" s="3674">
        <v>70</v>
      </c>
      <c r="E93" s="3674">
        <f>(C93+D93)/2</f>
        <v>85</v>
      </c>
      <c r="F93" s="3674"/>
      <c r="G93" s="3674"/>
      <c r="H93" s="3674"/>
      <c r="I93" s="3674"/>
      <c r="J93" s="3674"/>
      <c r="K93" s="3674"/>
      <c r="L93" s="3674"/>
      <c r="M93" s="3675"/>
      <c r="N93" s="3572"/>
      <c r="O93" s="3572"/>
      <c r="P93" s="3671"/>
      <c r="Q93" s="3653"/>
    </row>
    <row r="94" spans="1:17" ht="16.5" hidden="1" thickTop="1" thickBot="1">
      <c r="A94" s="3672"/>
      <c r="B94" s="3676">
        <f>B29</f>
        <v>0</v>
      </c>
      <c r="C94" s="3692"/>
      <c r="D94" s="3692"/>
      <c r="E94" s="3692"/>
      <c r="F94" s="3692"/>
      <c r="G94" s="3728"/>
      <c r="H94" s="3728"/>
      <c r="I94" s="3728"/>
      <c r="J94" s="3728"/>
      <c r="K94" s="3729"/>
      <c r="L94" s="3730"/>
      <c r="M94" s="3731"/>
      <c r="N94" s="3670"/>
      <c r="O94" s="3670"/>
      <c r="P94" s="3671"/>
      <c r="Q94" s="3653"/>
    </row>
    <row r="95" spans="1:17" ht="16.5" hidden="1" thickTop="1" thickBot="1">
      <c r="A95" s="3672"/>
      <c r="B95" s="3681"/>
      <c r="C95" s="3699"/>
      <c r="D95" s="3674"/>
      <c r="E95" s="3674"/>
      <c r="F95" s="3674"/>
      <c r="G95" s="3674"/>
      <c r="H95" s="3674"/>
      <c r="I95" s="3674"/>
      <c r="J95" s="3674"/>
      <c r="K95" s="3674"/>
      <c r="L95" s="3674"/>
      <c r="M95" s="3675"/>
      <c r="N95" s="3572"/>
      <c r="O95" s="3572"/>
      <c r="P95" s="3671"/>
      <c r="Q95" s="3653"/>
    </row>
    <row r="96" spans="1:17" ht="16.5" hidden="1" thickTop="1" thickBot="1">
      <c r="A96" s="3672"/>
      <c r="B96" s="3676">
        <f>B30</f>
        <v>0</v>
      </c>
      <c r="C96" s="3692"/>
      <c r="D96" s="3692"/>
      <c r="E96" s="3692"/>
      <c r="F96" s="3692"/>
      <c r="G96" s="3728"/>
      <c r="H96" s="3728"/>
      <c r="I96" s="3728"/>
      <c r="J96" s="3728"/>
      <c r="K96" s="3729"/>
      <c r="L96" s="3730"/>
      <c r="M96" s="3731"/>
      <c r="N96" s="3670"/>
      <c r="O96" s="3670"/>
      <c r="P96" s="3671"/>
      <c r="Q96" s="3653"/>
    </row>
    <row r="97" spans="1:17" ht="16.5" hidden="1" thickTop="1" thickBot="1">
      <c r="A97" s="3672"/>
      <c r="B97" s="3681"/>
      <c r="C97" s="3699"/>
      <c r="D97" s="3674"/>
      <c r="E97" s="3674"/>
      <c r="F97" s="3674"/>
      <c r="G97" s="3674"/>
      <c r="H97" s="3674"/>
      <c r="I97" s="3674"/>
      <c r="J97" s="3674"/>
      <c r="K97" s="3674"/>
      <c r="L97" s="3674"/>
      <c r="M97" s="3675"/>
      <c r="N97" s="3572"/>
      <c r="O97" s="3572"/>
      <c r="P97" s="3671"/>
      <c r="Q97" s="3653"/>
    </row>
    <row r="98" spans="1:17" ht="16.5" hidden="1" thickTop="1" thickBot="1">
      <c r="A98" s="3672"/>
      <c r="B98" s="3684">
        <f>B31</f>
        <v>0</v>
      </c>
      <c r="C98" s="3692"/>
      <c r="D98" s="3692"/>
      <c r="E98" s="3692"/>
      <c r="F98" s="3692"/>
      <c r="G98" s="3732"/>
      <c r="H98" s="3732"/>
      <c r="I98" s="3732"/>
      <c r="J98" s="3732"/>
      <c r="K98" s="3733"/>
      <c r="L98" s="3734"/>
      <c r="M98" s="3735"/>
      <c r="N98" s="3670"/>
      <c r="O98" s="3670"/>
      <c r="P98" s="3671"/>
      <c r="Q98" s="3653"/>
    </row>
    <row r="99" spans="1:17" ht="16.5" hidden="1" thickTop="1" thickBot="1">
      <c r="A99" s="3736"/>
      <c r="B99" s="3709"/>
      <c r="C99" s="3710"/>
      <c r="D99" s="3710"/>
      <c r="E99" s="3710"/>
      <c r="F99" s="3710"/>
      <c r="G99" s="3737"/>
      <c r="H99" s="3737"/>
      <c r="I99" s="3737"/>
      <c r="J99" s="3737"/>
      <c r="K99" s="3737"/>
      <c r="L99" s="3737"/>
      <c r="M99" s="3738"/>
      <c r="N99" s="3572"/>
      <c r="O99" s="3572"/>
      <c r="P99" s="3671"/>
      <c r="Q99" s="3653"/>
    </row>
    <row r="100" spans="1:17" ht="27.75" thickTop="1">
      <c r="A100" s="3663" t="s">
        <v>2554</v>
      </c>
      <c r="B100" s="3664" t="s">
        <v>2672</v>
      </c>
      <c r="C100" s="3739" t="s">
        <v>3667</v>
      </c>
      <c r="D100" s="3739" t="s">
        <v>3668</v>
      </c>
      <c r="E100" s="3739" t="s">
        <v>3669</v>
      </c>
      <c r="F100" s="3666"/>
      <c r="G100" s="3666"/>
      <c r="H100" s="3666"/>
      <c r="I100" s="3666"/>
      <c r="J100" s="3666"/>
      <c r="K100" s="3667"/>
      <c r="L100" s="3668"/>
      <c r="M100" s="3669"/>
      <c r="N100" s="3670"/>
      <c r="O100" s="3670"/>
      <c r="P100" s="3671"/>
      <c r="Q100" s="3653"/>
    </row>
    <row r="101" spans="1:17" ht="15.75" thickBot="1">
      <c r="A101" s="3672"/>
      <c r="B101" s="3681"/>
      <c r="C101" s="3682">
        <v>100</v>
      </c>
      <c r="D101" s="3682">
        <f t="shared" ref="D101:M101" si="22">C101-$K32</f>
        <v>97</v>
      </c>
      <c r="E101" s="3682">
        <f t="shared" si="22"/>
        <v>94</v>
      </c>
      <c r="F101" s="3682">
        <f t="shared" si="22"/>
        <v>91</v>
      </c>
      <c r="G101" s="3682">
        <f t="shared" si="22"/>
        <v>88</v>
      </c>
      <c r="H101" s="3682">
        <f t="shared" si="22"/>
        <v>85</v>
      </c>
      <c r="I101" s="3682">
        <f t="shared" si="22"/>
        <v>82</v>
      </c>
      <c r="J101" s="3682">
        <f t="shared" si="22"/>
        <v>79</v>
      </c>
      <c r="K101" s="3682">
        <f t="shared" si="22"/>
        <v>76</v>
      </c>
      <c r="L101" s="3682">
        <f t="shared" si="22"/>
        <v>73</v>
      </c>
      <c r="M101" s="3683">
        <f t="shared" si="22"/>
        <v>70</v>
      </c>
      <c r="N101" s="3572"/>
      <c r="O101" s="3572"/>
      <c r="P101" s="3671"/>
      <c r="Q101" s="3653"/>
    </row>
    <row r="102" spans="1:17" ht="15.75" thickTop="1">
      <c r="A102" s="3672"/>
      <c r="B102" s="3676" t="s">
        <v>2604</v>
      </c>
      <c r="C102" s="3718" t="str">
        <f>C103&amp;"(含)"&amp;"-"&amp;D103</f>
        <v>0(含)-</v>
      </c>
      <c r="D102" s="3718" t="str">
        <f t="shared" ref="D102:L102" si="23">D103&amp;"(含)"&amp;"-"&amp;E103</f>
        <v>(含)-</v>
      </c>
      <c r="E102" s="3718" t="str">
        <f t="shared" si="23"/>
        <v>(含)-</v>
      </c>
      <c r="F102" s="3718" t="str">
        <f t="shared" si="23"/>
        <v>(含)-</v>
      </c>
      <c r="G102" s="3718" t="str">
        <f t="shared" si="23"/>
        <v>(含)-</v>
      </c>
      <c r="H102" s="3718" t="str">
        <f t="shared" si="23"/>
        <v>(含)-</v>
      </c>
      <c r="I102" s="3718" t="str">
        <f t="shared" si="23"/>
        <v>(含)-</v>
      </c>
      <c r="J102" s="3718" t="str">
        <f t="shared" si="23"/>
        <v>(含)-</v>
      </c>
      <c r="K102" s="3718" t="str">
        <f t="shared" si="23"/>
        <v>(含)-</v>
      </c>
      <c r="L102" s="3718" t="str">
        <f t="shared" si="23"/>
        <v>(含)-</v>
      </c>
      <c r="M102" s="3740" t="str">
        <f>M103&amp;"(含)"&amp;"-"&amp;P103</f>
        <v>(含)-</v>
      </c>
      <c r="N102" s="3659"/>
      <c r="O102" s="3659"/>
      <c r="P102" s="3671"/>
      <c r="Q102" s="3653"/>
    </row>
    <row r="103" spans="1:17" s="3555" customFormat="1" ht="14.25">
      <c r="A103" s="3741"/>
      <c r="B103" s="3742"/>
      <c r="C103" s="3743">
        <v>0</v>
      </c>
      <c r="D103" s="3743"/>
      <c r="E103" s="3743"/>
      <c r="F103" s="3743"/>
      <c r="G103" s="3743"/>
      <c r="H103" s="3743"/>
      <c r="I103" s="3743"/>
      <c r="J103" s="3744"/>
      <c r="K103" s="3744"/>
      <c r="L103" s="3745"/>
      <c r="M103" s="3746"/>
      <c r="N103" s="3696"/>
      <c r="O103" s="3696"/>
      <c r="P103" s="3697"/>
      <c r="Q103" s="3698"/>
    </row>
    <row r="104" spans="1:17" s="3555" customFormat="1" ht="15.75" thickBot="1">
      <c r="A104" s="3691"/>
      <c r="B104" s="3681"/>
      <c r="C104" s="3699"/>
      <c r="D104" s="3674"/>
      <c r="E104" s="3674"/>
      <c r="F104" s="3674"/>
      <c r="G104" s="3674"/>
      <c r="H104" s="3674"/>
      <c r="I104" s="3674"/>
      <c r="J104" s="3674"/>
      <c r="K104" s="3674"/>
      <c r="L104" s="3674"/>
      <c r="M104" s="3675"/>
      <c r="N104" s="3572"/>
      <c r="O104" s="3572"/>
      <c r="P104" s="3697"/>
      <c r="Q104" s="3698"/>
    </row>
    <row r="105" spans="1:17" ht="15" thickTop="1">
      <c r="A105" s="3571"/>
      <c r="B105" s="3676" t="s">
        <v>3670</v>
      </c>
      <c r="C105" s="3722" t="s">
        <v>3671</v>
      </c>
      <c r="D105" s="3692"/>
      <c r="E105" s="3728"/>
      <c r="F105" s="3728"/>
      <c r="G105" s="3728"/>
      <c r="H105" s="3728"/>
      <c r="I105" s="3728"/>
      <c r="J105" s="3728"/>
      <c r="K105" s="3729"/>
      <c r="L105" s="3730"/>
      <c r="M105" s="3731"/>
      <c r="N105" s="3670"/>
      <c r="O105" s="3670"/>
      <c r="P105" s="3671"/>
      <c r="Q105" s="3653"/>
    </row>
    <row r="106" spans="1:17" ht="15.75" thickBot="1">
      <c r="A106" s="3672"/>
      <c r="B106" s="3681"/>
      <c r="C106" s="3682">
        <v>100</v>
      </c>
      <c r="D106" s="3682">
        <f t="shared" ref="D106:M106" si="24">C106-$K34</f>
        <v>98</v>
      </c>
      <c r="E106" s="3682">
        <f t="shared" si="24"/>
        <v>96</v>
      </c>
      <c r="F106" s="3682">
        <f t="shared" si="24"/>
        <v>94</v>
      </c>
      <c r="G106" s="3682">
        <f t="shared" si="24"/>
        <v>92</v>
      </c>
      <c r="H106" s="3682">
        <f t="shared" si="24"/>
        <v>90</v>
      </c>
      <c r="I106" s="3682">
        <f t="shared" si="24"/>
        <v>88</v>
      </c>
      <c r="J106" s="3682">
        <f t="shared" si="24"/>
        <v>86</v>
      </c>
      <c r="K106" s="3682">
        <f t="shared" si="24"/>
        <v>84</v>
      </c>
      <c r="L106" s="3682">
        <f t="shared" si="24"/>
        <v>82</v>
      </c>
      <c r="M106" s="3683">
        <f t="shared" si="24"/>
        <v>80</v>
      </c>
      <c r="N106" s="3572"/>
      <c r="O106" s="3572"/>
      <c r="P106" s="3671"/>
      <c r="Q106" s="3653"/>
    </row>
    <row r="107" spans="1:17" ht="15" thickTop="1">
      <c r="A107" s="3571"/>
      <c r="B107" s="3676" t="s">
        <v>3672</v>
      </c>
      <c r="C107" s="3722" t="s">
        <v>3673</v>
      </c>
      <c r="D107" s="3692"/>
      <c r="E107" s="3692"/>
      <c r="F107" s="3728"/>
      <c r="G107" s="3728"/>
      <c r="H107" s="3728"/>
      <c r="I107" s="3728"/>
      <c r="J107" s="3728"/>
      <c r="K107" s="3729"/>
      <c r="L107" s="3730"/>
      <c r="M107" s="3731"/>
      <c r="N107" s="3670"/>
      <c r="O107" s="3670"/>
      <c r="P107" s="3671"/>
      <c r="Q107" s="3653"/>
    </row>
    <row r="108" spans="1:17" ht="15.75" thickBot="1">
      <c r="A108" s="3672"/>
      <c r="B108" s="3681"/>
      <c r="C108" s="3682">
        <v>100</v>
      </c>
      <c r="D108" s="3682">
        <f t="shared" ref="D108:M108" si="25">C108-$K35</f>
        <v>98</v>
      </c>
      <c r="E108" s="3682">
        <f t="shared" si="25"/>
        <v>96</v>
      </c>
      <c r="F108" s="3682">
        <f t="shared" si="25"/>
        <v>94</v>
      </c>
      <c r="G108" s="3682">
        <f t="shared" si="25"/>
        <v>92</v>
      </c>
      <c r="H108" s="3682">
        <f t="shared" si="25"/>
        <v>90</v>
      </c>
      <c r="I108" s="3682">
        <f t="shared" si="25"/>
        <v>88</v>
      </c>
      <c r="J108" s="3682">
        <f t="shared" si="25"/>
        <v>86</v>
      </c>
      <c r="K108" s="3682">
        <f t="shared" si="25"/>
        <v>84</v>
      </c>
      <c r="L108" s="3682">
        <f t="shared" si="25"/>
        <v>82</v>
      </c>
      <c r="M108" s="3683">
        <f t="shared" si="25"/>
        <v>80</v>
      </c>
      <c r="N108" s="3572"/>
      <c r="O108" s="3572"/>
      <c r="P108" s="3671"/>
      <c r="Q108" s="3653"/>
    </row>
    <row r="109" spans="1:17" ht="29.25" thickTop="1">
      <c r="A109" s="3571"/>
      <c r="B109" s="3676" t="s">
        <v>3674</v>
      </c>
      <c r="C109" s="3718" t="str">
        <f>C110&amp;"(含)"&amp;"-"&amp;D110</f>
        <v>0.5(含)-0.6</v>
      </c>
      <c r="D109" s="3718" t="str">
        <f>D110&amp;"(含)"&amp;"-"&amp;E110</f>
        <v>0.6(含)-0.7</v>
      </c>
      <c r="E109" s="3718" t="str">
        <f>E110&amp;"(含)"&amp;"-"&amp;F110</f>
        <v>0.7(含)-0.8</v>
      </c>
      <c r="F109" s="3718" t="str">
        <f>F110&amp;"(含)"&amp;"-"&amp;G110</f>
        <v>0.8(含)-0.9</v>
      </c>
      <c r="G109" s="3718" t="str">
        <f>G110&amp;"(含)"&amp;"-"&amp;ROUND(H110,0)&amp;"(含)"</f>
        <v>0.9(含)-1(含)</v>
      </c>
      <c r="H109" s="3718"/>
      <c r="I109" s="3728"/>
      <c r="J109" s="3728"/>
      <c r="K109" s="3729"/>
      <c r="L109" s="3730"/>
      <c r="M109" s="3731"/>
      <c r="N109" s="3670"/>
      <c r="O109" s="3670"/>
      <c r="P109" s="3671"/>
      <c r="Q109" s="3653"/>
    </row>
    <row r="110" spans="1:17" ht="14.25">
      <c r="A110" s="3571"/>
      <c r="B110" s="3684"/>
      <c r="C110" s="3747">
        <v>0.5</v>
      </c>
      <c r="D110" s="3747">
        <v>0.6</v>
      </c>
      <c r="E110" s="3747">
        <v>0.7</v>
      </c>
      <c r="F110" s="3747">
        <v>0.8</v>
      </c>
      <c r="G110" s="3747">
        <v>0.9</v>
      </c>
      <c r="H110" s="3747">
        <v>1.0001</v>
      </c>
      <c r="I110" s="3748"/>
      <c r="J110" s="3748"/>
      <c r="K110" s="3749"/>
      <c r="L110" s="3750"/>
      <c r="M110" s="3751"/>
      <c r="N110" s="3670"/>
      <c r="O110" s="3670"/>
      <c r="P110" s="3671"/>
      <c r="Q110" s="3653"/>
    </row>
    <row r="111" spans="1:17" ht="15.75" thickBot="1">
      <c r="A111" s="3672"/>
      <c r="B111" s="3681"/>
      <c r="C111" s="3725">
        <v>100</v>
      </c>
      <c r="D111" s="3682">
        <f>C111+$K36</f>
        <v>103</v>
      </c>
      <c r="E111" s="3682">
        <f t="shared" ref="E111:M111" si="26">D111+$K36</f>
        <v>106</v>
      </c>
      <c r="F111" s="3682">
        <f t="shared" si="26"/>
        <v>109</v>
      </c>
      <c r="G111" s="3682">
        <f t="shared" si="26"/>
        <v>112</v>
      </c>
      <c r="H111" s="3682">
        <f t="shared" si="26"/>
        <v>115</v>
      </c>
      <c r="I111" s="3682">
        <f t="shared" si="26"/>
        <v>118</v>
      </c>
      <c r="J111" s="3682">
        <f t="shared" si="26"/>
        <v>121</v>
      </c>
      <c r="K111" s="3682">
        <f t="shared" si="26"/>
        <v>124</v>
      </c>
      <c r="L111" s="3682">
        <f t="shared" si="26"/>
        <v>127</v>
      </c>
      <c r="M111" s="3682">
        <f t="shared" si="26"/>
        <v>130</v>
      </c>
      <c r="N111" s="3572"/>
      <c r="O111" s="3572"/>
      <c r="P111" s="3671"/>
      <c r="Q111" s="3653"/>
    </row>
    <row r="112" spans="1:17" s="3555" customFormat="1" ht="15" thickTop="1">
      <c r="A112" s="3741"/>
      <c r="B112" s="3676" t="s">
        <v>3675</v>
      </c>
      <c r="C112" s="3722" t="s">
        <v>3676</v>
      </c>
      <c r="D112" s="3692"/>
      <c r="E112" s="3692"/>
      <c r="F112" s="3692"/>
      <c r="G112" s="3692"/>
      <c r="H112" s="3728"/>
      <c r="I112" s="3728"/>
      <c r="J112" s="3728"/>
      <c r="K112" s="3729"/>
      <c r="L112" s="3730"/>
      <c r="M112" s="3731"/>
      <c r="N112" s="3696"/>
      <c r="O112" s="3696"/>
      <c r="P112" s="3697"/>
      <c r="Q112" s="3698"/>
    </row>
    <row r="113" spans="1:17" s="3555" customFormat="1" ht="15.75" thickBot="1">
      <c r="A113" s="3691"/>
      <c r="B113" s="3681"/>
      <c r="C113" s="3682">
        <v>100</v>
      </c>
      <c r="D113" s="3682">
        <f>C113-$K37</f>
        <v>98</v>
      </c>
      <c r="E113" s="3682">
        <f t="shared" ref="E113:M113" si="27">D113-$K37</f>
        <v>96</v>
      </c>
      <c r="F113" s="3682">
        <f t="shared" si="27"/>
        <v>94</v>
      </c>
      <c r="G113" s="3682">
        <f t="shared" si="27"/>
        <v>92</v>
      </c>
      <c r="H113" s="3682">
        <f t="shared" si="27"/>
        <v>90</v>
      </c>
      <c r="I113" s="3682">
        <f t="shared" si="27"/>
        <v>88</v>
      </c>
      <c r="J113" s="3682">
        <f t="shared" si="27"/>
        <v>86</v>
      </c>
      <c r="K113" s="3682">
        <f t="shared" si="27"/>
        <v>84</v>
      </c>
      <c r="L113" s="3682">
        <f t="shared" si="27"/>
        <v>82</v>
      </c>
      <c r="M113" s="3682">
        <f t="shared" si="27"/>
        <v>80</v>
      </c>
      <c r="N113" s="3696"/>
      <c r="O113" s="3696"/>
      <c r="P113" s="3697"/>
      <c r="Q113" s="3698"/>
    </row>
    <row r="114" spans="1:17" ht="15" thickTop="1">
      <c r="A114" s="3571"/>
      <c r="B114" s="3676" t="s">
        <v>3677</v>
      </c>
      <c r="C114" s="3722" t="s">
        <v>3678</v>
      </c>
      <c r="D114" s="3722" t="s">
        <v>3679</v>
      </c>
      <c r="E114" s="3728"/>
      <c r="F114" s="3728"/>
      <c r="G114" s="3728"/>
      <c r="H114" s="3728"/>
      <c r="I114" s="3728"/>
      <c r="J114" s="3728"/>
      <c r="K114" s="3729"/>
      <c r="L114" s="3730"/>
      <c r="M114" s="3731"/>
      <c r="N114" s="3670"/>
      <c r="O114" s="3670"/>
      <c r="P114" s="3671"/>
      <c r="Q114" s="3653"/>
    </row>
    <row r="115" spans="1:17" ht="15.75" thickBot="1">
      <c r="A115" s="3672"/>
      <c r="B115" s="3681"/>
      <c r="C115" s="3682">
        <v>100</v>
      </c>
      <c r="D115" s="3682">
        <f t="shared" ref="D115:M115" si="28">C115-$K38</f>
        <v>98</v>
      </c>
      <c r="E115" s="3682">
        <f t="shared" si="28"/>
        <v>96</v>
      </c>
      <c r="F115" s="3682">
        <f t="shared" si="28"/>
        <v>94</v>
      </c>
      <c r="G115" s="3682">
        <f t="shared" si="28"/>
        <v>92</v>
      </c>
      <c r="H115" s="3682">
        <f t="shared" si="28"/>
        <v>90</v>
      </c>
      <c r="I115" s="3682">
        <f t="shared" si="28"/>
        <v>88</v>
      </c>
      <c r="J115" s="3682">
        <f t="shared" si="28"/>
        <v>86</v>
      </c>
      <c r="K115" s="3682">
        <f t="shared" si="28"/>
        <v>84</v>
      </c>
      <c r="L115" s="3682">
        <f t="shared" si="28"/>
        <v>82</v>
      </c>
      <c r="M115" s="3683">
        <f t="shared" si="28"/>
        <v>80</v>
      </c>
      <c r="N115" s="3572"/>
      <c r="O115" s="3572"/>
      <c r="P115" s="3671"/>
      <c r="Q115" s="3653"/>
    </row>
    <row r="116" spans="1:17" ht="15" thickTop="1">
      <c r="A116" s="3571"/>
      <c r="B116" s="3676" t="s">
        <v>3680</v>
      </c>
      <c r="C116" s="3692"/>
      <c r="D116" s="3692"/>
      <c r="E116" s="3692"/>
      <c r="F116" s="3692"/>
      <c r="G116" s="3692"/>
      <c r="H116" s="3728"/>
      <c r="I116" s="3728"/>
      <c r="J116" s="3728"/>
      <c r="K116" s="3729"/>
      <c r="L116" s="3730"/>
      <c r="M116" s="3731"/>
      <c r="N116" s="3670"/>
      <c r="O116" s="3670"/>
      <c r="P116" s="3671"/>
      <c r="Q116" s="3653"/>
    </row>
    <row r="117" spans="1:17" ht="15.75" thickBot="1">
      <c r="A117" s="3672"/>
      <c r="B117" s="3681"/>
      <c r="C117" s="3682">
        <v>100</v>
      </c>
      <c r="D117" s="3682">
        <f>C117-$K39</f>
        <v>98</v>
      </c>
      <c r="E117" s="3682">
        <f>D117-$K39</f>
        <v>96</v>
      </c>
      <c r="F117" s="3682">
        <f>E117-$K39</f>
        <v>94</v>
      </c>
      <c r="G117" s="3682">
        <f>F117-$K39</f>
        <v>92</v>
      </c>
      <c r="H117" s="3682"/>
      <c r="I117" s="3682"/>
      <c r="J117" s="3682"/>
      <c r="K117" s="3682"/>
      <c r="L117" s="3682"/>
      <c r="M117" s="3683"/>
      <c r="N117" s="3572"/>
      <c r="O117" s="3572"/>
      <c r="P117" s="3671"/>
      <c r="Q117" s="3653"/>
    </row>
    <row r="118" spans="1:17" ht="15" thickTop="1">
      <c r="A118" s="3571"/>
      <c r="B118" s="3676" t="s">
        <v>3681</v>
      </c>
      <c r="C118" s="3752"/>
      <c r="D118" s="3752"/>
      <c r="E118" s="3752"/>
      <c r="F118" s="3752"/>
      <c r="G118" s="3752"/>
      <c r="H118" s="3693"/>
      <c r="I118" s="3693"/>
      <c r="J118" s="3693"/>
      <c r="K118" s="3693"/>
      <c r="L118" s="3694"/>
      <c r="M118" s="3695"/>
      <c r="N118" s="3670"/>
      <c r="O118" s="3670"/>
      <c r="P118" s="3671"/>
      <c r="Q118" s="3653"/>
    </row>
    <row r="119" spans="1:17" ht="15.75" thickBot="1">
      <c r="A119" s="3672"/>
      <c r="B119" s="3681"/>
      <c r="C119" s="3699"/>
      <c r="D119" s="3674"/>
      <c r="E119" s="3674"/>
      <c r="F119" s="3674"/>
      <c r="G119" s="3674"/>
      <c r="H119" s="3674"/>
      <c r="I119" s="3674"/>
      <c r="J119" s="3674"/>
      <c r="K119" s="3674"/>
      <c r="L119" s="3674"/>
      <c r="M119" s="3675"/>
      <c r="N119" s="3572"/>
      <c r="O119" s="3572"/>
      <c r="P119" s="3671"/>
      <c r="Q119" s="3653"/>
    </row>
    <row r="120" spans="1:17" s="3555" customFormat="1" ht="15" thickTop="1">
      <c r="A120" s="3741"/>
      <c r="B120" s="3676" t="s">
        <v>3682</v>
      </c>
      <c r="C120" s="3728"/>
      <c r="D120" s="3728"/>
      <c r="E120" s="3728"/>
      <c r="F120" s="3728"/>
      <c r="G120" s="3693"/>
      <c r="H120" s="3693"/>
      <c r="I120" s="3693"/>
      <c r="J120" s="3693"/>
      <c r="K120" s="3693"/>
      <c r="L120" s="3694"/>
      <c r="M120" s="3695"/>
      <c r="N120" s="3696"/>
      <c r="O120" s="3696"/>
      <c r="P120" s="3697"/>
      <c r="Q120" s="3698"/>
    </row>
    <row r="121" spans="1:17" s="3555" customFormat="1" ht="15.75" thickBot="1">
      <c r="A121" s="3691"/>
      <c r="B121" s="3673"/>
      <c r="C121" s="3725">
        <v>100</v>
      </c>
      <c r="D121" s="3682">
        <f>C121-$K41</f>
        <v>98</v>
      </c>
      <c r="E121" s="3682">
        <f t="shared" ref="E121:M121" si="29">D121-$K41</f>
        <v>96</v>
      </c>
      <c r="F121" s="3682">
        <f t="shared" si="29"/>
        <v>94</v>
      </c>
      <c r="G121" s="3682">
        <f t="shared" si="29"/>
        <v>92</v>
      </c>
      <c r="H121" s="3682">
        <f t="shared" si="29"/>
        <v>90</v>
      </c>
      <c r="I121" s="3682">
        <f t="shared" si="29"/>
        <v>88</v>
      </c>
      <c r="J121" s="3682">
        <f t="shared" si="29"/>
        <v>86</v>
      </c>
      <c r="K121" s="3682">
        <f t="shared" si="29"/>
        <v>84</v>
      </c>
      <c r="L121" s="3682">
        <f t="shared" si="29"/>
        <v>82</v>
      </c>
      <c r="M121" s="3683">
        <f t="shared" si="29"/>
        <v>80</v>
      </c>
      <c r="N121" s="3696"/>
      <c r="O121" s="3696"/>
      <c r="P121" s="3697"/>
      <c r="Q121" s="3698"/>
    </row>
    <row r="122" spans="1:17" ht="15" thickTop="1">
      <c r="A122" s="3571"/>
      <c r="B122" s="3676" t="s">
        <v>3683</v>
      </c>
      <c r="C122" s="3722" t="s">
        <v>3684</v>
      </c>
      <c r="D122" s="3692"/>
      <c r="E122" s="3692"/>
      <c r="F122" s="3728"/>
      <c r="G122" s="3728"/>
      <c r="H122" s="3728"/>
      <c r="I122" s="3728"/>
      <c r="J122" s="3728"/>
      <c r="K122" s="3729"/>
      <c r="L122" s="3730"/>
      <c r="M122" s="3731"/>
      <c r="N122" s="3670"/>
      <c r="O122" s="3670"/>
      <c r="P122" s="3671"/>
      <c r="Q122" s="3653"/>
    </row>
    <row r="123" spans="1:17" ht="15.75" thickBot="1">
      <c r="A123" s="3672"/>
      <c r="B123" s="3681"/>
      <c r="C123" s="3682">
        <v>100</v>
      </c>
      <c r="D123" s="3682">
        <f t="shared" ref="D123:M123" si="30">C123-$K42</f>
        <v>98</v>
      </c>
      <c r="E123" s="3682">
        <f t="shared" si="30"/>
        <v>96</v>
      </c>
      <c r="F123" s="3682">
        <f t="shared" si="30"/>
        <v>94</v>
      </c>
      <c r="G123" s="3682">
        <f t="shared" si="30"/>
        <v>92</v>
      </c>
      <c r="H123" s="3682">
        <f t="shared" si="30"/>
        <v>90</v>
      </c>
      <c r="I123" s="3682">
        <f t="shared" si="30"/>
        <v>88</v>
      </c>
      <c r="J123" s="3682">
        <f t="shared" si="30"/>
        <v>86</v>
      </c>
      <c r="K123" s="3682">
        <f t="shared" si="30"/>
        <v>84</v>
      </c>
      <c r="L123" s="3682">
        <f t="shared" si="30"/>
        <v>82</v>
      </c>
      <c r="M123" s="3683">
        <f t="shared" si="30"/>
        <v>80</v>
      </c>
      <c r="N123" s="3572"/>
      <c r="O123" s="3572"/>
      <c r="P123" s="3671"/>
      <c r="Q123" s="3653"/>
    </row>
    <row r="124" spans="1:17" ht="15" thickTop="1">
      <c r="A124" s="3571"/>
      <c r="B124" s="3676" t="s">
        <v>2612</v>
      </c>
      <c r="C124" s="3718" t="s">
        <v>2588</v>
      </c>
      <c r="D124" s="3718" t="s">
        <v>3645</v>
      </c>
      <c r="E124" s="3718" t="s">
        <v>3646</v>
      </c>
      <c r="F124" s="3718" t="s">
        <v>3647</v>
      </c>
      <c r="G124" s="3718" t="s">
        <v>3648</v>
      </c>
      <c r="H124" s="3677"/>
      <c r="I124" s="3677"/>
      <c r="J124" s="3677"/>
      <c r="K124" s="3678"/>
      <c r="L124" s="3679"/>
      <c r="M124" s="3680"/>
      <c r="N124" s="3670"/>
      <c r="O124" s="3670"/>
      <c r="P124" s="3697"/>
      <c r="Q124" s="3653"/>
    </row>
    <row r="125" spans="1:17" ht="15.75" thickBot="1">
      <c r="A125" s="3672"/>
      <c r="B125" s="3681"/>
      <c r="C125" s="3682">
        <v>100</v>
      </c>
      <c r="D125" s="3682">
        <f>C125-$K43</f>
        <v>98</v>
      </c>
      <c r="E125" s="3682">
        <f>D125-$K43</f>
        <v>96</v>
      </c>
      <c r="F125" s="3682">
        <f>E125-$K43</f>
        <v>94</v>
      </c>
      <c r="G125" s="3682">
        <f>F125-$K43</f>
        <v>92</v>
      </c>
      <c r="H125" s="3682"/>
      <c r="I125" s="3682"/>
      <c r="J125" s="3682"/>
      <c r="K125" s="3682"/>
      <c r="L125" s="3682"/>
      <c r="M125" s="3683"/>
      <c r="N125" s="3572"/>
      <c r="O125" s="3572"/>
      <c r="P125" s="3671"/>
      <c r="Q125" s="3653"/>
    </row>
    <row r="126" spans="1:17" s="3555" customFormat="1" ht="15" hidden="1" thickTop="1">
      <c r="A126" s="3741"/>
      <c r="B126" s="3676">
        <f>B44</f>
        <v>0</v>
      </c>
      <c r="C126" s="3692"/>
      <c r="D126" s="3692"/>
      <c r="E126" s="3692"/>
      <c r="F126" s="3692"/>
      <c r="G126" s="3692"/>
      <c r="H126" s="3693"/>
      <c r="I126" s="3693"/>
      <c r="J126" s="3693"/>
      <c r="K126" s="3693"/>
      <c r="L126" s="3694"/>
      <c r="M126" s="3695"/>
      <c r="N126" s="3696"/>
      <c r="O126" s="3696"/>
      <c r="P126" s="3697"/>
      <c r="Q126" s="3698"/>
    </row>
    <row r="127" spans="1:17" s="3555" customFormat="1" ht="16.5" hidden="1" thickTop="1" thickBot="1">
      <c r="A127" s="3691"/>
      <c r="B127" s="3681"/>
      <c r="C127" s="3699"/>
      <c r="D127" s="3674"/>
      <c r="E127" s="3674"/>
      <c r="F127" s="3674"/>
      <c r="G127" s="3699"/>
      <c r="H127" s="3702"/>
      <c r="I127" s="3702"/>
      <c r="J127" s="3702"/>
      <c r="K127" s="3702"/>
      <c r="L127" s="3702"/>
      <c r="M127" s="3703"/>
      <c r="N127" s="3696"/>
      <c r="O127" s="3696"/>
      <c r="P127" s="3697"/>
      <c r="Q127" s="3698"/>
    </row>
    <row r="128" spans="1:17" ht="15" hidden="1" thickTop="1">
      <c r="A128" s="3571"/>
      <c r="B128" s="3676">
        <f>B45</f>
        <v>0</v>
      </c>
      <c r="C128" s="3692"/>
      <c r="D128" s="3692"/>
      <c r="E128" s="3692"/>
      <c r="F128" s="3692"/>
      <c r="G128" s="3728"/>
      <c r="H128" s="3728"/>
      <c r="I128" s="3728"/>
      <c r="J128" s="3728"/>
      <c r="K128" s="3729"/>
      <c r="L128" s="3730"/>
      <c r="M128" s="3731"/>
      <c r="N128" s="3670"/>
      <c r="O128" s="3670"/>
      <c r="P128" s="3671"/>
      <c r="Q128" s="3653"/>
    </row>
    <row r="129" spans="1:17" ht="16.5" hidden="1" thickTop="1" thickBot="1">
      <c r="A129" s="3672"/>
      <c r="B129" s="3681"/>
      <c r="C129" s="3699"/>
      <c r="D129" s="3674"/>
      <c r="E129" s="3674"/>
      <c r="F129" s="3674"/>
      <c r="G129" s="3674"/>
      <c r="H129" s="3674"/>
      <c r="I129" s="3674"/>
      <c r="J129" s="3674"/>
      <c r="K129" s="3674"/>
      <c r="L129" s="3674"/>
      <c r="M129" s="3675"/>
      <c r="N129" s="3572"/>
      <c r="O129" s="3572"/>
      <c r="P129" s="3671"/>
      <c r="Q129" s="3653"/>
    </row>
    <row r="130" spans="1:17" ht="15" hidden="1" thickTop="1">
      <c r="A130" s="3571"/>
      <c r="B130" s="3684">
        <f>B46</f>
        <v>0</v>
      </c>
      <c r="C130" s="3692"/>
      <c r="D130" s="3692"/>
      <c r="E130" s="3692"/>
      <c r="F130" s="3692"/>
      <c r="G130" s="3732"/>
      <c r="H130" s="3732"/>
      <c r="I130" s="3732"/>
      <c r="J130" s="3732"/>
      <c r="K130" s="3656"/>
      <c r="L130" s="3657"/>
      <c r="M130" s="3735"/>
      <c r="N130" s="3670"/>
      <c r="O130" s="3670"/>
      <c r="P130" s="3671"/>
      <c r="Q130" s="3653"/>
    </row>
    <row r="131" spans="1:17" ht="16.5" hidden="1" thickTop="1" thickBot="1">
      <c r="A131" s="3736"/>
      <c r="B131" s="3709"/>
      <c r="C131" s="3710"/>
      <c r="D131" s="3710"/>
      <c r="E131" s="3710"/>
      <c r="F131" s="3710"/>
      <c r="G131" s="3737"/>
      <c r="H131" s="3737"/>
      <c r="I131" s="3737"/>
      <c r="J131" s="3737"/>
      <c r="K131" s="3737"/>
      <c r="L131" s="3737"/>
      <c r="M131" s="3738"/>
      <c r="N131" s="3572"/>
      <c r="O131" s="3572"/>
      <c r="P131" s="3671"/>
      <c r="Q131" s="3653"/>
    </row>
    <row r="132" spans="1:17" ht="15" thickTop="1">
      <c r="B132" s="3405"/>
      <c r="C132" s="3405"/>
      <c r="D132" s="3405"/>
      <c r="E132" s="3405"/>
      <c r="F132" s="3405"/>
      <c r="G132" s="3405"/>
      <c r="H132" s="3405"/>
      <c r="I132" s="3405"/>
      <c r="J132" s="3405"/>
      <c r="K132" s="3753"/>
      <c r="L132" s="3754"/>
      <c r="M132" s="3405"/>
      <c r="N132" s="3405"/>
      <c r="O132" s="3405"/>
      <c r="P132" s="3755"/>
      <c r="Q132" s="3405"/>
    </row>
    <row r="133" spans="1:17" ht="14.25">
      <c r="A133" s="3405"/>
      <c r="B133" s="3405"/>
      <c r="C133" s="3405"/>
      <c r="D133" s="3405"/>
      <c r="E133" s="3405"/>
      <c r="F133" s="3405"/>
      <c r="G133" s="3405"/>
      <c r="H133" s="3405"/>
      <c r="I133" s="3405"/>
      <c r="J133" s="3405"/>
      <c r="K133" s="3753"/>
      <c r="L133" s="3754"/>
      <c r="M133" s="3405"/>
      <c r="N133" s="3405"/>
      <c r="O133" s="3405"/>
      <c r="P133" s="3755"/>
      <c r="Q133" s="340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4" type="noConversion"/>
  <conditionalFormatting sqref="F52 H52">
    <cfRule type="containsText" dxfId="35" priority="16" stopIfTrue="1" operator="containsText" text="超过">
      <formula>NOT(ISERROR(SEARCH("超过",F52)))</formula>
    </cfRule>
  </conditionalFormatting>
  <conditionalFormatting sqref="H54">
    <cfRule type="containsText" dxfId="34" priority="15" stopIfTrue="1" operator="containsText" text="超过">
      <formula>NOT(ISERROR(SEARCH("超过",H54)))</formula>
    </cfRule>
  </conditionalFormatting>
  <conditionalFormatting sqref="F54">
    <cfRule type="containsText" dxfId="33" priority="14" stopIfTrue="1" operator="containsText" text="超过">
      <formula>NOT(ISERROR(SEARCH("超过",F54)))</formula>
    </cfRule>
  </conditionalFormatting>
  <conditionalFormatting sqref="F53 H53">
    <cfRule type="containsText" dxfId="32" priority="13" stopIfTrue="1" operator="containsText" text="超过">
      <formula>NOT(ISERROR(SEARCH("超过",F53)))</formula>
    </cfRule>
  </conditionalFormatting>
  <conditionalFormatting sqref="E52">
    <cfRule type="expression" dxfId="31" priority="12" stopIfTrue="1">
      <formula>$F$52="超过30%"</formula>
    </cfRule>
  </conditionalFormatting>
  <conditionalFormatting sqref="E53">
    <cfRule type="expression" dxfId="30" priority="11" stopIfTrue="1">
      <formula>$F$53="超过20%"</formula>
    </cfRule>
  </conditionalFormatting>
  <conditionalFormatting sqref="E54">
    <cfRule type="expression" dxfId="29" priority="10" stopIfTrue="1">
      <formula>$F$54="超过30%"</formula>
    </cfRule>
  </conditionalFormatting>
  <conditionalFormatting sqref="G54">
    <cfRule type="expression" dxfId="28" priority="9" stopIfTrue="1">
      <formula>$H$54="超过30%"</formula>
    </cfRule>
  </conditionalFormatting>
  <conditionalFormatting sqref="G52">
    <cfRule type="expression" dxfId="27" priority="8" stopIfTrue="1">
      <formula>$H$52="超过30%"</formula>
    </cfRule>
  </conditionalFormatting>
  <conditionalFormatting sqref="G53">
    <cfRule type="expression" dxfId="26" priority="7" stopIfTrue="1">
      <formula>$H$53="超过20%"</formula>
    </cfRule>
  </conditionalFormatting>
  <conditionalFormatting sqref="J52">
    <cfRule type="containsText" dxfId="25" priority="6" stopIfTrue="1" operator="containsText" text="超过">
      <formula>NOT(ISERROR(SEARCH("超过",J52)))</formula>
    </cfRule>
  </conditionalFormatting>
  <conditionalFormatting sqref="J54">
    <cfRule type="containsText" dxfId="24" priority="5" stopIfTrue="1" operator="containsText" text="超过">
      <formula>NOT(ISERROR(SEARCH("超过",J54)))</formula>
    </cfRule>
  </conditionalFormatting>
  <conditionalFormatting sqref="J53">
    <cfRule type="containsText" dxfId="23" priority="4" stopIfTrue="1" operator="containsText" text="超过">
      <formula>NOT(ISERROR(SEARCH("超过",J53)))</formula>
    </cfRule>
  </conditionalFormatting>
  <conditionalFormatting sqref="I52">
    <cfRule type="expression" dxfId="22" priority="3" stopIfTrue="1">
      <formula>$J$52="超过30%"</formula>
    </cfRule>
  </conditionalFormatting>
  <conditionalFormatting sqref="I53">
    <cfRule type="expression" dxfId="21" priority="2" stopIfTrue="1">
      <formula>$J$53="超过20%"</formula>
    </cfRule>
  </conditionalFormatting>
  <conditionalFormatting sqref="I54">
    <cfRule type="expression" dxfId="2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昆仑信托有限责任公司：</v>
      </c>
    </row>
    <row r="4" spans="1:1" ht="36">
      <c r="A4" s="1946" t="str">
        <f>"受贵公司委托，我公司对"&amp;项目基本情况!S1&amp;"进行了预评估。"</f>
        <v>受贵公司委托，我公司对北京市海淀区西四环北路160号房地产抵押价值进行了预评估。</v>
      </c>
    </row>
    <row r="5" spans="1:1" ht="18.75">
      <c r="A5" s="1947" t="s">
        <v>1612</v>
      </c>
    </row>
    <row r="6" spans="1:1" ht="18.75">
      <c r="A6" s="1948" t="s">
        <v>1613</v>
      </c>
    </row>
    <row r="7" spans="1:1" ht="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估价对象为北京市海淀区西四环北路160号房地产，为北京碧生源物业管理有限公司所有。根据，估价对象（分摊）出让国有建设用地使用权面积为0平方米，建筑面积为11628.21平方米。</v>
      </c>
    </row>
    <row r="8" spans="1:1" ht="57.75">
      <c r="A8" s="1949" t="s">
        <v>1614</v>
      </c>
    </row>
    <row r="9" spans="1:1" ht="18.75">
      <c r="A9" s="1948" t="s">
        <v>1615</v>
      </c>
    </row>
    <row r="10" spans="1:1" ht="18">
      <c r="A10" s="194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规划建筑面积为11628.21平方米。</v>
      </c>
    </row>
    <row r="11" spans="1:1" ht="76.5">
      <c r="A11" s="1949" t="s">
        <v>1616</v>
      </c>
    </row>
    <row r="12" spans="1:1" ht="18.75">
      <c r="A12" s="1947" t="s">
        <v>1617</v>
      </c>
    </row>
    <row r="13" spans="1:1" ht="38.25" customHeight="1">
      <c r="A13" s="1950"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2018年3月26日（评估专业人员实地查勘之日）</v>
      </c>
    </row>
    <row r="16" spans="1:1" ht="18.75">
      <c r="A16" s="1951" t="s">
        <v>1619</v>
      </c>
    </row>
    <row r="17" spans="1:1" ht="75">
      <c r="A17" s="1946" t="s">
        <v>1620</v>
      </c>
    </row>
    <row r="18" spans="1:1" ht="3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办公及地下车库，土地取得方式为出让，出让国有建设用地使用权剩余土地使用年限为商业31.2年、办公及地下车库41.2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及地下车库，实际开发程度为宗地红线外“七通”（即通路、通电、通讯、通上水、通下水、通热、）、红线内场地平整条件下，剩余土地使用年限为商业31.2年、办公及地下车库41.2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
      </c>
    </row>
    <row r="23" spans="1:1" ht="18.75">
      <c r="A23" s="1951" t="s">
        <v>1609</v>
      </c>
    </row>
    <row r="24" spans="1:1" ht="18">
      <c r="A24" s="1953" t="str">
        <f>"本次评估采用的主估价方法为"&amp;'结果表（办公）'!K4&amp;"和"&amp;'结果表（办公）'!L4&amp;"。"</f>
        <v>本次评估采用的主估价方法为基准地价系数修正法和收益法。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zoomScale="90" zoomScaleNormal="90" workbookViewId="0">
      <selection activeCell="C12" sqref="C12"/>
    </sheetView>
  </sheetViews>
  <sheetFormatPr defaultRowHeight="14.25"/>
  <cols>
    <col min="1" max="1" width="10.5" style="403" customWidth="1"/>
    <col min="2" max="2" width="13.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80" t="s">
        <v>2633</v>
      </c>
      <c r="C1" s="1632" t="s">
        <v>2521</v>
      </c>
      <c r="D1" s="1619" t="s">
        <v>1377</v>
      </c>
      <c r="E1" s="2655"/>
      <c r="F1" s="2582" t="s">
        <v>3586</v>
      </c>
      <c r="G1" s="1629" t="s">
        <v>2634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2318</v>
      </c>
      <c r="B2" s="1416">
        <f>IF(C2="——",ROUND(C49*D3/10000,0),ROUND(C49*D3/10000,0)-D2)</f>
        <v>9585</v>
      </c>
      <c r="C2" s="2584" t="s">
        <v>70</v>
      </c>
      <c r="D2" s="1363" t="e">
        <f ca="1">SUMIF(INDIRECT("'"&amp;F2&amp;"'"&amp;"!A:A"),"承租人权益价值",INDIRECT("'"&amp;F2&amp;"'"&amp;"!c:c"))</f>
        <v>#REF!</v>
      </c>
      <c r="E2" s="2585" t="s">
        <v>2319</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8" customFormat="1" ht="28.5" customHeight="1" thickBot="1">
      <c r="A3" s="247" t="s">
        <v>2320</v>
      </c>
      <c r="B3" s="609">
        <f>IF(C2="——",C49,ROUND(B2*10000/D3,0))</f>
        <v>45548</v>
      </c>
      <c r="C3" s="400" t="s">
        <v>2635</v>
      </c>
      <c r="D3" s="399">
        <f>IF(D1="",'数据-汇总表'!E3,SUMIF('数据-汇总表'!$C19:$C33,D1,'数据-汇总表'!$E19:$E33))</f>
        <v>2104.29</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75" thickBot="1">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204" t="s">
        <v>2639</v>
      </c>
      <c r="AC4" s="3174" t="s">
        <v>2640</v>
      </c>
    </row>
    <row r="5" spans="1:29" ht="15">
      <c r="A5" s="404"/>
      <c r="B5" s="405"/>
      <c r="C5" s="3185" t="s">
        <v>2533</v>
      </c>
      <c r="D5" s="3186"/>
      <c r="E5" s="3410" t="s">
        <v>3603</v>
      </c>
      <c r="F5" s="3411"/>
      <c r="G5" s="3412" t="s">
        <v>3604</v>
      </c>
      <c r="H5" s="3413"/>
      <c r="I5" s="3414" t="s">
        <v>3605</v>
      </c>
      <c r="J5" s="3409"/>
      <c r="K5" s="610"/>
      <c r="L5" s="1128"/>
      <c r="M5" s="1129"/>
      <c r="N5" s="1129"/>
      <c r="O5" s="1129"/>
      <c r="P5" s="3198"/>
      <c r="Q5" s="3199"/>
      <c r="R5" s="3181"/>
      <c r="S5" s="3182"/>
      <c r="T5" s="3181"/>
      <c r="U5" s="3182"/>
      <c r="V5" s="3204"/>
      <c r="W5" s="3204"/>
      <c r="X5" s="1811"/>
      <c r="Y5" s="3181"/>
      <c r="Z5" s="3182"/>
      <c r="AA5" s="3175"/>
      <c r="AB5" s="3204"/>
      <c r="AC5" s="3175"/>
    </row>
    <row r="6" spans="1:29"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204"/>
      <c r="AC6" s="3176"/>
    </row>
    <row r="7" spans="1:29" s="117" customFormat="1" ht="15.75" thickBot="1">
      <c r="A7" s="408" t="s">
        <v>2539</v>
      </c>
      <c r="B7" s="409"/>
      <c r="C7" s="410">
        <f>'数据-取费表'!B2</f>
        <v>43185</v>
      </c>
      <c r="D7" s="411">
        <v>100</v>
      </c>
      <c r="E7" s="412">
        <v>43160</v>
      </c>
      <c r="F7" s="413">
        <f>SUMIF(58:58,YEAR(E7)&amp;"-"&amp;MONTH(E7),59:59)</f>
        <v>100</v>
      </c>
      <c r="G7" s="412">
        <v>43160</v>
      </c>
      <c r="H7" s="411">
        <f>SUMIF(58:58,YEAR(G7)&amp;"-"&amp;MONTH(G7),59:59)</f>
        <v>100</v>
      </c>
      <c r="I7" s="412">
        <v>43160</v>
      </c>
      <c r="J7" s="411">
        <f>SUMIF(58:58,YEAR(I7)&amp;"-"&amp;MONTH(I7),59:59)</f>
        <v>100</v>
      </c>
      <c r="K7" s="611"/>
      <c r="L7" s="1130"/>
      <c r="M7" s="1131"/>
      <c r="N7" s="1131"/>
      <c r="O7" s="1131"/>
      <c r="P7" s="3177" t="s">
        <v>2540</v>
      </c>
      <c r="Q7" s="3205"/>
      <c r="R7" s="770" t="s">
        <v>17</v>
      </c>
      <c r="S7" s="771">
        <f t="shared" ref="S7:S15" si="0">F7</f>
        <v>100</v>
      </c>
      <c r="T7" s="770" t="s">
        <v>17</v>
      </c>
      <c r="U7" s="771">
        <f t="shared" ref="U7:U15" si="1">H7</f>
        <v>100</v>
      </c>
      <c r="V7" s="770" t="s">
        <v>17</v>
      </c>
      <c r="W7" s="771">
        <f t="shared" ref="W7:W15" si="2">J7</f>
        <v>100</v>
      </c>
      <c r="X7" s="772"/>
      <c r="Y7" s="3177" t="s">
        <v>2540</v>
      </c>
      <c r="Z7" s="3178"/>
      <c r="AA7" s="773">
        <f>D7/F7</f>
        <v>1</v>
      </c>
      <c r="AB7" s="773">
        <f>D7/H7</f>
        <v>1</v>
      </c>
      <c r="AC7" s="773">
        <f>D7/J7</f>
        <v>1</v>
      </c>
    </row>
    <row r="8" spans="1:29" s="117" customFormat="1" ht="15.75" thickBot="1">
      <c r="A8" s="408" t="s">
        <v>2541</v>
      </c>
      <c r="B8" s="409"/>
      <c r="C8" s="414" t="s">
        <v>2643</v>
      </c>
      <c r="D8" s="411">
        <v>100</v>
      </c>
      <c r="E8" s="414" t="s">
        <v>3587</v>
      </c>
      <c r="F8" s="413">
        <f>SUMIF(61:61,E8,62:62)-SUMIF(61:61,C8,62:62)+100</f>
        <v>100</v>
      </c>
      <c r="G8" s="414" t="s">
        <v>3587</v>
      </c>
      <c r="H8" s="411">
        <f>SUMIF(61:61,G8,62:62)-SUMIF(61:61,C8,62:62)+100</f>
        <v>100</v>
      </c>
      <c r="I8" s="414" t="s">
        <v>3587</v>
      </c>
      <c r="J8" s="411">
        <f>SUMIF(61:61,I8,62:62)-SUMIF(61:61,C8,62:62)+100</f>
        <v>100</v>
      </c>
      <c r="K8" s="611"/>
      <c r="L8" s="1130"/>
      <c r="M8" s="1131"/>
      <c r="N8" s="1131"/>
      <c r="O8" s="1131"/>
      <c r="P8" s="3177" t="s">
        <v>2543</v>
      </c>
      <c r="Q8" s="3178"/>
      <c r="R8" s="770" t="s">
        <v>17</v>
      </c>
      <c r="S8" s="771">
        <f t="shared" si="0"/>
        <v>100</v>
      </c>
      <c r="T8" s="770" t="s">
        <v>17</v>
      </c>
      <c r="U8" s="771">
        <f t="shared" si="1"/>
        <v>100</v>
      </c>
      <c r="V8" s="770" t="s">
        <v>17</v>
      </c>
      <c r="W8" s="771">
        <f t="shared" si="2"/>
        <v>100</v>
      </c>
      <c r="X8" s="772"/>
      <c r="Y8" s="3177" t="s">
        <v>2543</v>
      </c>
      <c r="Z8" s="3178"/>
      <c r="AA8" s="773">
        <f t="shared" ref="AA8:AA46" si="3">D8/F8</f>
        <v>1</v>
      </c>
      <c r="AB8" s="773">
        <f t="shared" ref="AB8:AB46" si="4">D8/H8</f>
        <v>1</v>
      </c>
      <c r="AC8" s="773">
        <f t="shared" ref="AC8:AC46" si="5">D8/J8</f>
        <v>1</v>
      </c>
    </row>
    <row r="9" spans="1:29" s="117" customFormat="1">
      <c r="A9" s="415" t="s">
        <v>2544</v>
      </c>
      <c r="B9" s="71" t="s">
        <v>2545</v>
      </c>
      <c r="C9" s="3356" t="s">
        <v>3692</v>
      </c>
      <c r="D9" s="135">
        <v>100</v>
      </c>
      <c r="E9" s="417" t="s">
        <v>1377</v>
      </c>
      <c r="F9" s="418">
        <f>SUMIF(63:63,E9,64:64)-SUMIF(63:63,C9,64:64)+100</f>
        <v>100</v>
      </c>
      <c r="G9" s="417" t="s">
        <v>1377</v>
      </c>
      <c r="H9" s="135">
        <f>SUMIF(63:63,G9,64:64)-SUMIF(63:63,C9,64:64)+100</f>
        <v>100</v>
      </c>
      <c r="I9" s="417" t="s">
        <v>1377</v>
      </c>
      <c r="J9" s="135">
        <f>SUMIF(63:63,I9,64:64)-SUMIF(63:63,C9,64:64)+100</f>
        <v>100</v>
      </c>
      <c r="K9" s="611"/>
      <c r="L9" s="1130"/>
      <c r="M9" s="1131"/>
      <c r="N9" s="1131"/>
      <c r="O9" s="1131"/>
      <c r="P9" s="3191"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29" s="3771" customFormat="1" ht="27">
      <c r="A10" s="3772"/>
      <c r="B10" s="3758" t="s">
        <v>3691</v>
      </c>
      <c r="C10" s="3773" t="s">
        <v>3610</v>
      </c>
      <c r="D10" s="3760">
        <v>100</v>
      </c>
      <c r="E10" s="3774" t="s">
        <v>3610</v>
      </c>
      <c r="F10" s="3761">
        <f>SUMIF(65:65,E10,66:66)-SUMIF(65:65,C10,66:66)+100</f>
        <v>100</v>
      </c>
      <c r="G10" s="3773" t="s">
        <v>3610</v>
      </c>
      <c r="H10" s="3760">
        <f>SUMIF(65:65,G10,66:66)-SUMIF(65:65,C10,66:66)+100</f>
        <v>100</v>
      </c>
      <c r="I10" s="3773" t="s">
        <v>3610</v>
      </c>
      <c r="J10" s="3760">
        <f>SUMIF(65:65,I10,66:66)-SUMIF(65:65,C10,66:66)+100</f>
        <v>100</v>
      </c>
      <c r="K10" s="3762">
        <v>0</v>
      </c>
      <c r="L10" s="3763"/>
      <c r="M10" s="3764"/>
      <c r="N10" s="3764"/>
      <c r="O10" s="3764"/>
      <c r="P10" s="3191"/>
      <c r="Q10" s="3765" t="str">
        <f t="shared" si="6"/>
        <v>土地使用年限（年）</v>
      </c>
      <c r="R10" s="3766" t="s">
        <v>17</v>
      </c>
      <c r="S10" s="3767">
        <f t="shared" si="0"/>
        <v>100</v>
      </c>
      <c r="T10" s="3766" t="s">
        <v>17</v>
      </c>
      <c r="U10" s="3767">
        <f t="shared" si="1"/>
        <v>100</v>
      </c>
      <c r="V10" s="3766" t="s">
        <v>17</v>
      </c>
      <c r="W10" s="3767">
        <f t="shared" si="2"/>
        <v>100</v>
      </c>
      <c r="X10" s="3768"/>
      <c r="Y10" s="3024"/>
      <c r="Z10" s="3769" t="str">
        <f t="shared" si="7"/>
        <v>土地使用年限（年）</v>
      </c>
      <c r="AA10" s="3770">
        <f t="shared" si="3"/>
        <v>1</v>
      </c>
      <c r="AB10" s="3770">
        <f t="shared" si="4"/>
        <v>1</v>
      </c>
      <c r="AC10" s="3770">
        <f t="shared" si="5"/>
        <v>1</v>
      </c>
    </row>
    <row r="11" spans="1:29" ht="15" hidden="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191"/>
      <c r="Q11" s="1793"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773">
        <f t="shared" si="5"/>
        <v>1</v>
      </c>
    </row>
    <row r="12" spans="1:29" s="117" customFormat="1" ht="43.5" thickBot="1">
      <c r="A12" s="431"/>
      <c r="B12" s="3756" t="s">
        <v>3687</v>
      </c>
      <c r="C12" s="432"/>
      <c r="D12" s="433">
        <v>100</v>
      </c>
      <c r="E12" s="434" t="s">
        <v>3685</v>
      </c>
      <c r="F12" s="425">
        <f>SUMIF(70:70,E12,71:71)-SUMIF(70:70,C12,71:71)+100</f>
        <v>100</v>
      </c>
      <c r="G12" s="434" t="s">
        <v>3686</v>
      </c>
      <c r="H12" s="136">
        <f>SUMIF(70:70,G12,71:71)-SUMIF(70:70,C12,71:71)+100</f>
        <v>100</v>
      </c>
      <c r="I12" s="434"/>
      <c r="J12" s="136">
        <f>SUMIF(70:70,I12,71:71)-SUMIF(70:70,C12,71:71)+100</f>
        <v>100</v>
      </c>
      <c r="K12" s="613"/>
      <c r="L12" s="1130"/>
      <c r="M12" s="1131"/>
      <c r="N12" s="1131"/>
      <c r="O12" s="1131"/>
      <c r="P12" s="3191"/>
      <c r="Q12" s="1793" t="str">
        <f t="shared" si="6"/>
        <v>建成年代</v>
      </c>
      <c r="R12" s="770" t="s">
        <v>17</v>
      </c>
      <c r="S12" s="771">
        <f t="shared" si="0"/>
        <v>100</v>
      </c>
      <c r="T12" s="770" t="s">
        <v>17</v>
      </c>
      <c r="U12" s="771">
        <f t="shared" si="1"/>
        <v>100</v>
      </c>
      <c r="V12" s="770" t="s">
        <v>17</v>
      </c>
      <c r="W12" s="771">
        <f t="shared" si="2"/>
        <v>100</v>
      </c>
      <c r="X12" s="772"/>
      <c r="Y12" s="3024"/>
      <c r="Z12" s="55" t="str">
        <f t="shared" si="7"/>
        <v>建成年代</v>
      </c>
      <c r="AA12" s="773">
        <f>D12/F12</f>
        <v>1</v>
      </c>
      <c r="AB12" s="773">
        <f>D12/H12</f>
        <v>1</v>
      </c>
      <c r="AC12" s="773">
        <f>D12/J12</f>
        <v>1</v>
      </c>
    </row>
    <row r="13" spans="1:29" ht="15" hidden="1">
      <c r="A13" s="428"/>
      <c r="B13" s="2598"/>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1"/>
      <c r="Q13" s="1793">
        <f t="shared" si="6"/>
        <v>0</v>
      </c>
      <c r="R13" s="770" t="s">
        <v>17</v>
      </c>
      <c r="S13" s="771">
        <f t="shared" si="0"/>
        <v>100</v>
      </c>
      <c r="T13" s="770" t="s">
        <v>17</v>
      </c>
      <c r="U13" s="771">
        <f t="shared" si="1"/>
        <v>100</v>
      </c>
      <c r="V13" s="770" t="s">
        <v>17</v>
      </c>
      <c r="W13" s="771">
        <f t="shared" si="2"/>
        <v>100</v>
      </c>
      <c r="X13" s="772"/>
      <c r="Y13" s="3024"/>
      <c r="Z13" s="55">
        <f t="shared" si="7"/>
        <v>0</v>
      </c>
      <c r="AA13" s="773">
        <f t="shared" si="3"/>
        <v>1</v>
      </c>
      <c r="AB13" s="773">
        <f t="shared" si="4"/>
        <v>1</v>
      </c>
      <c r="AC13" s="773">
        <f t="shared" si="5"/>
        <v>1</v>
      </c>
    </row>
    <row r="14" spans="1:29" ht="15.75" hidden="1" thickBot="1">
      <c r="A14" s="436"/>
      <c r="B14" s="2600"/>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1"/>
      <c r="Q14" s="1793">
        <f t="shared" si="6"/>
        <v>0</v>
      </c>
      <c r="R14" s="770" t="s">
        <v>17</v>
      </c>
      <c r="S14" s="771">
        <f t="shared" si="0"/>
        <v>100</v>
      </c>
      <c r="T14" s="770" t="s">
        <v>17</v>
      </c>
      <c r="U14" s="771">
        <f t="shared" si="1"/>
        <v>100</v>
      </c>
      <c r="V14" s="770" t="s">
        <v>17</v>
      </c>
      <c r="W14" s="771">
        <f t="shared" si="2"/>
        <v>100</v>
      </c>
      <c r="X14" s="772"/>
      <c r="Y14" s="3024"/>
      <c r="Z14" s="55">
        <f t="shared" si="7"/>
        <v>0</v>
      </c>
      <c r="AA14" s="773">
        <f t="shared" si="3"/>
        <v>1</v>
      </c>
      <c r="AB14" s="773">
        <f t="shared" si="4"/>
        <v>1</v>
      </c>
      <c r="AC14" s="773">
        <f t="shared" si="5"/>
        <v>1</v>
      </c>
    </row>
    <row r="15" spans="1:29" ht="28.5">
      <c r="A15" s="440" t="s">
        <v>2550</v>
      </c>
      <c r="B15" s="69" t="s">
        <v>2644</v>
      </c>
      <c r="C15" s="2601" t="str">
        <f>估价对象房地状况!C4</f>
        <v>XX商圈，周边商业氛围，人流量</v>
      </c>
      <c r="D15" s="441">
        <v>100</v>
      </c>
      <c r="E15" s="442"/>
      <c r="F15" s="443">
        <f>SUMIF(76:76,E16,77:77)-SUMIF(76:76,C16,77:77)+100</f>
        <v>105</v>
      </c>
      <c r="G15" s="444"/>
      <c r="H15" s="441">
        <f>SUMIF(76:76,G16,77:77)-SUMIF(76:76,C16,77:77)+100</f>
        <v>100</v>
      </c>
      <c r="I15" s="442"/>
      <c r="J15" s="441">
        <f>SUMIF(76:76,I16,77:77)-SUMIF(76:76,C16,77:77)+100</f>
        <v>100</v>
      </c>
      <c r="K15" s="614">
        <v>5</v>
      </c>
      <c r="L15" s="1138"/>
      <c r="M15" s="1129"/>
      <c r="N15" s="1129"/>
      <c r="O15" s="1129"/>
      <c r="P15" s="3218" t="s">
        <v>2551</v>
      </c>
      <c r="Q15" s="1808" t="str">
        <f t="shared" si="6"/>
        <v>商业繁华度</v>
      </c>
      <c r="R15" s="774" t="s">
        <v>17</v>
      </c>
      <c r="S15" s="775">
        <f t="shared" si="0"/>
        <v>105</v>
      </c>
      <c r="T15" s="774" t="s">
        <v>17</v>
      </c>
      <c r="U15" s="775">
        <f t="shared" si="1"/>
        <v>100</v>
      </c>
      <c r="V15" s="774" t="s">
        <v>17</v>
      </c>
      <c r="W15" s="775">
        <f t="shared" si="2"/>
        <v>100</v>
      </c>
      <c r="X15" s="1811"/>
      <c r="Y15" s="3211" t="s">
        <v>2551</v>
      </c>
      <c r="Z15" s="1812" t="str">
        <f t="shared" si="7"/>
        <v>商业繁华度</v>
      </c>
      <c r="AA15" s="1809">
        <f t="shared" si="3"/>
        <v>0.95238095238095233</v>
      </c>
      <c r="AB15" s="1809">
        <f t="shared" si="4"/>
        <v>1</v>
      </c>
      <c r="AC15" s="1809">
        <f t="shared" si="5"/>
        <v>1</v>
      </c>
    </row>
    <row r="16" spans="1:29" ht="15">
      <c r="A16" s="428"/>
      <c r="B16" s="446"/>
      <c r="C16" s="447" t="s">
        <v>3591</v>
      </c>
      <c r="D16" s="448"/>
      <c r="E16" s="447" t="s">
        <v>3589</v>
      </c>
      <c r="F16" s="449"/>
      <c r="G16" s="447" t="s">
        <v>3591</v>
      </c>
      <c r="H16" s="450"/>
      <c r="I16" s="447" t="s">
        <v>3591</v>
      </c>
      <c r="J16" s="448"/>
      <c r="K16" s="615"/>
      <c r="L16" s="1138"/>
      <c r="M16" s="1129"/>
      <c r="N16" s="1129"/>
      <c r="O16" s="1129"/>
      <c r="P16" s="3219"/>
      <c r="Q16" s="1808"/>
      <c r="R16" s="774"/>
      <c r="S16" s="775"/>
      <c r="T16" s="774"/>
      <c r="U16" s="775"/>
      <c r="V16" s="774"/>
      <c r="W16" s="775"/>
      <c r="X16" s="1811"/>
      <c r="Y16" s="3212"/>
      <c r="Z16" s="1812"/>
      <c r="AA16" s="1809">
        <v>1</v>
      </c>
      <c r="AB16" s="1809">
        <v>1</v>
      </c>
      <c r="AC16" s="1809">
        <v>1</v>
      </c>
    </row>
    <row r="17" spans="1:29" ht="71.25">
      <c r="A17" s="428"/>
      <c r="B17" s="451" t="s">
        <v>2089</v>
      </c>
      <c r="C17" s="2605"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100</v>
      </c>
      <c r="K17" s="614">
        <v>5</v>
      </c>
      <c r="L17" s="1138"/>
      <c r="M17" s="1129"/>
      <c r="N17" s="1129"/>
      <c r="O17" s="1129"/>
      <c r="P17" s="3219"/>
      <c r="Q17" s="1808" t="str">
        <f>B17</f>
        <v>交通便捷度</v>
      </c>
      <c r="R17" s="774" t="s">
        <v>17</v>
      </c>
      <c r="S17" s="775">
        <f>F17</f>
        <v>100</v>
      </c>
      <c r="T17" s="774" t="s">
        <v>17</v>
      </c>
      <c r="U17" s="775">
        <f>H17</f>
        <v>95</v>
      </c>
      <c r="V17" s="774" t="s">
        <v>17</v>
      </c>
      <c r="W17" s="775">
        <f>J17</f>
        <v>100</v>
      </c>
      <c r="X17" s="1811"/>
      <c r="Y17" s="3212"/>
      <c r="Z17" s="1812" t="str">
        <f>Q17</f>
        <v>交通便捷度</v>
      </c>
      <c r="AA17" s="1809">
        <f t="shared" si="3"/>
        <v>1</v>
      </c>
      <c r="AB17" s="1809">
        <f t="shared" si="4"/>
        <v>1.0526315789473684</v>
      </c>
      <c r="AC17" s="1809">
        <f t="shared" si="5"/>
        <v>1</v>
      </c>
    </row>
    <row r="18" spans="1:29" ht="15">
      <c r="A18" s="428"/>
      <c r="B18" s="456"/>
      <c r="C18" s="2608" t="s">
        <v>3598</v>
      </c>
      <c r="D18" s="450"/>
      <c r="E18" s="2608" t="s">
        <v>3598</v>
      </c>
      <c r="F18" s="453"/>
      <c r="G18" s="2607" t="s">
        <v>3589</v>
      </c>
      <c r="H18" s="448"/>
      <c r="I18" s="2608" t="s">
        <v>3598</v>
      </c>
      <c r="J18" s="448"/>
      <c r="K18" s="615"/>
      <c r="L18" s="1138"/>
      <c r="M18" s="1129"/>
      <c r="N18" s="1129"/>
      <c r="O18" s="1129"/>
      <c r="P18" s="3219"/>
      <c r="Q18" s="1808"/>
      <c r="R18" s="774"/>
      <c r="S18" s="775"/>
      <c r="T18" s="774"/>
      <c r="U18" s="775"/>
      <c r="V18" s="774"/>
      <c r="W18" s="775"/>
      <c r="X18" s="1811"/>
      <c r="Y18" s="3212"/>
      <c r="Z18" s="1812"/>
      <c r="AA18" s="1809">
        <v>1</v>
      </c>
      <c r="AB18" s="1809">
        <v>1</v>
      </c>
      <c r="AC18" s="1809">
        <v>1</v>
      </c>
    </row>
    <row r="19" spans="1:29" ht="114">
      <c r="A19" s="428"/>
      <c r="B19" s="451" t="s">
        <v>2645</v>
      </c>
      <c r="C19" s="2605"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8"/>
      <c r="M19" s="1129"/>
      <c r="N19" s="1129"/>
      <c r="O19" s="1129"/>
      <c r="P19" s="3219"/>
      <c r="Q19" s="1808" t="str">
        <f>B19</f>
        <v>公共配套设施</v>
      </c>
      <c r="R19" s="774" t="s">
        <v>17</v>
      </c>
      <c r="S19" s="775">
        <f>F19</f>
        <v>100</v>
      </c>
      <c r="T19" s="774" t="s">
        <v>17</v>
      </c>
      <c r="U19" s="775">
        <f>H19</f>
        <v>100</v>
      </c>
      <c r="V19" s="774" t="s">
        <v>17</v>
      </c>
      <c r="W19" s="775">
        <f>J19</f>
        <v>100</v>
      </c>
      <c r="X19" s="1811"/>
      <c r="Y19" s="3212"/>
      <c r="Z19" s="1812" t="str">
        <f>Q19</f>
        <v>公共配套设施</v>
      </c>
      <c r="AA19" s="1809">
        <f t="shared" si="3"/>
        <v>1</v>
      </c>
      <c r="AB19" s="1809">
        <f t="shared" si="4"/>
        <v>1</v>
      </c>
      <c r="AC19" s="1809">
        <f t="shared" si="5"/>
        <v>1</v>
      </c>
    </row>
    <row r="20" spans="1:29" ht="15">
      <c r="A20" s="428"/>
      <c r="B20" s="456"/>
      <c r="C20" s="2603" t="s">
        <v>3589</v>
      </c>
      <c r="D20" s="448"/>
      <c r="E20" s="2603" t="s">
        <v>3589</v>
      </c>
      <c r="F20" s="449"/>
      <c r="G20" s="2602" t="s">
        <v>3589</v>
      </c>
      <c r="H20" s="448"/>
      <c r="I20" s="2603" t="s">
        <v>3589</v>
      </c>
      <c r="J20" s="448"/>
      <c r="K20" s="615"/>
      <c r="L20" s="1138"/>
      <c r="M20" s="1129"/>
      <c r="N20" s="1129"/>
      <c r="O20" s="1129"/>
      <c r="P20" s="3219"/>
      <c r="Q20" s="1808"/>
      <c r="R20" s="774"/>
      <c r="S20" s="775"/>
      <c r="T20" s="774"/>
      <c r="U20" s="775"/>
      <c r="V20" s="774"/>
      <c r="W20" s="775"/>
      <c r="X20" s="1811"/>
      <c r="Y20" s="3212"/>
      <c r="Z20" s="1812"/>
      <c r="AA20" s="1809">
        <v>1</v>
      </c>
      <c r="AB20" s="1809">
        <v>1</v>
      </c>
      <c r="AC20" s="1809">
        <v>1</v>
      </c>
    </row>
    <row r="21" spans="1:29" ht="15">
      <c r="A21" s="428"/>
      <c r="B21" s="1382" t="s">
        <v>2646</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8"/>
      <c r="M21" s="1129"/>
      <c r="N21" s="1129"/>
      <c r="O21" s="1129"/>
      <c r="P21" s="3219"/>
      <c r="Q21" s="1808" t="str">
        <f>B21</f>
        <v>基础设施水平</v>
      </c>
      <c r="R21" s="774" t="s">
        <v>17</v>
      </c>
      <c r="S21" s="775">
        <f>F21</f>
        <v>100</v>
      </c>
      <c r="T21" s="774" t="s">
        <v>17</v>
      </c>
      <c r="U21" s="775">
        <f>H21</f>
        <v>100</v>
      </c>
      <c r="V21" s="774" t="s">
        <v>17</v>
      </c>
      <c r="W21" s="775">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2"/>
      <c r="C22" s="447" t="s">
        <v>3590</v>
      </c>
      <c r="D22" s="448"/>
      <c r="E22" s="447" t="s">
        <v>3590</v>
      </c>
      <c r="F22" s="449"/>
      <c r="G22" s="447" t="s">
        <v>3590</v>
      </c>
      <c r="H22" s="448"/>
      <c r="I22" s="447" t="s">
        <v>3590</v>
      </c>
      <c r="J22" s="448"/>
      <c r="K22" s="1381"/>
      <c r="L22" s="1138"/>
      <c r="M22" s="1129"/>
      <c r="N22" s="1129"/>
      <c r="O22" s="1129"/>
      <c r="P22" s="3219"/>
      <c r="Q22" s="1808"/>
      <c r="R22" s="774"/>
      <c r="S22" s="775"/>
      <c r="T22" s="774"/>
      <c r="U22" s="775"/>
      <c r="V22" s="774"/>
      <c r="W22" s="775"/>
      <c r="X22" s="1811"/>
      <c r="Y22" s="3212"/>
      <c r="Z22" s="1812"/>
      <c r="AA22" s="1809">
        <v>1</v>
      </c>
      <c r="AB22" s="1809">
        <v>1</v>
      </c>
      <c r="AC22" s="1809">
        <v>1</v>
      </c>
    </row>
    <row r="23" spans="1:29" ht="28.5">
      <c r="A23" s="428"/>
      <c r="B23" s="451" t="s">
        <v>2092</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8"/>
      <c r="M23" s="1129"/>
      <c r="N23" s="1129"/>
      <c r="O23" s="1129"/>
      <c r="P23" s="3219"/>
      <c r="Q23" s="1808" t="str">
        <f>B23</f>
        <v>自然及人文环境</v>
      </c>
      <c r="R23" s="774" t="s">
        <v>17</v>
      </c>
      <c r="S23" s="775">
        <f>F23</f>
        <v>100</v>
      </c>
      <c r="T23" s="774" t="s">
        <v>17</v>
      </c>
      <c r="U23" s="775">
        <f>H23</f>
        <v>100</v>
      </c>
      <c r="V23" s="774" t="s">
        <v>17</v>
      </c>
      <c r="W23" s="775">
        <f>J23</f>
        <v>100</v>
      </c>
      <c r="X23" s="1811"/>
      <c r="Y23" s="3212"/>
      <c r="Z23" s="1812" t="str">
        <f>Q23</f>
        <v>自然及人文环境</v>
      </c>
      <c r="AA23" s="1809">
        <f t="shared" si="3"/>
        <v>1</v>
      </c>
      <c r="AB23" s="1809">
        <f t="shared" si="4"/>
        <v>1</v>
      </c>
      <c r="AC23" s="1809">
        <f t="shared" si="5"/>
        <v>1</v>
      </c>
    </row>
    <row r="24" spans="1:29" ht="15">
      <c r="A24" s="428"/>
      <c r="B24" s="456"/>
      <c r="C24" s="2603" t="s">
        <v>3591</v>
      </c>
      <c r="D24" s="448"/>
      <c r="E24" s="2603" t="s">
        <v>3591</v>
      </c>
      <c r="F24" s="449"/>
      <c r="G24" s="2602" t="s">
        <v>3591</v>
      </c>
      <c r="H24" s="448"/>
      <c r="I24" s="2603" t="s">
        <v>3591</v>
      </c>
      <c r="J24" s="448"/>
      <c r="K24" s="615"/>
      <c r="L24" s="1138"/>
      <c r="M24" s="1129"/>
      <c r="N24" s="1129"/>
      <c r="O24" s="1129"/>
      <c r="P24" s="3219"/>
      <c r="Q24" s="1808"/>
      <c r="R24" s="774"/>
      <c r="S24" s="775"/>
      <c r="T24" s="774"/>
      <c r="U24" s="775"/>
      <c r="V24" s="774"/>
      <c r="W24" s="775"/>
      <c r="X24" s="1811"/>
      <c r="Y24" s="3212"/>
      <c r="Z24" s="1812"/>
      <c r="AA24" s="1809">
        <v>1</v>
      </c>
      <c r="AB24" s="1809">
        <v>1</v>
      </c>
      <c r="AC24" s="1809">
        <v>1</v>
      </c>
    </row>
    <row r="25" spans="1:29" ht="15">
      <c r="A25" s="428"/>
      <c r="B25" s="422" t="s">
        <v>2647</v>
      </c>
      <c r="C25" s="616" t="s">
        <v>3618</v>
      </c>
      <c r="D25" s="435">
        <v>100</v>
      </c>
      <c r="E25" s="616" t="s">
        <v>3618</v>
      </c>
      <c r="F25" s="461">
        <f>SUMIF(86:86,E25,87:87)-SUMIF(86:86,C25,87:87)+100</f>
        <v>100</v>
      </c>
      <c r="G25" s="616" t="s">
        <v>3618</v>
      </c>
      <c r="H25" s="435">
        <f>SUMIF(86:86,G25,87:87)-SUMIF(86:86,C25,87:87)+100</f>
        <v>100</v>
      </c>
      <c r="I25" s="616" t="s">
        <v>3618</v>
      </c>
      <c r="J25" s="435">
        <f>SUMIF(86:86,I25,87:87)-SUMIF(86:86,C25,87:87)+100</f>
        <v>100</v>
      </c>
      <c r="K25" s="612">
        <v>3</v>
      </c>
      <c r="L25" s="1138"/>
      <c r="M25" s="1129"/>
      <c r="N25" s="1129"/>
      <c r="O25" s="1129"/>
      <c r="P25" s="3219"/>
      <c r="Q25" s="1808" t="str">
        <f t="shared" ref="Q25:Q46" si="11">B25</f>
        <v>临街状况</v>
      </c>
      <c r="R25" s="774" t="s">
        <v>17</v>
      </c>
      <c r="S25" s="775">
        <f>F25</f>
        <v>100</v>
      </c>
      <c r="T25" s="774" t="s">
        <v>17</v>
      </c>
      <c r="U25" s="775">
        <f>H25</f>
        <v>100</v>
      </c>
      <c r="V25" s="774" t="s">
        <v>17</v>
      </c>
      <c r="W25" s="775">
        <f>J25</f>
        <v>100</v>
      </c>
      <c r="X25" s="1811"/>
      <c r="Y25" s="3212"/>
      <c r="Z25" s="1812" t="str">
        <f>Q25</f>
        <v>临街状况</v>
      </c>
      <c r="AA25" s="1809">
        <f t="shared" si="3"/>
        <v>1</v>
      </c>
      <c r="AB25" s="1809">
        <f t="shared" si="4"/>
        <v>1</v>
      </c>
      <c r="AC25" s="1809">
        <f t="shared" si="5"/>
        <v>1</v>
      </c>
    </row>
    <row r="26" spans="1:29" ht="15">
      <c r="A26" s="428"/>
      <c r="B26" s="1384" t="s">
        <v>2648</v>
      </c>
      <c r="C26" s="3775" t="s">
        <v>3693</v>
      </c>
      <c r="D26" s="435">
        <v>100</v>
      </c>
      <c r="E26" s="434" t="s">
        <v>3589</v>
      </c>
      <c r="F26" s="461">
        <f>SUMIF(88:88,E26,89:89)-SUMIF(88:88,C26,89:89)+100</f>
        <v>103</v>
      </c>
      <c r="G26" s="434" t="s">
        <v>3589</v>
      </c>
      <c r="H26" s="435">
        <f>SUMIF(88:88,G26,89:89)-SUMIF(88:88,C26,89:89)+100</f>
        <v>103</v>
      </c>
      <c r="I26" s="434" t="s">
        <v>3589</v>
      </c>
      <c r="J26" s="435">
        <f>SUMIF(88:88,I26,89:89)-SUMIF(88:88,C26,89:89)+100</f>
        <v>103</v>
      </c>
      <c r="K26" s="613"/>
      <c r="L26" s="1138"/>
      <c r="M26" s="1129"/>
      <c r="N26" s="1129"/>
      <c r="O26" s="1129"/>
      <c r="P26" s="3219"/>
      <c r="Q26" s="1808" t="str">
        <f t="shared" si="11"/>
        <v>平面位置/可视性</v>
      </c>
      <c r="R26" s="774" t="s">
        <v>17</v>
      </c>
      <c r="S26" s="775">
        <f>F26</f>
        <v>103</v>
      </c>
      <c r="T26" s="774" t="s">
        <v>17</v>
      </c>
      <c r="U26" s="775">
        <f>H26</f>
        <v>103</v>
      </c>
      <c r="V26" s="774" t="s">
        <v>17</v>
      </c>
      <c r="W26" s="775">
        <f>J26</f>
        <v>103</v>
      </c>
      <c r="X26" s="1811"/>
      <c r="Y26" s="3212"/>
      <c r="Z26" s="1812" t="str">
        <f>Q26</f>
        <v>平面位置/可视性</v>
      </c>
      <c r="AA26" s="1809">
        <f t="shared" si="3"/>
        <v>0.970873786407767</v>
      </c>
      <c r="AB26" s="1809">
        <f t="shared" si="4"/>
        <v>0.970873786407767</v>
      </c>
      <c r="AC26" s="1809">
        <f t="shared" si="5"/>
        <v>0.970873786407767</v>
      </c>
    </row>
    <row r="27" spans="1:29" s="117" customFormat="1" ht="15">
      <c r="A27" s="431"/>
      <c r="B27" s="451" t="s">
        <v>2649</v>
      </c>
      <c r="C27" s="2663" t="s">
        <v>3623</v>
      </c>
      <c r="D27" s="462">
        <v>100</v>
      </c>
      <c r="E27" s="2663" t="s">
        <v>3623</v>
      </c>
      <c r="F27" s="464">
        <f>SUMIF(90:90,E27,91:91)-SUMIF(90:90,C27,91:91)+100</f>
        <v>100</v>
      </c>
      <c r="G27" s="2663" t="s">
        <v>3623</v>
      </c>
      <c r="H27" s="462">
        <f>SUMIF(90:90,G27,91:91)-SUMIF(90:90,C27,91:91)+100</f>
        <v>100</v>
      </c>
      <c r="I27" s="2663" t="s">
        <v>3623</v>
      </c>
      <c r="J27" s="462">
        <f>SUMIF(90:90,I27,91:91)-SUMIF(90:90,C27,91:91)+100</f>
        <v>100</v>
      </c>
      <c r="K27" s="612">
        <v>3</v>
      </c>
      <c r="L27" s="1130"/>
      <c r="M27" s="1131"/>
      <c r="N27" s="1131"/>
      <c r="O27" s="1131"/>
      <c r="P27" s="3219"/>
      <c r="Q27" s="1793" t="str">
        <f t="shared" si="11"/>
        <v>人流量</v>
      </c>
      <c r="R27" s="770" t="s">
        <v>17</v>
      </c>
      <c r="S27" s="771">
        <f>F27</f>
        <v>100</v>
      </c>
      <c r="T27" s="770" t="s">
        <v>17</v>
      </c>
      <c r="U27" s="771">
        <f>H27</f>
        <v>100</v>
      </c>
      <c r="V27" s="770" t="s">
        <v>17</v>
      </c>
      <c r="W27" s="771">
        <f>J27</f>
        <v>100</v>
      </c>
      <c r="X27" s="772"/>
      <c r="Y27" s="3212"/>
      <c r="Z27" s="55" t="str">
        <f>Q27</f>
        <v>人流量</v>
      </c>
      <c r="AA27" s="1809">
        <f>D27/F27</f>
        <v>1</v>
      </c>
      <c r="AB27" s="1809">
        <f>D27/H27</f>
        <v>1</v>
      </c>
      <c r="AC27" s="1809">
        <f>D27/J27</f>
        <v>1</v>
      </c>
    </row>
    <row r="28" spans="1:29" ht="15.75" thickBot="1">
      <c r="A28" s="428"/>
      <c r="B28" s="422" t="s">
        <v>2650</v>
      </c>
      <c r="C28" s="616" t="s">
        <v>3625</v>
      </c>
      <c r="D28" s="435">
        <v>100</v>
      </c>
      <c r="E28" s="616" t="s">
        <v>3625</v>
      </c>
      <c r="F28" s="461">
        <f>SUMIF(92:92,E28,93:93)-SUMIF(92:92,C28,93:93)+100</f>
        <v>100</v>
      </c>
      <c r="G28" s="616" t="s">
        <v>3625</v>
      </c>
      <c r="H28" s="435">
        <f>SUMIF(92:92,G28,93:93)-SUMIF(92:92,C28,93:93)+100</f>
        <v>100</v>
      </c>
      <c r="I28" s="616">
        <v>1</v>
      </c>
      <c r="J28" s="435">
        <f>SUMIF(92:92,I28,93:93)-SUMIF(92:92,C28,93:93)+100</f>
        <v>115</v>
      </c>
      <c r="K28" s="613"/>
      <c r="L28" s="1138"/>
      <c r="M28" s="1129"/>
      <c r="N28" s="1129"/>
      <c r="O28" s="1129"/>
      <c r="P28" s="3219"/>
      <c r="Q28" s="1808" t="str">
        <f t="shared" si="11"/>
        <v>楼层</v>
      </c>
      <c r="R28" s="774" t="s">
        <v>17</v>
      </c>
      <c r="S28" s="775">
        <f t="shared" ref="S28:S46" si="12">F28</f>
        <v>100</v>
      </c>
      <c r="T28" s="774" t="s">
        <v>17</v>
      </c>
      <c r="U28" s="775">
        <f t="shared" ref="U28:U46" si="13">H28</f>
        <v>100</v>
      </c>
      <c r="V28" s="774" t="s">
        <v>17</v>
      </c>
      <c r="W28" s="775">
        <f t="shared" ref="W28:W46" si="14">J28</f>
        <v>115</v>
      </c>
      <c r="X28" s="1811"/>
      <c r="Y28" s="3212"/>
      <c r="Z28" s="1812" t="str">
        <f t="shared" ref="Z28:Z46" si="15">Q28</f>
        <v>楼层</v>
      </c>
      <c r="AA28" s="1809">
        <f t="shared" si="3"/>
        <v>1</v>
      </c>
      <c r="AB28" s="1809">
        <f t="shared" si="4"/>
        <v>1</v>
      </c>
      <c r="AC28" s="1809">
        <f t="shared" si="5"/>
        <v>0.86956521739130432</v>
      </c>
    </row>
    <row r="29" spans="1:29" ht="15" hidden="1">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19"/>
      <c r="Q29" s="1808">
        <f t="shared" si="11"/>
        <v>0</v>
      </c>
      <c r="R29" s="774" t="s">
        <v>17</v>
      </c>
      <c r="S29" s="775">
        <f t="shared" si="12"/>
        <v>100</v>
      </c>
      <c r="T29" s="774" t="s">
        <v>17</v>
      </c>
      <c r="U29" s="775">
        <f t="shared" si="13"/>
        <v>100</v>
      </c>
      <c r="V29" s="774" t="s">
        <v>17</v>
      </c>
      <c r="W29" s="775">
        <f t="shared" si="14"/>
        <v>100</v>
      </c>
      <c r="X29" s="1811"/>
      <c r="Y29" s="3212"/>
      <c r="Z29" s="1812">
        <f t="shared" si="15"/>
        <v>0</v>
      </c>
      <c r="AA29" s="1809">
        <f t="shared" si="3"/>
        <v>1</v>
      </c>
      <c r="AB29" s="1809">
        <f t="shared" si="4"/>
        <v>1</v>
      </c>
      <c r="AC29" s="1809">
        <f t="shared" si="5"/>
        <v>1</v>
      </c>
    </row>
    <row r="30" spans="1:29" ht="15" hidden="1">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19"/>
      <c r="Q30" s="1808">
        <f t="shared" si="11"/>
        <v>0</v>
      </c>
      <c r="R30" s="774" t="s">
        <v>17</v>
      </c>
      <c r="S30" s="775">
        <f t="shared" si="12"/>
        <v>100</v>
      </c>
      <c r="T30" s="774" t="s">
        <v>17</v>
      </c>
      <c r="U30" s="775">
        <f t="shared" si="13"/>
        <v>100</v>
      </c>
      <c r="V30" s="774" t="s">
        <v>17</v>
      </c>
      <c r="W30" s="775">
        <f t="shared" si="14"/>
        <v>100</v>
      </c>
      <c r="X30" s="1811"/>
      <c r="Y30" s="3212"/>
      <c r="Z30" s="1812">
        <f t="shared" si="15"/>
        <v>0</v>
      </c>
      <c r="AA30" s="1809">
        <f t="shared" si="3"/>
        <v>1</v>
      </c>
      <c r="AB30" s="1809">
        <f t="shared" si="4"/>
        <v>1</v>
      </c>
      <c r="AC30" s="1809">
        <f t="shared" si="5"/>
        <v>1</v>
      </c>
    </row>
    <row r="31" spans="1:29" ht="15.75" hidden="1"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19"/>
      <c r="Q31" s="1808">
        <f t="shared" si="11"/>
        <v>0</v>
      </c>
      <c r="R31" s="774" t="s">
        <v>17</v>
      </c>
      <c r="S31" s="775">
        <f t="shared" si="12"/>
        <v>100</v>
      </c>
      <c r="T31" s="774" t="s">
        <v>17</v>
      </c>
      <c r="U31" s="775">
        <f t="shared" si="13"/>
        <v>100</v>
      </c>
      <c r="V31" s="774" t="s">
        <v>17</v>
      </c>
      <c r="W31" s="775">
        <f t="shared" si="14"/>
        <v>100</v>
      </c>
      <c r="X31" s="1811"/>
      <c r="Y31" s="3212"/>
      <c r="Z31" s="1812">
        <f t="shared" si="15"/>
        <v>0</v>
      </c>
      <c r="AA31" s="1809">
        <f t="shared" si="3"/>
        <v>1</v>
      </c>
      <c r="AB31" s="1809">
        <f t="shared" si="4"/>
        <v>1</v>
      </c>
      <c r="AC31" s="1809">
        <f t="shared" si="5"/>
        <v>1</v>
      </c>
    </row>
    <row r="32" spans="1:29" ht="15">
      <c r="A32" s="440" t="s">
        <v>2554</v>
      </c>
      <c r="B32" s="71" t="s">
        <v>2651</v>
      </c>
      <c r="C32" s="2615" t="s">
        <v>3626</v>
      </c>
      <c r="D32" s="467">
        <v>100</v>
      </c>
      <c r="E32" s="2615" t="s">
        <v>3626</v>
      </c>
      <c r="F32" s="461">
        <f>SUMIF(100:100,E32,101:101)-SUMIF(100:100,C32,101:101)+100</f>
        <v>100</v>
      </c>
      <c r="G32" s="2615" t="s">
        <v>3626</v>
      </c>
      <c r="H32" s="435">
        <f>SUMIF(100:100,G32,101:101)-SUMIF(100:100,C32,101:101)+100</f>
        <v>100</v>
      </c>
      <c r="I32" s="2615" t="s">
        <v>3627</v>
      </c>
      <c r="J32" s="467">
        <f>SUMIF(100:100,I32,101:101)-SUMIF(100:100,C32,101:101)+100</f>
        <v>103</v>
      </c>
      <c r="K32" s="612">
        <v>3</v>
      </c>
      <c r="L32" s="1138"/>
      <c r="M32" s="1129"/>
      <c r="N32" s="1129"/>
      <c r="O32" s="1129"/>
      <c r="P32" s="3213" t="s">
        <v>2556</v>
      </c>
      <c r="Q32" s="1808" t="str">
        <f t="shared" si="11"/>
        <v>商业类型</v>
      </c>
      <c r="R32" s="774" t="s">
        <v>17</v>
      </c>
      <c r="S32" s="775">
        <f t="shared" si="12"/>
        <v>100</v>
      </c>
      <c r="T32" s="774" t="s">
        <v>17</v>
      </c>
      <c r="U32" s="775">
        <f t="shared" si="13"/>
        <v>100</v>
      </c>
      <c r="V32" s="774" t="s">
        <v>17</v>
      </c>
      <c r="W32" s="775">
        <f t="shared" si="14"/>
        <v>103</v>
      </c>
      <c r="X32" s="1811"/>
      <c r="Y32" s="3216" t="s">
        <v>2556</v>
      </c>
      <c r="Z32" s="1812" t="str">
        <f t="shared" si="15"/>
        <v>商业类型</v>
      </c>
      <c r="AA32" s="1809">
        <f t="shared" si="3"/>
        <v>1</v>
      </c>
      <c r="AB32" s="1809">
        <f t="shared" si="4"/>
        <v>1</v>
      </c>
      <c r="AC32" s="1809">
        <f t="shared" si="5"/>
        <v>0.970873786407767</v>
      </c>
    </row>
    <row r="33" spans="1:29" s="471" customFormat="1" ht="15">
      <c r="A33" s="468"/>
      <c r="B33" s="422" t="s">
        <v>2557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6"/>
      <c r="M33" s="1139"/>
      <c r="N33" s="1139"/>
      <c r="O33" s="1139"/>
      <c r="P33" s="3214"/>
      <c r="Q33" s="776" t="str">
        <f t="shared" si="11"/>
        <v>项目建筑规模</v>
      </c>
      <c r="R33" s="777" t="s">
        <v>17</v>
      </c>
      <c r="S33" s="778">
        <f t="shared" si="12"/>
        <v>100</v>
      </c>
      <c r="T33" s="777" t="s">
        <v>17</v>
      </c>
      <c r="U33" s="778">
        <f t="shared" si="13"/>
        <v>100</v>
      </c>
      <c r="V33" s="777" t="s">
        <v>17</v>
      </c>
      <c r="W33" s="778">
        <f t="shared" si="14"/>
        <v>100</v>
      </c>
      <c r="X33" s="779"/>
      <c r="Y33" s="3216"/>
      <c r="Z33" s="780" t="str">
        <f t="shared" si="15"/>
        <v>项目建筑规模</v>
      </c>
      <c r="AA33" s="1809">
        <f t="shared" si="3"/>
        <v>1</v>
      </c>
      <c r="AB33" s="1809">
        <f t="shared" si="4"/>
        <v>1</v>
      </c>
      <c r="AC33" s="1809">
        <f t="shared" si="5"/>
        <v>1</v>
      </c>
    </row>
    <row r="34" spans="1:29" ht="15">
      <c r="A34" s="472"/>
      <c r="B34" s="422" t="s">
        <v>2558</v>
      </c>
      <c r="C34" s="2617" t="s">
        <v>3575</v>
      </c>
      <c r="D34" s="435">
        <v>100</v>
      </c>
      <c r="E34" s="2617" t="s">
        <v>3575</v>
      </c>
      <c r="F34" s="461">
        <f>SUMIF(105:105,E34,106:106)-SUMIF(105:105,C34,106:106)+100</f>
        <v>100</v>
      </c>
      <c r="G34" s="2617" t="s">
        <v>3575</v>
      </c>
      <c r="H34" s="435">
        <f>SUMIF(105:105,G34,106:106)-SUMIF(105:105,C34,106:106)+100</f>
        <v>100</v>
      </c>
      <c r="I34" s="2617" t="s">
        <v>3575</v>
      </c>
      <c r="J34" s="435">
        <f>SUMIF(105:105,I34,106:106)-SUMIF(105:105,C34,106:106)+100</f>
        <v>100</v>
      </c>
      <c r="K34" s="612">
        <v>2</v>
      </c>
      <c r="L34" s="1138"/>
      <c r="M34" s="1129"/>
      <c r="N34" s="1129"/>
      <c r="O34" s="1129"/>
      <c r="P34" s="3214"/>
      <c r="Q34" s="1808" t="str">
        <f t="shared" si="11"/>
        <v>建筑结构</v>
      </c>
      <c r="R34" s="774" t="s">
        <v>17</v>
      </c>
      <c r="S34" s="775">
        <f t="shared" si="12"/>
        <v>100</v>
      </c>
      <c r="T34" s="774" t="s">
        <v>17</v>
      </c>
      <c r="U34" s="775">
        <f t="shared" si="13"/>
        <v>100</v>
      </c>
      <c r="V34" s="774" t="s">
        <v>17</v>
      </c>
      <c r="W34" s="775">
        <f t="shared" si="14"/>
        <v>100</v>
      </c>
      <c r="X34" s="1811"/>
      <c r="Y34" s="3216"/>
      <c r="Z34" s="1812" t="str">
        <f t="shared" si="15"/>
        <v>建筑结构</v>
      </c>
      <c r="AA34" s="1809">
        <f t="shared" si="3"/>
        <v>1</v>
      </c>
      <c r="AB34" s="1809">
        <f t="shared" si="4"/>
        <v>1</v>
      </c>
      <c r="AC34" s="1809">
        <f t="shared" si="5"/>
        <v>1</v>
      </c>
    </row>
    <row r="35" spans="1:29" ht="15">
      <c r="A35" s="472"/>
      <c r="B35" s="422" t="s">
        <v>2652</v>
      </c>
      <c r="C35" s="2611" t="s">
        <v>3592</v>
      </c>
      <c r="D35" s="435">
        <v>100</v>
      </c>
      <c r="E35" s="2611" t="s">
        <v>3592</v>
      </c>
      <c r="F35" s="461">
        <f>SUMIF(107:107,E35,108:108)-SUMIF(107:107,C35,108:108)+100</f>
        <v>100</v>
      </c>
      <c r="G35" s="2611" t="s">
        <v>3592</v>
      </c>
      <c r="H35" s="435">
        <f>SUMIF(107:107,G35,108:108)-SUMIF(107:107,C35,108:108)+100</f>
        <v>100</v>
      </c>
      <c r="I35" s="2611" t="s">
        <v>3592</v>
      </c>
      <c r="J35" s="435">
        <f>SUMIF(107:107,I35,108:108)-SUMIF(107:107,C35,108:108)+100</f>
        <v>100</v>
      </c>
      <c r="K35" s="612">
        <v>2</v>
      </c>
      <c r="L35" s="1138"/>
      <c r="M35" s="1129"/>
      <c r="N35" s="1129"/>
      <c r="O35" s="1129"/>
      <c r="P35" s="3214"/>
      <c r="Q35" s="1808" t="str">
        <f t="shared" si="11"/>
        <v>公共部分装修</v>
      </c>
      <c r="R35" s="774" t="s">
        <v>17</v>
      </c>
      <c r="S35" s="775">
        <f t="shared" si="12"/>
        <v>100</v>
      </c>
      <c r="T35" s="774" t="s">
        <v>17</v>
      </c>
      <c r="U35" s="775">
        <f t="shared" si="13"/>
        <v>100</v>
      </c>
      <c r="V35" s="774" t="s">
        <v>17</v>
      </c>
      <c r="W35" s="775">
        <f t="shared" si="14"/>
        <v>100</v>
      </c>
      <c r="X35" s="1811"/>
      <c r="Y35" s="3216"/>
      <c r="Z35" s="1812" t="str">
        <f t="shared" si="15"/>
        <v>公共部分装修</v>
      </c>
      <c r="AA35" s="1809">
        <f t="shared" si="3"/>
        <v>1</v>
      </c>
      <c r="AB35" s="1809">
        <f t="shared" si="4"/>
        <v>1</v>
      </c>
      <c r="AC35" s="1809">
        <f t="shared" si="5"/>
        <v>1</v>
      </c>
    </row>
    <row r="36" spans="1:29" s="3771" customFormat="1" ht="15">
      <c r="A36" s="3757"/>
      <c r="B36" s="3758" t="s">
        <v>3690</v>
      </c>
      <c r="C36" s="3759">
        <v>0.9</v>
      </c>
      <c r="D36" s="3760">
        <v>100</v>
      </c>
      <c r="E36" s="3759">
        <v>0.9</v>
      </c>
      <c r="F36" s="3761">
        <f>LOOKUP(E36,110:110,111:111)-LOOKUP(C36,110:110,111:111)+100</f>
        <v>100</v>
      </c>
      <c r="G36" s="3759">
        <v>0.9</v>
      </c>
      <c r="H36" s="3761">
        <f>LOOKUP(G36,110:110,111:111)-LOOKUP(C36,110:110,111:111)+100</f>
        <v>100</v>
      </c>
      <c r="I36" s="3759">
        <v>0.8</v>
      </c>
      <c r="J36" s="3760">
        <f>LOOKUP(I36,110:110,111:111)-LOOKUP(C36,110:110,111:111)+100</f>
        <v>97</v>
      </c>
      <c r="K36" s="3762">
        <v>3</v>
      </c>
      <c r="L36" s="3763"/>
      <c r="M36" s="3764"/>
      <c r="N36" s="3764"/>
      <c r="O36" s="3764"/>
      <c r="P36" s="3214"/>
      <c r="Q36" s="3765" t="str">
        <f t="shared" si="11"/>
        <v>成新度</v>
      </c>
      <c r="R36" s="3766" t="s">
        <v>17</v>
      </c>
      <c r="S36" s="3767">
        <f t="shared" si="12"/>
        <v>100</v>
      </c>
      <c r="T36" s="3766" t="s">
        <v>17</v>
      </c>
      <c r="U36" s="3767">
        <f t="shared" si="13"/>
        <v>100</v>
      </c>
      <c r="V36" s="3766" t="s">
        <v>17</v>
      </c>
      <c r="W36" s="3767">
        <f t="shared" si="14"/>
        <v>97</v>
      </c>
      <c r="X36" s="3768"/>
      <c r="Y36" s="3216"/>
      <c r="Z36" s="3769" t="str">
        <f t="shared" si="15"/>
        <v>成新度</v>
      </c>
      <c r="AA36" s="3770">
        <f t="shared" si="3"/>
        <v>1</v>
      </c>
      <c r="AB36" s="3770">
        <f t="shared" si="4"/>
        <v>1</v>
      </c>
      <c r="AC36" s="3770">
        <f t="shared" si="5"/>
        <v>1.0309278350515463</v>
      </c>
    </row>
    <row r="37" spans="1:29" s="117" customFormat="1" ht="15">
      <c r="A37" s="473"/>
      <c r="B37" s="422" t="s">
        <v>2654</v>
      </c>
      <c r="C37" s="2611" t="s">
        <v>3629</v>
      </c>
      <c r="D37" s="136">
        <v>100</v>
      </c>
      <c r="E37" s="2611" t="s">
        <v>3629</v>
      </c>
      <c r="F37" s="461">
        <f>SUMIF(112:112,E37,113:113)-SUMIF(112:112,C37,113:113)+100</f>
        <v>100</v>
      </c>
      <c r="G37" s="2611" t="s">
        <v>3629</v>
      </c>
      <c r="H37" s="435">
        <f>SUMIF(112:112,G37,113:113)-SUMIF(112:112,C37,113:113)+100</f>
        <v>100</v>
      </c>
      <c r="I37" s="2611" t="s">
        <v>3629</v>
      </c>
      <c r="J37" s="435">
        <f>SUMIF(112:112,I37,113:113)-SUMIF(112:112,C37,113:113)+100</f>
        <v>100</v>
      </c>
      <c r="K37" s="612">
        <v>2</v>
      </c>
      <c r="L37" s="1130"/>
      <c r="M37" s="1131"/>
      <c r="N37" s="1131"/>
      <c r="O37" s="1131"/>
      <c r="P37" s="3214"/>
      <c r="Q37" s="1793"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v>2</v>
      </c>
      <c r="L38" s="1138"/>
      <c r="M38" s="1129"/>
      <c r="N38" s="1129"/>
      <c r="O38" s="1129"/>
      <c r="P38" s="3214" t="s">
        <v>2556</v>
      </c>
      <c r="Q38" s="1808" t="str">
        <f t="shared" si="11"/>
        <v>业态</v>
      </c>
      <c r="R38" s="774" t="s">
        <v>17</v>
      </c>
      <c r="S38" s="775">
        <f t="shared" si="12"/>
        <v>100</v>
      </c>
      <c r="T38" s="774" t="s">
        <v>17</v>
      </c>
      <c r="U38" s="775">
        <f t="shared" si="13"/>
        <v>100</v>
      </c>
      <c r="V38" s="774" t="s">
        <v>17</v>
      </c>
      <c r="W38" s="775">
        <f t="shared" si="14"/>
        <v>100</v>
      </c>
      <c r="X38" s="1811"/>
      <c r="Y38" s="3216" t="s">
        <v>2556</v>
      </c>
      <c r="Z38" s="1812" t="str">
        <f t="shared" si="15"/>
        <v>业态</v>
      </c>
      <c r="AA38" s="1809">
        <f t="shared" si="3"/>
        <v>1</v>
      </c>
      <c r="AB38" s="1809">
        <f t="shared" si="4"/>
        <v>1</v>
      </c>
      <c r="AC38" s="1809">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v>2</v>
      </c>
      <c r="L39" s="1138"/>
      <c r="M39" s="1129"/>
      <c r="N39" s="1129"/>
      <c r="O39" s="1129"/>
      <c r="P39" s="3214"/>
      <c r="Q39" s="1808" t="str">
        <f t="shared" si="11"/>
        <v>层高</v>
      </c>
      <c r="R39" s="774" t="s">
        <v>17</v>
      </c>
      <c r="S39" s="775">
        <f t="shared" si="12"/>
        <v>100</v>
      </c>
      <c r="T39" s="774" t="s">
        <v>17</v>
      </c>
      <c r="U39" s="775">
        <f t="shared" si="13"/>
        <v>100</v>
      </c>
      <c r="V39" s="774" t="s">
        <v>17</v>
      </c>
      <c r="W39" s="775">
        <f t="shared" si="14"/>
        <v>100</v>
      </c>
      <c r="X39" s="1811"/>
      <c r="Y39" s="3216"/>
      <c r="Z39" s="1812" t="str">
        <f t="shared" si="15"/>
        <v>层高</v>
      </c>
      <c r="AA39" s="1809">
        <f t="shared" si="3"/>
        <v>1</v>
      </c>
      <c r="AB39" s="1809">
        <f t="shared" si="4"/>
        <v>1</v>
      </c>
      <c r="AC39" s="1809">
        <f t="shared" si="5"/>
        <v>1</v>
      </c>
    </row>
    <row r="40" spans="1:29" ht="15">
      <c r="A40" s="472"/>
      <c r="B40" s="422" t="s">
        <v>2657</v>
      </c>
      <c r="C40" s="617"/>
      <c r="D40" s="435">
        <v>100</v>
      </c>
      <c r="E40" s="618">
        <v>200</v>
      </c>
      <c r="F40" s="461">
        <f>SUMIF(118:118,E40,119:119)-SUMIF(118:118,C40,119:119)+100</f>
        <v>100</v>
      </c>
      <c r="G40" s="618">
        <v>238</v>
      </c>
      <c r="H40" s="435">
        <f>SUMIF(118:118,G40,119:119)-SUMIF(118:118,C40,119:119)+100</f>
        <v>100</v>
      </c>
      <c r="I40" s="618">
        <v>140</v>
      </c>
      <c r="J40" s="435">
        <f>SUMIF(118:118,I40,119:119)-SUMIF(118:118,C40,119:119)+100</f>
        <v>100</v>
      </c>
      <c r="K40" s="613"/>
      <c r="L40" s="1138"/>
      <c r="M40" s="1129"/>
      <c r="N40" s="1129"/>
      <c r="O40" s="1129"/>
      <c r="P40" s="3214"/>
      <c r="Q40" s="1808" t="str">
        <f t="shared" si="11"/>
        <v>单套建筑面积</v>
      </c>
      <c r="R40" s="774" t="s">
        <v>17</v>
      </c>
      <c r="S40" s="775">
        <f t="shared" si="12"/>
        <v>100</v>
      </c>
      <c r="T40" s="774" t="s">
        <v>17</v>
      </c>
      <c r="U40" s="775">
        <f t="shared" si="13"/>
        <v>100</v>
      </c>
      <c r="V40" s="774" t="s">
        <v>17</v>
      </c>
      <c r="W40" s="775">
        <f t="shared" si="14"/>
        <v>100</v>
      </c>
      <c r="X40" s="1811"/>
      <c r="Y40" s="3216"/>
      <c r="Z40" s="1812" t="str">
        <f t="shared" si="15"/>
        <v>单套建筑面积</v>
      </c>
      <c r="AA40" s="1809">
        <f t="shared" si="3"/>
        <v>1</v>
      </c>
      <c r="AB40" s="1809">
        <f t="shared" si="4"/>
        <v>1</v>
      </c>
      <c r="AC40" s="1809">
        <f t="shared" si="5"/>
        <v>1</v>
      </c>
    </row>
    <row r="41" spans="1:29" s="471" customFormat="1" ht="15">
      <c r="A41" s="468"/>
      <c r="B41" s="1810"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6"/>
      <c r="M41" s="1139"/>
      <c r="N41" s="1139"/>
      <c r="O41" s="1139"/>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09">
        <f t="shared" si="3"/>
        <v>1</v>
      </c>
      <c r="AB41" s="1809">
        <f t="shared" si="4"/>
        <v>1</v>
      </c>
      <c r="AC41" s="1809">
        <f t="shared" si="5"/>
        <v>1</v>
      </c>
    </row>
    <row r="42" spans="1:29" ht="15">
      <c r="A42" s="472"/>
      <c r="B42" s="422" t="s">
        <v>2659</v>
      </c>
      <c r="C42" s="2611" t="s">
        <v>3633</v>
      </c>
      <c r="D42" s="435">
        <v>100</v>
      </c>
      <c r="E42" s="2611" t="s">
        <v>3633</v>
      </c>
      <c r="F42" s="461">
        <f>SUMIF(122:122,E42,123:123)-SUMIF(122:122,C42,123:123)+100</f>
        <v>100</v>
      </c>
      <c r="G42" s="2611" t="s">
        <v>3633</v>
      </c>
      <c r="H42" s="435">
        <f>SUMIF(122:122,G42,123:123)-SUMIF(122:122,C42,123:123)+100</f>
        <v>100</v>
      </c>
      <c r="I42" s="2611" t="s">
        <v>3633</v>
      </c>
      <c r="J42" s="435">
        <f>SUMIF(122:122,I42,123:123)-SUMIF(122:122,C42,123:123)+100</f>
        <v>100</v>
      </c>
      <c r="K42" s="612">
        <v>2</v>
      </c>
      <c r="L42" s="1138"/>
      <c r="M42" s="1129"/>
      <c r="N42" s="1129"/>
      <c r="O42" s="1129"/>
      <c r="P42" s="3214"/>
      <c r="Q42" s="1808" t="str">
        <f t="shared" si="11"/>
        <v>内部装修</v>
      </c>
      <c r="R42" s="774" t="s">
        <v>17</v>
      </c>
      <c r="S42" s="775">
        <f t="shared" si="12"/>
        <v>100</v>
      </c>
      <c r="T42" s="774" t="s">
        <v>17</v>
      </c>
      <c r="U42" s="775">
        <f t="shared" si="13"/>
        <v>100</v>
      </c>
      <c r="V42" s="774" t="s">
        <v>17</v>
      </c>
      <c r="W42" s="775">
        <f t="shared" si="14"/>
        <v>100</v>
      </c>
      <c r="X42" s="1811"/>
      <c r="Y42" s="3216"/>
      <c r="Z42" s="1812" t="str">
        <f t="shared" si="15"/>
        <v>内部装修</v>
      </c>
      <c r="AA42" s="1809">
        <f t="shared" si="3"/>
        <v>1</v>
      </c>
      <c r="AB42" s="1809">
        <f t="shared" si="4"/>
        <v>1</v>
      </c>
      <c r="AC42" s="1809">
        <f t="shared" si="5"/>
        <v>1</v>
      </c>
    </row>
    <row r="43" spans="1:29" ht="15.75" thickBot="1">
      <c r="A43" s="472"/>
      <c r="B43" s="422" t="s">
        <v>2567</v>
      </c>
      <c r="C43" s="2611" t="s">
        <v>3589</v>
      </c>
      <c r="D43" s="435">
        <v>100</v>
      </c>
      <c r="E43" s="2611" t="s">
        <v>3589</v>
      </c>
      <c r="F43" s="461">
        <f>SUMIF(124:124,E43,125:125)-SUMIF(124:124,C43,125:125)+100</f>
        <v>100</v>
      </c>
      <c r="G43" s="2611" t="s">
        <v>3589</v>
      </c>
      <c r="H43" s="435">
        <f>SUMIF(124:124,G43,125:125)-SUMIF(124:124,C43,125:125)+100</f>
        <v>100</v>
      </c>
      <c r="I43" s="2611" t="s">
        <v>3589</v>
      </c>
      <c r="J43" s="435">
        <f>SUMIF(124:124,I43,125:125)-SUMIF(124:124,C43,125:125)+100</f>
        <v>100</v>
      </c>
      <c r="K43" s="612">
        <v>2</v>
      </c>
      <c r="L43" s="1138"/>
      <c r="M43" s="1129"/>
      <c r="N43" s="1129"/>
      <c r="O43" s="1129"/>
      <c r="P43" s="3214"/>
      <c r="Q43" s="1808" t="str">
        <f t="shared" si="11"/>
        <v>内部装修维护情况</v>
      </c>
      <c r="R43" s="774" t="s">
        <v>17</v>
      </c>
      <c r="S43" s="775">
        <f t="shared" si="12"/>
        <v>100</v>
      </c>
      <c r="T43" s="774" t="s">
        <v>17</v>
      </c>
      <c r="U43" s="775">
        <f t="shared" si="13"/>
        <v>100</v>
      </c>
      <c r="V43" s="774" t="s">
        <v>17</v>
      </c>
      <c r="W43" s="775">
        <f t="shared" si="14"/>
        <v>100</v>
      </c>
      <c r="X43" s="1811"/>
      <c r="Y43" s="3216"/>
      <c r="Z43" s="1812" t="str">
        <f t="shared" si="15"/>
        <v>内部装修维护情况</v>
      </c>
      <c r="AA43" s="1809">
        <f t="shared" si="3"/>
        <v>1</v>
      </c>
      <c r="AB43" s="1809">
        <f t="shared" si="4"/>
        <v>1</v>
      </c>
      <c r="AC43" s="1809">
        <f t="shared" si="5"/>
        <v>1</v>
      </c>
    </row>
    <row r="44" spans="1:29" s="117" customFormat="1" ht="15" hidden="1">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4"/>
      <c r="Q44" s="1793">
        <f t="shared" si="11"/>
        <v>0</v>
      </c>
      <c r="R44" s="770" t="s">
        <v>17</v>
      </c>
      <c r="S44" s="771">
        <f t="shared" si="12"/>
        <v>100</v>
      </c>
      <c r="T44" s="770" t="s">
        <v>17</v>
      </c>
      <c r="U44" s="771">
        <f t="shared" si="13"/>
        <v>100</v>
      </c>
      <c r="V44" s="770" t="s">
        <v>17</v>
      </c>
      <c r="W44" s="771">
        <f t="shared" si="14"/>
        <v>100</v>
      </c>
      <c r="X44" s="772"/>
      <c r="Y44" s="3216"/>
      <c r="Z44" s="55">
        <f t="shared" si="15"/>
        <v>0</v>
      </c>
      <c r="AA44" s="773">
        <f t="shared" si="3"/>
        <v>1</v>
      </c>
      <c r="AB44" s="773">
        <f t="shared" si="4"/>
        <v>1</v>
      </c>
      <c r="AC44" s="773">
        <f t="shared" si="5"/>
        <v>1</v>
      </c>
    </row>
    <row r="45" spans="1:29" ht="15" hidden="1">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4"/>
      <c r="Q45" s="1808">
        <f t="shared" si="11"/>
        <v>0</v>
      </c>
      <c r="R45" s="774" t="s">
        <v>17</v>
      </c>
      <c r="S45" s="775">
        <f t="shared" si="12"/>
        <v>100</v>
      </c>
      <c r="T45" s="774" t="s">
        <v>17</v>
      </c>
      <c r="U45" s="775">
        <f t="shared" si="13"/>
        <v>100</v>
      </c>
      <c r="V45" s="774" t="s">
        <v>17</v>
      </c>
      <c r="W45" s="775">
        <f t="shared" si="14"/>
        <v>100</v>
      </c>
      <c r="X45" s="1811"/>
      <c r="Y45" s="3216"/>
      <c r="Z45" s="1812">
        <f t="shared" si="15"/>
        <v>0</v>
      </c>
      <c r="AA45" s="1809">
        <f t="shared" si="3"/>
        <v>1</v>
      </c>
      <c r="AB45" s="1809">
        <f t="shared" si="4"/>
        <v>1</v>
      </c>
      <c r="AC45" s="1809">
        <f t="shared" si="5"/>
        <v>1</v>
      </c>
    </row>
    <row r="46" spans="1:29" ht="15.75" hidden="1" thickBot="1">
      <c r="A46" s="478"/>
      <c r="B46" s="2600"/>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5"/>
      <c r="Q46" s="1808">
        <f t="shared" si="11"/>
        <v>0</v>
      </c>
      <c r="R46" s="774" t="s">
        <v>17</v>
      </c>
      <c r="S46" s="775">
        <f t="shared" si="12"/>
        <v>100</v>
      </c>
      <c r="T46" s="774" t="s">
        <v>17</v>
      </c>
      <c r="U46" s="775">
        <f t="shared" si="13"/>
        <v>100</v>
      </c>
      <c r="V46" s="774" t="s">
        <v>17</v>
      </c>
      <c r="W46" s="775">
        <f t="shared" si="14"/>
        <v>100</v>
      </c>
      <c r="X46" s="1811"/>
      <c r="Y46" s="3217"/>
      <c r="Z46" s="1812">
        <f t="shared" si="15"/>
        <v>0</v>
      </c>
      <c r="AA46" s="1809">
        <f t="shared" si="3"/>
        <v>1</v>
      </c>
      <c r="AB46" s="1809">
        <f t="shared" si="4"/>
        <v>1</v>
      </c>
      <c r="AC46" s="1809">
        <f t="shared" si="5"/>
        <v>1</v>
      </c>
    </row>
    <row r="47" spans="1:29" ht="15">
      <c r="A47" s="479" t="s">
        <v>2568</v>
      </c>
      <c r="B47" s="480"/>
      <c r="C47" s="1405" t="s">
        <v>1</v>
      </c>
      <c r="D47" s="1406"/>
      <c r="E47" s="3587">
        <f>ROUND(1010/200*10000,0)</f>
        <v>50500</v>
      </c>
      <c r="F47" s="1408"/>
      <c r="G47" s="3589">
        <f>ROUND(1108/238*10000,0)</f>
        <v>46555</v>
      </c>
      <c r="H47" s="1410"/>
      <c r="I47" s="3589">
        <f>ROUND(702/140*10000,0)</f>
        <v>50143</v>
      </c>
      <c r="J47" s="1410"/>
      <c r="K47" s="783"/>
      <c r="L47" s="1141"/>
      <c r="M47" s="1142"/>
      <c r="N47" s="1129"/>
      <c r="O47" s="1142"/>
      <c r="P47" s="3209" t="str">
        <f>A47</f>
        <v>成交单价（元/平方米）</v>
      </c>
      <c r="Q47" s="3209"/>
      <c r="R47" s="3204">
        <f>E47</f>
        <v>50500</v>
      </c>
      <c r="S47" s="3204"/>
      <c r="T47" s="3204">
        <f>G47</f>
        <v>46555</v>
      </c>
      <c r="U47" s="3204"/>
      <c r="V47" s="3204">
        <f>I47</f>
        <v>50143</v>
      </c>
      <c r="W47" s="3204"/>
      <c r="X47" s="759"/>
      <c r="Y47" s="781"/>
      <c r="Z47" s="759"/>
      <c r="AA47" s="759"/>
      <c r="AB47" s="759"/>
      <c r="AC47" s="759"/>
    </row>
    <row r="48" spans="1:29" ht="15.75" thickBot="1">
      <c r="A48" s="486" t="s">
        <v>2660</v>
      </c>
      <c r="B48" s="487"/>
      <c r="C48" s="1411">
        <f>R49</f>
        <v>45548</v>
      </c>
      <c r="D48" s="1412"/>
      <c r="E48" s="1413">
        <f>R48</f>
        <v>46694</v>
      </c>
      <c r="F48" s="1413"/>
      <c r="G48" s="1411">
        <f>T48</f>
        <v>47578</v>
      </c>
      <c r="H48" s="1412"/>
      <c r="I48" s="1413">
        <f>V48</f>
        <v>42371</v>
      </c>
      <c r="J48" s="1412"/>
      <c r="K48" s="784"/>
      <c r="L48" s="1141"/>
      <c r="M48" s="1142"/>
      <c r="N48" s="1129"/>
      <c r="O48" s="1142"/>
      <c r="P48" s="3209" t="str">
        <f>A48</f>
        <v>比较价值（元/平方米）</v>
      </c>
      <c r="Q48" s="3209"/>
      <c r="R48" s="3210">
        <f>IF(F1="售价",ROUND(PRODUCT(R47,AA7:AA46),0),ROUND(PRODUCT(R47,AA7:AA46),1))</f>
        <v>46694</v>
      </c>
      <c r="S48" s="3210"/>
      <c r="T48" s="3210">
        <f>IF(F1="售价",ROUND(PRODUCT(T47,AB7:AB46),0),ROUND(PRODUCT(T47,AB7:AB46),1))</f>
        <v>47578</v>
      </c>
      <c r="U48" s="3210"/>
      <c r="V48" s="3210">
        <f>IF(F1="售价",ROUND(PRODUCT(V47,AC7:AC46),0),ROUND(PRODUCT(V47,AC7:AC46),1))</f>
        <v>42371</v>
      </c>
      <c r="W48" s="3210"/>
      <c r="X48" s="759"/>
      <c r="Y48" s="759"/>
      <c r="Z48" s="759"/>
      <c r="AA48" s="759"/>
      <c r="AB48" s="759"/>
      <c r="AC48" s="759"/>
    </row>
    <row r="49" spans="1:29" ht="15.75" thickBot="1">
      <c r="A49" s="492" t="s">
        <v>2661</v>
      </c>
      <c r="B49" s="493"/>
      <c r="C49" s="1415">
        <f>R49</f>
        <v>45548</v>
      </c>
      <c r="D49" s="1415"/>
      <c r="E49" s="1415"/>
      <c r="F49" s="1415"/>
      <c r="G49" s="1415"/>
      <c r="H49" s="1415"/>
      <c r="I49" s="1415"/>
      <c r="J49" s="1415"/>
      <c r="K49" s="785"/>
      <c r="L49" s="1141"/>
      <c r="M49" s="1142"/>
      <c r="N49" s="1129"/>
      <c r="O49" s="1142"/>
      <c r="P49" s="3206" t="str">
        <f>A49</f>
        <v>估价对象XX用房的比较价值（楼面单价，元/平方米）</v>
      </c>
      <c r="Q49" s="3207"/>
      <c r="R49" s="3208">
        <f>IF(F1="售价",ROUND(AVERAGE(R48:V48),0),ROUND(AVERAGE(R48:V48),1))</f>
        <v>45548</v>
      </c>
      <c r="S49" s="3208"/>
      <c r="T49" s="3208"/>
      <c r="U49" s="3208"/>
      <c r="V49" s="3208"/>
      <c r="W49" s="3208"/>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2662</v>
      </c>
      <c r="D52" s="498"/>
      <c r="E52" s="499">
        <f>IF(E47&lt;E48,E48/E47-1,E47/E48-1)</f>
        <v>8.1509401636184586E-2</v>
      </c>
      <c r="F52" s="500" t="str">
        <f>IF(OR(E52&gt;=0.3,E52&lt;=-0.3),"超过30%","")</f>
        <v/>
      </c>
      <c r="G52" s="499">
        <f>IF(G47&lt;G48,G48/G47-1,G47/G48-1)</f>
        <v>2.1974009236387149E-2</v>
      </c>
      <c r="H52" s="500" t="str">
        <f>IF(OR(G52&gt;=0.3,G52&lt;=-0.3),"超过30%","")</f>
        <v/>
      </c>
      <c r="I52" s="499">
        <f>IF(I47&lt;I48,I48/I47-1,I47/I48-1)</f>
        <v>0.18342734417408124</v>
      </c>
      <c r="J52" s="500" t="str">
        <f>IF(OR(I52&gt;=0.3,I52&lt;=-0.3),"超过30%","")</f>
        <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2663</v>
      </c>
      <c r="D53" s="501"/>
      <c r="E53" s="499">
        <f>IF(E48&lt;G48,G48/E48-1,E48/G48-1)</f>
        <v>1.8931768535572102E-2</v>
      </c>
      <c r="F53" s="500" t="str">
        <f>IF(OR(E53&gt;=0.2,E53&lt;=-0.2),"超过20%","")</f>
        <v/>
      </c>
      <c r="G53" s="499">
        <f>IF(G48&lt;I48,I48/G48-1,G48/I48-1)</f>
        <v>0.12289065634514174</v>
      </c>
      <c r="H53" s="500" t="str">
        <f>IF(OR(G53&gt;=0.2,G53&lt;=-0.2),"超过20%","")</f>
        <v/>
      </c>
      <c r="I53" s="499">
        <f>IF(I48&lt;E48,E48/I48-1,I48/E48-1)</f>
        <v>0.10202733001345266</v>
      </c>
      <c r="J53" s="500" t="str">
        <f>IF(OR(I53&gt;=0.2,I53&lt;=-0.2),"超过20%","")</f>
        <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2664</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6"/>
      <c r="L54" s="1147"/>
      <c r="M54" s="1143"/>
      <c r="N54" s="1143"/>
      <c r="O54" s="1143"/>
      <c r="P54" s="2664"/>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4"/>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59"/>
      <c r="M57" s="1157"/>
      <c r="N57" s="1157"/>
      <c r="O57" s="1157"/>
      <c r="P57" s="2665"/>
      <c r="Q57" s="2666"/>
      <c r="R57" s="759"/>
      <c r="S57" s="759"/>
      <c r="T57" s="759"/>
      <c r="U57" s="759"/>
      <c r="V57" s="759"/>
      <c r="W57" s="759"/>
      <c r="X57" s="759"/>
      <c r="Y57" s="759"/>
      <c r="Z57" s="759"/>
      <c r="AA57" s="759"/>
      <c r="AB57" s="759"/>
      <c r="AC57" s="759"/>
    </row>
    <row r="58" spans="1:29" s="508" customFormat="1" ht="15">
      <c r="A58" s="505" t="s">
        <v>2539</v>
      </c>
      <c r="B58" s="506"/>
      <c r="C58" s="1572" t="str">
        <f>YEAR(C7)&amp;"-"&amp;MONTH(C7)</f>
        <v>2018-3</v>
      </c>
      <c r="D58" s="1573">
        <f>EDATE(C58,-1)</f>
        <v>43132</v>
      </c>
      <c r="E58" s="1573">
        <f t="shared" ref="E58:N58" si="16">EDATE(D58,-1)</f>
        <v>43101</v>
      </c>
      <c r="F58" s="1573">
        <f t="shared" si="16"/>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EDATE(N58,-1)</f>
        <v>42795</v>
      </c>
      <c r="P58" s="1568"/>
    </row>
    <row r="59" spans="1:29" s="117" customFormat="1" ht="15">
      <c r="A59" s="509"/>
      <c r="B59" s="510"/>
      <c r="C59" s="1571">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2579</v>
      </c>
      <c r="B63" s="528" t="s">
        <v>2545</v>
      </c>
      <c r="C63" s="529" t="str">
        <f>C9</f>
        <v>商业</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0"/>
      <c r="O65" s="1150"/>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8"/>
      <c r="Q66" s="504"/>
    </row>
    <row r="67" spans="1:17" ht="15.75" hidden="1" thickTop="1">
      <c r="A67" s="534"/>
      <c r="B67" s="546" t="s">
        <v>2549</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8"/>
      <c r="Q67" s="504"/>
    </row>
    <row r="68" spans="1:17" ht="15" hidden="1">
      <c r="A68" s="534"/>
      <c r="B68" s="548"/>
      <c r="C68" s="549">
        <v>0</v>
      </c>
      <c r="D68" s="549"/>
      <c r="E68" s="549"/>
      <c r="F68" s="549"/>
      <c r="G68" s="549"/>
      <c r="H68" s="549"/>
      <c r="I68" s="549"/>
      <c r="J68" s="549"/>
      <c r="K68" s="550"/>
      <c r="L68" s="551"/>
      <c r="M68" s="552"/>
      <c r="N68" s="1150"/>
      <c r="O68" s="1150"/>
      <c r="P68" s="2628"/>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8"/>
      <c r="Q69" s="504"/>
    </row>
    <row r="70" spans="1:17" s="471" customFormat="1" ht="15.75" hidden="1" thickTop="1">
      <c r="A70" s="553"/>
      <c r="B70" s="538" t="str">
        <f>B12</f>
        <v>建成年代</v>
      </c>
      <c r="C70" s="554"/>
      <c r="D70" s="554"/>
      <c r="E70" s="554"/>
      <c r="F70" s="554"/>
      <c r="G70" s="554"/>
      <c r="H70" s="555"/>
      <c r="I70" s="555"/>
      <c r="J70" s="555"/>
      <c r="K70" s="555"/>
      <c r="L70" s="556"/>
      <c r="M70" s="557"/>
      <c r="N70" s="1152"/>
      <c r="O70" s="1152"/>
      <c r="P70" s="2629"/>
      <c r="Q70" s="559"/>
    </row>
    <row r="71" spans="1:17" s="471" customFormat="1" ht="15.75" hidden="1" thickBot="1">
      <c r="A71" s="553"/>
      <c r="B71" s="543"/>
      <c r="C71" s="560"/>
      <c r="D71" s="536"/>
      <c r="E71" s="536"/>
      <c r="F71" s="536"/>
      <c r="G71" s="536"/>
      <c r="H71" s="536"/>
      <c r="I71" s="536"/>
      <c r="J71" s="536"/>
      <c r="K71" s="536"/>
      <c r="L71" s="536"/>
      <c r="M71" s="537"/>
      <c r="N71" s="1151"/>
      <c r="O71" s="1151"/>
      <c r="P71" s="2629"/>
      <c r="Q71" s="559"/>
    </row>
    <row r="72" spans="1:17" s="471" customFormat="1" ht="15.75" hidden="1" thickTop="1">
      <c r="A72" s="553"/>
      <c r="B72" s="538">
        <f>B13</f>
        <v>0</v>
      </c>
      <c r="C72" s="554"/>
      <c r="D72" s="554"/>
      <c r="E72" s="554"/>
      <c r="F72" s="554"/>
      <c r="G72" s="554"/>
      <c r="H72" s="555"/>
      <c r="I72" s="555"/>
      <c r="J72" s="555"/>
      <c r="K72" s="555"/>
      <c r="L72" s="556"/>
      <c r="M72" s="557"/>
      <c r="N72" s="1152"/>
      <c r="O72" s="1152"/>
      <c r="P72" s="2630"/>
      <c r="Q72" s="561"/>
    </row>
    <row r="73" spans="1:17" s="471" customFormat="1" ht="15.75" hidden="1" thickBot="1">
      <c r="A73" s="553"/>
      <c r="B73" s="543"/>
      <c r="C73" s="560"/>
      <c r="D73" s="536"/>
      <c r="E73" s="536"/>
      <c r="F73" s="536"/>
      <c r="G73" s="560"/>
      <c r="H73" s="562"/>
      <c r="I73" s="562"/>
      <c r="J73" s="562"/>
      <c r="K73" s="562"/>
      <c r="L73" s="562"/>
      <c r="M73" s="563"/>
      <c r="N73" s="1152"/>
      <c r="O73" s="1152"/>
      <c r="P73" s="2629"/>
      <c r="Q73" s="559"/>
    </row>
    <row r="74" spans="1:17" s="471" customFormat="1" ht="15.75" hidden="1" thickTop="1">
      <c r="A74" s="553"/>
      <c r="B74" s="546">
        <f>B14</f>
        <v>0</v>
      </c>
      <c r="C74" s="554"/>
      <c r="D74" s="554"/>
      <c r="E74" s="554"/>
      <c r="F74" s="554"/>
      <c r="G74" s="523"/>
      <c r="H74" s="564"/>
      <c r="I74" s="564"/>
      <c r="J74" s="564"/>
      <c r="K74" s="564"/>
      <c r="L74" s="565"/>
      <c r="M74" s="566"/>
      <c r="N74" s="1152"/>
      <c r="O74" s="1152"/>
      <c r="P74" s="2631"/>
      <c r="Q74" s="559"/>
    </row>
    <row r="75" spans="1:17" s="471" customFormat="1" ht="15.75" hidden="1" thickBot="1">
      <c r="A75" s="568"/>
      <c r="B75" s="569"/>
      <c r="C75" s="570"/>
      <c r="D75" s="570"/>
      <c r="E75" s="570"/>
      <c r="F75" s="570"/>
      <c r="G75" s="570"/>
      <c r="H75" s="571"/>
      <c r="I75" s="571"/>
      <c r="J75" s="571"/>
      <c r="K75" s="571"/>
      <c r="L75" s="571"/>
      <c r="M75" s="572"/>
      <c r="N75" s="1152"/>
      <c r="O75" s="1152"/>
      <c r="P75" s="2629"/>
      <c r="Q75" s="559"/>
    </row>
    <row r="76" spans="1:17" ht="15" hidden="1" thickTop="1">
      <c r="A76" s="527" t="s">
        <v>2550</v>
      </c>
      <c r="B76" s="528" t="s">
        <v>2587</v>
      </c>
      <c r="C76" s="573" t="s">
        <v>2588</v>
      </c>
      <c r="D76" s="573" t="s">
        <v>2589</v>
      </c>
      <c r="E76" s="573" t="s">
        <v>2590</v>
      </c>
      <c r="F76" s="573" t="s">
        <v>2591</v>
      </c>
      <c r="G76" s="573" t="s">
        <v>2592</v>
      </c>
      <c r="H76" s="529"/>
      <c r="I76" s="529"/>
      <c r="J76" s="529"/>
      <c r="K76" s="574"/>
      <c r="L76" s="575"/>
      <c r="M76" s="576"/>
      <c r="N76" s="1150"/>
      <c r="O76" s="1150"/>
      <c r="P76" s="2632"/>
      <c r="Q76" s="504"/>
    </row>
    <row r="77" spans="1:17" ht="15.75" hidden="1" thickBot="1">
      <c r="A77" s="534"/>
      <c r="B77" s="543"/>
      <c r="C77" s="544">
        <v>100</v>
      </c>
      <c r="D77" s="544">
        <f>C77-$K15</f>
        <v>95</v>
      </c>
      <c r="E77" s="544">
        <f>D77-$K15</f>
        <v>90</v>
      </c>
      <c r="F77" s="544">
        <f>E77-$K15</f>
        <v>85</v>
      </c>
      <c r="G77" s="544">
        <f>F77-$K15</f>
        <v>80</v>
      </c>
      <c r="H77" s="544"/>
      <c r="I77" s="544"/>
      <c r="J77" s="544"/>
      <c r="K77" s="544"/>
      <c r="L77" s="544"/>
      <c r="M77" s="545"/>
      <c r="N77" s="1151"/>
      <c r="O77" s="1151"/>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0"/>
      <c r="O78" s="1150"/>
      <c r="P78" s="2628"/>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1"/>
      <c r="O79" s="1151"/>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0"/>
      <c r="O80" s="1150"/>
      <c r="P80" s="2628"/>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1"/>
      <c r="O81" s="1151"/>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0"/>
      <c r="N82" s="1151"/>
      <c r="O82" s="1151"/>
      <c r="P82" s="2628"/>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1"/>
      <c r="O83" s="1151"/>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0"/>
      <c r="O84" s="1150"/>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8"/>
      <c r="Q85" s="504"/>
    </row>
    <row r="86" spans="1:17" s="117" customFormat="1" ht="15.75" thickTop="1">
      <c r="A86" s="579"/>
      <c r="B86" s="538" t="s">
        <v>2671</v>
      </c>
      <c r="C86" s="3722" t="s">
        <v>3662</v>
      </c>
      <c r="D86" s="554"/>
      <c r="E86" s="554"/>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1"/>
      <c r="O87" s="1151"/>
      <c r="P87" s="2628"/>
      <c r="Q87" s="504"/>
    </row>
    <row r="88" spans="1:17" s="117" customFormat="1" ht="15.75" thickTop="1">
      <c r="A88" s="579"/>
      <c r="B88" s="538" t="str">
        <f>B26</f>
        <v>平面位置/可视性</v>
      </c>
      <c r="C88" s="3722" t="s">
        <v>3621</v>
      </c>
      <c r="D88" s="3722" t="s">
        <v>3620</v>
      </c>
      <c r="E88" s="3722" t="s">
        <v>3663</v>
      </c>
      <c r="F88" s="2633"/>
      <c r="G88" s="554"/>
      <c r="H88" s="554"/>
      <c r="I88" s="554"/>
      <c r="J88" s="554"/>
      <c r="K88" s="554"/>
      <c r="L88" s="554"/>
      <c r="M88" s="581"/>
      <c r="N88" s="1149"/>
      <c r="O88" s="1149"/>
      <c r="P88" s="2628"/>
      <c r="Q88" s="504"/>
    </row>
    <row r="89" spans="1:17" s="117" customFormat="1" ht="15.75" thickBot="1">
      <c r="A89" s="579"/>
      <c r="B89" s="543"/>
      <c r="C89" s="3699">
        <v>100</v>
      </c>
      <c r="D89" s="3674">
        <v>97</v>
      </c>
      <c r="E89" s="3674">
        <v>94</v>
      </c>
      <c r="F89" s="536"/>
      <c r="G89" s="536"/>
      <c r="H89" s="536"/>
      <c r="I89" s="536"/>
      <c r="J89" s="536"/>
      <c r="K89" s="536"/>
      <c r="L89" s="536"/>
      <c r="M89" s="536"/>
      <c r="N89" s="1151"/>
      <c r="O89" s="1151"/>
      <c r="P89" s="2628"/>
      <c r="Q89" s="504"/>
    </row>
    <row r="90" spans="1:17" s="471" customFormat="1" ht="15.75" thickTop="1">
      <c r="A90" s="553"/>
      <c r="B90" s="538" t="str">
        <f>B27</f>
        <v>人流量</v>
      </c>
      <c r="C90" s="3722" t="s">
        <v>3664</v>
      </c>
      <c r="D90" s="3722" t="s">
        <v>3620</v>
      </c>
      <c r="E90" s="3722" t="s">
        <v>3665</v>
      </c>
      <c r="F90" s="554"/>
      <c r="G90" s="554"/>
      <c r="H90" s="555"/>
      <c r="I90" s="555"/>
      <c r="J90" s="555"/>
      <c r="K90" s="555"/>
      <c r="L90" s="556"/>
      <c r="M90" s="557"/>
      <c r="N90" s="1152"/>
      <c r="O90" s="1152"/>
      <c r="P90" s="2629"/>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2"/>
      <c r="O91" s="1152"/>
      <c r="P91" s="2629"/>
      <c r="Q91" s="559"/>
    </row>
    <row r="92" spans="1:17" ht="15.75" thickTop="1">
      <c r="A92" s="534"/>
      <c r="B92" s="538" t="str">
        <f>B28</f>
        <v>楼层</v>
      </c>
      <c r="C92" s="3692">
        <v>1</v>
      </c>
      <c r="D92" s="3692">
        <v>2</v>
      </c>
      <c r="E92" s="3727" t="s">
        <v>3666</v>
      </c>
      <c r="F92" s="554"/>
      <c r="G92" s="554"/>
      <c r="H92" s="554"/>
      <c r="I92" s="554"/>
      <c r="J92" s="554"/>
      <c r="K92" s="554"/>
      <c r="L92" s="580"/>
      <c r="M92" s="581"/>
      <c r="N92" s="1150"/>
      <c r="O92" s="1150"/>
      <c r="P92" s="2628"/>
      <c r="Q92" s="504"/>
    </row>
    <row r="93" spans="1:17" ht="15.75" thickBot="1">
      <c r="A93" s="534"/>
      <c r="B93" s="543"/>
      <c r="C93" s="3674">
        <v>100</v>
      </c>
      <c r="D93" s="3674">
        <v>70</v>
      </c>
      <c r="E93" s="3674">
        <f>(C93+D93)/2</f>
        <v>85</v>
      </c>
      <c r="F93" s="536"/>
      <c r="G93" s="536"/>
      <c r="H93" s="536"/>
      <c r="I93" s="536"/>
      <c r="J93" s="536"/>
      <c r="K93" s="536"/>
      <c r="L93" s="536"/>
      <c r="M93" s="537"/>
      <c r="N93" s="1151"/>
      <c r="O93" s="1151"/>
      <c r="P93" s="2628"/>
      <c r="Q93" s="504"/>
    </row>
    <row r="94" spans="1:17" ht="15.75" hidden="1" thickTop="1">
      <c r="A94" s="534"/>
      <c r="B94" s="538">
        <f>B29</f>
        <v>0</v>
      </c>
      <c r="C94" s="3692"/>
      <c r="D94" s="3692"/>
      <c r="E94" s="3692"/>
      <c r="F94" s="554"/>
      <c r="G94" s="583"/>
      <c r="H94" s="583"/>
      <c r="I94" s="583"/>
      <c r="J94" s="583"/>
      <c r="K94" s="584"/>
      <c r="L94" s="585"/>
      <c r="M94" s="586"/>
      <c r="N94" s="1150"/>
      <c r="O94" s="1150"/>
      <c r="P94" s="2628"/>
      <c r="Q94" s="504"/>
    </row>
    <row r="95" spans="1:17" ht="15.75" hidden="1" thickBot="1">
      <c r="A95" s="534"/>
      <c r="B95" s="543"/>
      <c r="C95" s="3699"/>
      <c r="D95" s="3674"/>
      <c r="E95" s="3674"/>
      <c r="F95" s="536"/>
      <c r="G95" s="536"/>
      <c r="H95" s="536"/>
      <c r="I95" s="536"/>
      <c r="J95" s="536"/>
      <c r="K95" s="536"/>
      <c r="L95" s="536"/>
      <c r="M95" s="537"/>
      <c r="N95" s="1151"/>
      <c r="O95" s="1151"/>
      <c r="P95" s="2628"/>
      <c r="Q95" s="504"/>
    </row>
    <row r="96" spans="1:17" ht="15.75" hidden="1" thickTop="1">
      <c r="A96" s="534"/>
      <c r="B96" s="538">
        <f>B30</f>
        <v>0</v>
      </c>
      <c r="C96" s="3692"/>
      <c r="D96" s="3692"/>
      <c r="E96" s="3692"/>
      <c r="F96" s="554"/>
      <c r="G96" s="583"/>
      <c r="H96" s="583"/>
      <c r="I96" s="583"/>
      <c r="J96" s="583"/>
      <c r="K96" s="584"/>
      <c r="L96" s="585"/>
      <c r="M96" s="586"/>
      <c r="N96" s="1150"/>
      <c r="O96" s="1150"/>
      <c r="P96" s="2628"/>
      <c r="Q96" s="504"/>
    </row>
    <row r="97" spans="1:17" ht="15.75" hidden="1" thickBot="1">
      <c r="A97" s="534"/>
      <c r="B97" s="543"/>
      <c r="C97" s="3699"/>
      <c r="D97" s="3674"/>
      <c r="E97" s="3674"/>
      <c r="F97" s="536"/>
      <c r="G97" s="536"/>
      <c r="H97" s="536"/>
      <c r="I97" s="536"/>
      <c r="J97" s="536"/>
      <c r="K97" s="536"/>
      <c r="L97" s="536"/>
      <c r="M97" s="537"/>
      <c r="N97" s="1151"/>
      <c r="O97" s="1151"/>
      <c r="P97" s="2628"/>
      <c r="Q97" s="504"/>
    </row>
    <row r="98" spans="1:17" ht="15.75" hidden="1" thickTop="1">
      <c r="A98" s="534"/>
      <c r="B98" s="546">
        <f>B31</f>
        <v>0</v>
      </c>
      <c r="C98" s="3692"/>
      <c r="D98" s="3692"/>
      <c r="E98" s="3692"/>
      <c r="F98" s="554"/>
      <c r="G98" s="587"/>
      <c r="H98" s="587"/>
      <c r="I98" s="587"/>
      <c r="J98" s="587"/>
      <c r="K98" s="588"/>
      <c r="L98" s="589"/>
      <c r="M98" s="590"/>
      <c r="N98" s="1150"/>
      <c r="O98" s="1150"/>
      <c r="P98" s="2628"/>
      <c r="Q98" s="504"/>
    </row>
    <row r="99" spans="1:17" ht="15.75" hidden="1" thickBot="1">
      <c r="A99" s="2634"/>
      <c r="B99" s="569"/>
      <c r="C99" s="3710"/>
      <c r="D99" s="3710"/>
      <c r="E99" s="3710"/>
      <c r="F99" s="570"/>
      <c r="G99" s="591"/>
      <c r="H99" s="591"/>
      <c r="I99" s="591"/>
      <c r="J99" s="591"/>
      <c r="K99" s="591"/>
      <c r="L99" s="591"/>
      <c r="M99" s="592"/>
      <c r="N99" s="1151"/>
      <c r="O99" s="1151"/>
      <c r="P99" s="2628"/>
      <c r="Q99" s="504"/>
    </row>
    <row r="100" spans="1:17" ht="27.75" thickTop="1">
      <c r="A100" s="527" t="s">
        <v>2554</v>
      </c>
      <c r="B100" s="528" t="s">
        <v>2672</v>
      </c>
      <c r="C100" s="3739" t="s">
        <v>3667</v>
      </c>
      <c r="D100" s="3739" t="s">
        <v>3668</v>
      </c>
      <c r="E100" s="3739" t="s">
        <v>3669</v>
      </c>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28"/>
      <c r="Q101" s="504"/>
    </row>
    <row r="102" spans="1:17" ht="15.75" hidden="1" thickTop="1">
      <c r="A102" s="534"/>
      <c r="B102" s="538" t="s">
        <v>2604</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8"/>
      <c r="Q102" s="504"/>
    </row>
    <row r="103" spans="1:17" s="471" customFormat="1" hidden="1">
      <c r="A103" s="593"/>
      <c r="B103" s="594"/>
      <c r="C103" s="595">
        <v>0</v>
      </c>
      <c r="D103" s="595"/>
      <c r="E103" s="595"/>
      <c r="F103" s="595"/>
      <c r="G103" s="595"/>
      <c r="H103" s="595"/>
      <c r="I103" s="595"/>
      <c r="J103" s="596"/>
      <c r="K103" s="596"/>
      <c r="L103" s="597"/>
      <c r="M103" s="598"/>
      <c r="N103" s="1152"/>
      <c r="O103" s="1152"/>
      <c r="P103" s="2629"/>
      <c r="Q103" s="559"/>
    </row>
    <row r="104" spans="1:17" s="471" customFormat="1" ht="15.75" hidden="1" thickBot="1">
      <c r="A104" s="553"/>
      <c r="B104" s="543"/>
      <c r="C104" s="560"/>
      <c r="D104" s="536"/>
      <c r="E104" s="536"/>
      <c r="F104" s="536"/>
      <c r="G104" s="536"/>
      <c r="H104" s="536"/>
      <c r="I104" s="536"/>
      <c r="J104" s="536"/>
      <c r="K104" s="536"/>
      <c r="L104" s="536"/>
      <c r="M104" s="537"/>
      <c r="N104" s="1151"/>
      <c r="O104" s="1151"/>
      <c r="P104" s="2629"/>
      <c r="Q104" s="559"/>
    </row>
    <row r="105" spans="1:17" ht="15" thickTop="1">
      <c r="A105" s="599"/>
      <c r="B105" s="538" t="s">
        <v>2605</v>
      </c>
      <c r="C105" s="3722" t="s">
        <v>3671</v>
      </c>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1"/>
      <c r="O106" s="1151"/>
      <c r="P106" s="2628"/>
      <c r="Q106" s="504"/>
    </row>
    <row r="107" spans="1:17" ht="15" thickTop="1">
      <c r="A107" s="599"/>
      <c r="B107" s="538" t="s">
        <v>2607</v>
      </c>
      <c r="C107" s="3357" t="s">
        <v>3688</v>
      </c>
      <c r="D107" s="554"/>
      <c r="E107" s="554"/>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1"/>
      <c r="O108" s="1151"/>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8"/>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8"/>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1"/>
      <c r="O111" s="1151"/>
      <c r="P111" s="2628"/>
      <c r="Q111" s="504"/>
    </row>
    <row r="112" spans="1:17" s="471" customFormat="1" ht="15" thickTop="1">
      <c r="A112" s="593"/>
      <c r="B112" s="538" t="s">
        <v>2609</v>
      </c>
      <c r="C112" s="3357" t="s">
        <v>3689</v>
      </c>
      <c r="D112" s="554"/>
      <c r="E112" s="554"/>
      <c r="F112" s="554"/>
      <c r="G112" s="554"/>
      <c r="H112" s="583"/>
      <c r="I112" s="583"/>
      <c r="J112" s="583"/>
      <c r="K112" s="584"/>
      <c r="L112" s="585"/>
      <c r="M112" s="586"/>
      <c r="N112" s="1152"/>
      <c r="O112" s="1152"/>
      <c r="P112" s="2629"/>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2"/>
      <c r="O113" s="1152"/>
      <c r="P113" s="2629"/>
      <c r="Q113" s="559"/>
    </row>
    <row r="114" spans="1:17" ht="15" thickTop="1">
      <c r="A114" s="599"/>
      <c r="B114" s="538" t="s">
        <v>2673</v>
      </c>
      <c r="C114" s="554"/>
      <c r="D114" s="554"/>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28"/>
      <c r="Q115" s="504"/>
    </row>
    <row r="116" spans="1:17" ht="15" hidden="1" thickTop="1">
      <c r="A116" s="599"/>
      <c r="B116" s="538" t="s">
        <v>2674</v>
      </c>
      <c r="C116" s="554"/>
      <c r="D116" s="554"/>
      <c r="E116" s="554"/>
      <c r="F116" s="554"/>
      <c r="G116" s="554"/>
      <c r="H116" s="583"/>
      <c r="I116" s="583"/>
      <c r="J116" s="583"/>
      <c r="K116" s="584"/>
      <c r="L116" s="585"/>
      <c r="M116" s="586"/>
      <c r="N116" s="1150"/>
      <c r="O116" s="1150"/>
      <c r="P116" s="2628"/>
      <c r="Q116" s="504"/>
    </row>
    <row r="117" spans="1:17" ht="15.75" hidden="1"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28"/>
      <c r="Q117" s="504"/>
    </row>
    <row r="118" spans="1:17" ht="15" hidden="1" thickTop="1">
      <c r="A118" s="599"/>
      <c r="B118" s="538" t="s">
        <v>2675</v>
      </c>
      <c r="C118" s="627"/>
      <c r="D118" s="627"/>
      <c r="E118" s="627"/>
      <c r="F118" s="627"/>
      <c r="G118" s="627"/>
      <c r="H118" s="555"/>
      <c r="I118" s="555"/>
      <c r="J118" s="555"/>
      <c r="K118" s="555"/>
      <c r="L118" s="556"/>
      <c r="M118" s="557"/>
      <c r="N118" s="1150"/>
      <c r="O118" s="1150"/>
      <c r="P118" s="2628"/>
      <c r="Q118" s="504"/>
    </row>
    <row r="119" spans="1:17" ht="15.75" hidden="1" thickBot="1">
      <c r="A119" s="534"/>
      <c r="B119" s="543"/>
      <c r="C119" s="560"/>
      <c r="D119" s="536"/>
      <c r="E119" s="536"/>
      <c r="F119" s="536"/>
      <c r="G119" s="536"/>
      <c r="H119" s="536"/>
      <c r="I119" s="536"/>
      <c r="J119" s="536"/>
      <c r="K119" s="536"/>
      <c r="L119" s="536"/>
      <c r="M119" s="537"/>
      <c r="N119" s="1151"/>
      <c r="O119" s="1151"/>
      <c r="P119" s="2628"/>
      <c r="Q119" s="504"/>
    </row>
    <row r="120" spans="1:17" s="471" customFormat="1" ht="15" hidden="1" thickTop="1">
      <c r="A120" s="593"/>
      <c r="B120" s="538" t="s">
        <v>2676</v>
      </c>
      <c r="C120" s="583"/>
      <c r="D120" s="583"/>
      <c r="E120" s="583"/>
      <c r="F120" s="583"/>
      <c r="G120" s="555"/>
      <c r="H120" s="555"/>
      <c r="I120" s="555"/>
      <c r="J120" s="555"/>
      <c r="K120" s="555"/>
      <c r="L120" s="556"/>
      <c r="M120" s="557"/>
      <c r="N120" s="1152"/>
      <c r="O120" s="1152"/>
      <c r="P120" s="2629"/>
      <c r="Q120" s="559"/>
    </row>
    <row r="121" spans="1:17" s="471" customFormat="1" ht="15.75" hidden="1"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2"/>
      <c r="O121" s="1152"/>
      <c r="P121" s="2629"/>
      <c r="Q121" s="559"/>
    </row>
    <row r="122" spans="1:17" ht="15" thickTop="1">
      <c r="A122" s="599"/>
      <c r="B122" s="538" t="s">
        <v>2611</v>
      </c>
      <c r="C122" s="3722" t="s">
        <v>3684</v>
      </c>
      <c r="D122" s="554"/>
      <c r="E122" s="554"/>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0"/>
      <c r="O124" s="1150"/>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1"/>
      <c r="O125" s="1151"/>
      <c r="P125" s="2628"/>
      <c r="Q125" s="504"/>
    </row>
    <row r="126" spans="1:17" s="471" customFormat="1" ht="15" hidden="1" thickTop="1">
      <c r="A126" s="593"/>
      <c r="B126" s="538">
        <f>B44</f>
        <v>0</v>
      </c>
      <c r="C126" s="554"/>
      <c r="D126" s="554"/>
      <c r="E126" s="554"/>
      <c r="F126" s="554"/>
      <c r="G126" s="554"/>
      <c r="H126" s="555"/>
      <c r="I126" s="555"/>
      <c r="J126" s="555"/>
      <c r="K126" s="555"/>
      <c r="L126" s="556"/>
      <c r="M126" s="557"/>
      <c r="N126" s="1152"/>
      <c r="O126" s="1152"/>
      <c r="P126" s="2629"/>
      <c r="Q126" s="559"/>
    </row>
    <row r="127" spans="1:17" s="471" customFormat="1" ht="15.75" hidden="1" thickBot="1">
      <c r="A127" s="553"/>
      <c r="B127" s="543"/>
      <c r="C127" s="560"/>
      <c r="D127" s="536"/>
      <c r="E127" s="536"/>
      <c r="F127" s="536"/>
      <c r="G127" s="560"/>
      <c r="H127" s="562"/>
      <c r="I127" s="562"/>
      <c r="J127" s="562"/>
      <c r="K127" s="562"/>
      <c r="L127" s="562"/>
      <c r="M127" s="563"/>
      <c r="N127" s="1152"/>
      <c r="O127" s="1152"/>
      <c r="P127" s="2629"/>
      <c r="Q127" s="559"/>
    </row>
    <row r="128" spans="1:17" ht="15" hidden="1" thickTop="1">
      <c r="A128" s="599"/>
      <c r="B128" s="538">
        <f>B45</f>
        <v>0</v>
      </c>
      <c r="C128" s="554"/>
      <c r="D128" s="554"/>
      <c r="E128" s="554"/>
      <c r="F128" s="554"/>
      <c r="G128" s="583"/>
      <c r="H128" s="583"/>
      <c r="I128" s="583"/>
      <c r="J128" s="583"/>
      <c r="K128" s="584"/>
      <c r="L128" s="585"/>
      <c r="M128" s="586"/>
      <c r="N128" s="1150"/>
      <c r="O128" s="1150"/>
      <c r="P128" s="2628"/>
      <c r="Q128" s="504"/>
    </row>
    <row r="129" spans="1:17" ht="15.75" hidden="1" thickBot="1">
      <c r="A129" s="534"/>
      <c r="B129" s="543"/>
      <c r="C129" s="560"/>
      <c r="D129" s="536"/>
      <c r="E129" s="536"/>
      <c r="F129" s="536"/>
      <c r="G129" s="536"/>
      <c r="H129" s="536"/>
      <c r="I129" s="536"/>
      <c r="J129" s="536"/>
      <c r="K129" s="536"/>
      <c r="L129" s="536"/>
      <c r="M129" s="537"/>
      <c r="N129" s="1151"/>
      <c r="O129" s="1151"/>
      <c r="P129" s="2628"/>
      <c r="Q129" s="504"/>
    </row>
    <row r="130" spans="1:17" ht="15" hidden="1" thickTop="1">
      <c r="A130" s="599"/>
      <c r="B130" s="546">
        <f>B46</f>
        <v>0</v>
      </c>
      <c r="C130" s="554"/>
      <c r="D130" s="554"/>
      <c r="E130" s="554"/>
      <c r="F130" s="554"/>
      <c r="G130" s="587"/>
      <c r="H130" s="587"/>
      <c r="I130" s="587"/>
      <c r="J130" s="587"/>
      <c r="K130" s="523"/>
      <c r="L130" s="524"/>
      <c r="M130" s="590"/>
      <c r="N130" s="1150"/>
      <c r="O130" s="1150"/>
      <c r="P130" s="2628"/>
      <c r="Q130" s="504"/>
    </row>
    <row r="131" spans="1:17" ht="15.75" hidden="1" thickBot="1">
      <c r="A131" s="2634"/>
      <c r="B131" s="569"/>
      <c r="C131" s="570"/>
      <c r="D131" s="570"/>
      <c r="E131" s="570"/>
      <c r="F131" s="570"/>
      <c r="G131" s="591"/>
      <c r="H131" s="591"/>
      <c r="I131" s="591"/>
      <c r="J131" s="591"/>
      <c r="K131" s="591"/>
      <c r="L131" s="591"/>
      <c r="M131" s="592"/>
      <c r="N131" s="1151"/>
      <c r="O131" s="1151"/>
      <c r="P131" s="2628"/>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66" priority="17" stopIfTrue="1" operator="containsText" text="超过">
      <formula>NOT(ISERROR(SEARCH("超过",F52)))</formula>
    </cfRule>
  </conditionalFormatting>
  <conditionalFormatting sqref="H54">
    <cfRule type="containsText" dxfId="165" priority="15" stopIfTrue="1" operator="containsText" text="超过">
      <formula>NOT(ISERROR(SEARCH("超过",H54)))</formula>
    </cfRule>
  </conditionalFormatting>
  <conditionalFormatting sqref="F54">
    <cfRule type="containsText" dxfId="164" priority="14" stopIfTrue="1" operator="containsText" text="超过">
      <formula>NOT(ISERROR(SEARCH("超过",F54)))</formula>
    </cfRule>
  </conditionalFormatting>
  <conditionalFormatting sqref="F53 H53">
    <cfRule type="containsText" dxfId="163" priority="13" stopIfTrue="1" operator="containsText" text="超过">
      <formula>NOT(ISERROR(SEARCH("超过",F53)))</formula>
    </cfRule>
  </conditionalFormatting>
  <conditionalFormatting sqref="E52">
    <cfRule type="expression" dxfId="162" priority="12" stopIfTrue="1">
      <formula>$F$52="超过30%"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4">
    <cfRule type="expression" dxfId="159" priority="9" stopIfTrue="1">
      <formula>$H$54="超过30%"</formula>
    </cfRule>
  </conditionalFormatting>
  <conditionalFormatting sqref="G52">
    <cfRule type="expression" dxfId="158" priority="8" stopIfTrue="1">
      <formula>$H$52="超过30%"</formula>
    </cfRule>
  </conditionalFormatting>
  <conditionalFormatting sqref="G53">
    <cfRule type="expression" dxfId="157" priority="7" stopIfTrue="1">
      <formula>$H$53="超过20%"</formula>
    </cfRule>
  </conditionalFormatting>
  <conditionalFormatting sqref="J52">
    <cfRule type="containsText" dxfId="156" priority="6" stopIfTrue="1" operator="containsText" text="超过">
      <formula>NOT(ISERROR(SEARCH("超过",J52)))</formula>
    </cfRule>
  </conditionalFormatting>
  <conditionalFormatting sqref="J54">
    <cfRule type="containsText" dxfId="155" priority="5" stopIfTrue="1" operator="containsText" text="超过">
      <formula>NOT(ISERROR(SEARCH("超过",J54)))</formula>
    </cfRule>
  </conditionalFormatting>
  <conditionalFormatting sqref="J53">
    <cfRule type="containsText" dxfId="154" priority="4" stopIfTrue="1" operator="containsText" text="超过">
      <formula>NOT(ISERROR(SEARCH("超过",J53)))</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cols>
    <col min="1" max="16384" width="9" style="3294"/>
  </cols>
  <sheetData/>
  <phoneticPr fontId="14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t="s">
        <v>3472</v>
      </c>
      <c r="C1" s="1618" t="s">
        <v>2521</v>
      </c>
      <c r="D1" s="1619" t="s">
        <v>48</v>
      </c>
      <c r="E1" s="1620"/>
      <c r="F1" s="2582" t="s">
        <v>3586</v>
      </c>
      <c r="G1" s="1621" t="s">
        <v>2634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6">
        <f>IF(C2="——",IF(B37="元/平方米",ROUND(C39*D3/10000,0),ROUND(F3*C39/10000,0)),IF(B37="元/平方米",ROUND(C39*D3/10000,0),ROUND(F3*C39/10000,0))-D2)</f>
        <v>483</v>
      </c>
      <c r="C2" s="2584" t="s">
        <v>70</v>
      </c>
      <c r="D2" s="1122" t="e">
        <f ca="1">SUMIF(INDIRECT("'"&amp;F2&amp;"'"&amp;"!A:A"),"承租人权益价值",INDIRECT("'"&amp;F2&amp;"'"&amp;"!c:c"))</f>
        <v>#REF!</v>
      </c>
      <c r="E2" s="2585" t="s">
        <v>2319</v>
      </c>
      <c r="F2" s="2586"/>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2320</v>
      </c>
      <c r="B3" s="609">
        <f>IF(AND(C2="——",B37="元/平方米"),C39,ROUND(B2*10000/D3,0))</f>
        <v>4871</v>
      </c>
      <c r="C3" s="400" t="s">
        <v>2635</v>
      </c>
      <c r="D3" s="399">
        <f>SUMIF('数据-汇总表'!$C19:$C33,D1,'数据-汇总表'!$E19:$E33)</f>
        <v>991.5300000000002</v>
      </c>
      <c r="E3" s="400" t="s">
        <v>2699</v>
      </c>
      <c r="F3" s="399">
        <f>SUMIF('数据-取费表'!A5:A15,D1,'数据-取费表'!AH5:AH15)</f>
        <v>23</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29" ht="15">
      <c r="A5" s="404"/>
      <c r="B5" s="405"/>
      <c r="C5" s="3185" t="s">
        <v>2533</v>
      </c>
      <c r="D5" s="3186"/>
      <c r="E5" s="3354" t="s">
        <v>3585</v>
      </c>
      <c r="F5" s="3184"/>
      <c r="G5" s="3355" t="s">
        <v>3585</v>
      </c>
      <c r="H5" s="3186"/>
      <c r="I5" s="3355" t="s">
        <v>3585</v>
      </c>
      <c r="J5" s="3186"/>
      <c r="K5" s="610"/>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v>43160</v>
      </c>
      <c r="F7" s="413">
        <f>SUMIF(48:48,YEAR(E7)&amp;"-"&amp;MONTH(E7),49:49)</f>
        <v>100</v>
      </c>
      <c r="G7" s="412">
        <v>43160</v>
      </c>
      <c r="H7" s="411">
        <f>SUMIF(48:48,YEAR(G7)&amp;"-"&amp;MONTH(G7),49:49)</f>
        <v>100</v>
      </c>
      <c r="I7" s="412">
        <v>43160</v>
      </c>
      <c r="J7" s="411">
        <f>SUMIF(48:48,YEAR(I7)&amp;"-"&amp;MONTH(I7),49:49)</f>
        <v>100</v>
      </c>
      <c r="K7" s="611"/>
      <c r="L7" s="1130"/>
      <c r="M7" s="1131"/>
      <c r="N7" s="1131"/>
      <c r="O7" s="1131"/>
      <c r="P7" s="3177" t="s">
        <v>2540</v>
      </c>
      <c r="Q7" s="3205"/>
      <c r="R7" s="770" t="s">
        <v>17</v>
      </c>
      <c r="S7" s="771">
        <f t="shared" ref="S7:S14" si="0">F7</f>
        <v>100</v>
      </c>
      <c r="T7" s="770" t="s">
        <v>17</v>
      </c>
      <c r="U7" s="771">
        <f t="shared" ref="U7:U14" si="1">H7</f>
        <v>100</v>
      </c>
      <c r="V7" s="770" t="s">
        <v>17</v>
      </c>
      <c r="W7" s="771">
        <f t="shared" ref="W7:W14" si="2">J7</f>
        <v>100</v>
      </c>
      <c r="X7" s="772"/>
      <c r="Y7" s="3177" t="s">
        <v>2540</v>
      </c>
      <c r="Z7" s="3178"/>
      <c r="AA7" s="773">
        <f>D7/F7</f>
        <v>1</v>
      </c>
      <c r="AB7" s="773">
        <f>D7/H7</f>
        <v>1</v>
      </c>
      <c r="AC7" s="773">
        <f>D7/J7</f>
        <v>1</v>
      </c>
    </row>
    <row r="8" spans="1:29" s="117" customFormat="1" ht="15.75" thickBot="1">
      <c r="A8" s="408" t="s">
        <v>2541</v>
      </c>
      <c r="B8" s="409"/>
      <c r="C8" s="414" t="s">
        <v>2643</v>
      </c>
      <c r="D8" s="411">
        <v>100</v>
      </c>
      <c r="E8" s="414" t="s">
        <v>3587</v>
      </c>
      <c r="F8" s="413">
        <f>SUMIF(51:51,E8,52:52)-SUMIF(51:51,C8,52:52)+100</f>
        <v>100</v>
      </c>
      <c r="G8" s="414" t="s">
        <v>3587</v>
      </c>
      <c r="H8" s="411">
        <f>SUMIF(51:51,G8,52:52)-SUMIF(51:51,C8,52:52)+100</f>
        <v>100</v>
      </c>
      <c r="I8" s="414" t="s">
        <v>3587</v>
      </c>
      <c r="J8" s="411">
        <f>SUMIF(51:51,I8,52:52)-SUMIF(51:51,C8,52:52)+100</f>
        <v>100</v>
      </c>
      <c r="K8" s="611"/>
      <c r="L8" s="1130"/>
      <c r="M8" s="1131"/>
      <c r="N8" s="1131"/>
      <c r="O8" s="1131"/>
      <c r="P8" s="3177" t="s">
        <v>2543</v>
      </c>
      <c r="Q8" s="3178"/>
      <c r="R8" s="770" t="s">
        <v>17</v>
      </c>
      <c r="S8" s="771">
        <f t="shared" si="0"/>
        <v>100</v>
      </c>
      <c r="T8" s="770" t="s">
        <v>17</v>
      </c>
      <c r="U8" s="771">
        <f t="shared" si="1"/>
        <v>100</v>
      </c>
      <c r="V8" s="770" t="s">
        <v>17</v>
      </c>
      <c r="W8" s="771">
        <f t="shared" si="2"/>
        <v>100</v>
      </c>
      <c r="X8" s="772"/>
      <c r="Y8" s="3177" t="s">
        <v>2543</v>
      </c>
      <c r="Z8" s="3178"/>
      <c r="AA8" s="773">
        <f t="shared" ref="AA8:AA36" si="3">D8/F8</f>
        <v>1</v>
      </c>
      <c r="AB8" s="773">
        <f t="shared" ref="AB8:AB36" si="4">D8/H8</f>
        <v>1</v>
      </c>
      <c r="AC8" s="773">
        <f t="shared" ref="AC8:AC36" si="5">D8/J8</f>
        <v>1</v>
      </c>
    </row>
    <row r="9" spans="1:29" s="117" customFormat="1">
      <c r="A9" s="68" t="s">
        <v>2544</v>
      </c>
      <c r="B9" s="640" t="s">
        <v>2545</v>
      </c>
      <c r="C9" s="3356" t="s">
        <v>3594</v>
      </c>
      <c r="D9" s="135">
        <v>100</v>
      </c>
      <c r="E9" s="419" t="s">
        <v>3472</v>
      </c>
      <c r="F9" s="135">
        <f>SUMIF(53:53,E9,54:54)-SUMIF(53:53,C9,54:54)+100</f>
        <v>100</v>
      </c>
      <c r="G9" s="417" t="s">
        <v>3472</v>
      </c>
      <c r="H9" s="135">
        <f>SUMIF(53:53,G9,54:54)-SUMIF(53:53,C9,54:54)+100</f>
        <v>100</v>
      </c>
      <c r="I9" s="417" t="s">
        <v>3472</v>
      </c>
      <c r="J9" s="135">
        <f>SUMIF(53:53,I9,54:54)-SUMIF(53:53,C9,54:54)+100</f>
        <v>100</v>
      </c>
      <c r="K9" s="611"/>
      <c r="L9" s="1130"/>
      <c r="M9" s="1131"/>
      <c r="N9" s="1131"/>
      <c r="O9" s="1131"/>
      <c r="P9" s="3209" t="s">
        <v>2546</v>
      </c>
      <c r="Q9" s="1793" t="str">
        <f t="shared" ref="Q9:Q14" si="6">B9</f>
        <v>用途</v>
      </c>
      <c r="R9" s="770" t="s">
        <v>17</v>
      </c>
      <c r="S9" s="771">
        <f t="shared" si="0"/>
        <v>100</v>
      </c>
      <c r="T9" s="770" t="s">
        <v>17</v>
      </c>
      <c r="U9" s="771">
        <f t="shared" si="1"/>
        <v>100</v>
      </c>
      <c r="V9" s="770" t="s">
        <v>17</v>
      </c>
      <c r="W9" s="771">
        <f t="shared" si="2"/>
        <v>100</v>
      </c>
      <c r="X9" s="772"/>
      <c r="Y9" s="3024" t="s">
        <v>2547</v>
      </c>
      <c r="Z9" s="55" t="str">
        <f t="shared" ref="Z9:Z14" si="7">Q9</f>
        <v>用途</v>
      </c>
      <c r="AA9" s="773">
        <f t="shared" si="3"/>
        <v>1</v>
      </c>
      <c r="AB9" s="773">
        <f t="shared" si="4"/>
        <v>1</v>
      </c>
      <c r="AC9" s="773">
        <f t="shared" si="5"/>
        <v>1</v>
      </c>
    </row>
    <row r="10" spans="1:29" s="427" customFormat="1" ht="27.75" thickBot="1">
      <c r="A10" s="641"/>
      <c r="B10" s="642" t="s">
        <v>2548</v>
      </c>
      <c r="C10" s="423" t="s">
        <v>3588</v>
      </c>
      <c r="D10" s="136">
        <v>100</v>
      </c>
      <c r="E10" s="423" t="s">
        <v>3588</v>
      </c>
      <c r="F10" s="136">
        <f>SUMIF(55:55,E10,56:56)-SUMIF(55:55,C10,56:56)+100</f>
        <v>100</v>
      </c>
      <c r="G10" s="424" t="s">
        <v>3588</v>
      </c>
      <c r="H10" s="136">
        <f>SUMIF(55:55,G10,56:56)-SUMIF(55:55,C10,56:56)+100</f>
        <v>100</v>
      </c>
      <c r="I10" s="423" t="s">
        <v>3588</v>
      </c>
      <c r="J10" s="136">
        <f>SUMIF(55:55,I10,56:56)-SUMIF(55:55,C10,56:56)+100</f>
        <v>100</v>
      </c>
      <c r="K10" s="612">
        <v>1</v>
      </c>
      <c r="L10" s="1133"/>
      <c r="M10" s="1134"/>
      <c r="N10" s="1134"/>
      <c r="O10" s="1134"/>
      <c r="P10" s="3209"/>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hidden="1">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09"/>
      <c r="Q11" s="1793">
        <f t="shared" si="6"/>
        <v>0</v>
      </c>
      <c r="R11" s="770" t="s">
        <v>17</v>
      </c>
      <c r="S11" s="771">
        <f t="shared" si="0"/>
        <v>100</v>
      </c>
      <c r="T11" s="770" t="s">
        <v>17</v>
      </c>
      <c r="U11" s="771">
        <f t="shared" si="1"/>
        <v>100</v>
      </c>
      <c r="V11" s="770" t="s">
        <v>17</v>
      </c>
      <c r="W11" s="771">
        <f t="shared" si="2"/>
        <v>100</v>
      </c>
      <c r="X11" s="772"/>
      <c r="Y11" s="3024"/>
      <c r="Z11" s="55">
        <f t="shared" si="7"/>
        <v>0</v>
      </c>
      <c r="AA11" s="773">
        <f t="shared" si="3"/>
        <v>1</v>
      </c>
      <c r="AB11" s="773">
        <f t="shared" si="4"/>
        <v>1</v>
      </c>
      <c r="AC11" s="773">
        <f t="shared" si="5"/>
        <v>1</v>
      </c>
    </row>
    <row r="12" spans="1:29" s="117" customFormat="1" ht="15" hidden="1">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09"/>
      <c r="Q12" s="1793">
        <f t="shared" si="6"/>
        <v>0</v>
      </c>
      <c r="R12" s="770" t="s">
        <v>17</v>
      </c>
      <c r="S12" s="771">
        <f t="shared" si="0"/>
        <v>100</v>
      </c>
      <c r="T12" s="770" t="s">
        <v>17</v>
      </c>
      <c r="U12" s="771">
        <f t="shared" si="1"/>
        <v>100</v>
      </c>
      <c r="V12" s="770" t="s">
        <v>17</v>
      </c>
      <c r="W12" s="771">
        <f t="shared" si="2"/>
        <v>100</v>
      </c>
      <c r="X12" s="772"/>
      <c r="Y12" s="3024"/>
      <c r="Z12" s="55">
        <f t="shared" si="7"/>
        <v>0</v>
      </c>
      <c r="AA12" s="773">
        <f>D12/F12</f>
        <v>1</v>
      </c>
      <c r="AB12" s="773">
        <f>D12/H12</f>
        <v>1</v>
      </c>
      <c r="AC12" s="773">
        <f>D12/J12</f>
        <v>1</v>
      </c>
    </row>
    <row r="13" spans="1:29" ht="15.75" hidden="1"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09"/>
      <c r="Q13" s="1793">
        <f t="shared" si="6"/>
        <v>0</v>
      </c>
      <c r="R13" s="770" t="s">
        <v>17</v>
      </c>
      <c r="S13" s="771">
        <f t="shared" si="0"/>
        <v>100</v>
      </c>
      <c r="T13" s="770" t="s">
        <v>17</v>
      </c>
      <c r="U13" s="771">
        <f t="shared" si="1"/>
        <v>100</v>
      </c>
      <c r="V13" s="770" t="s">
        <v>17</v>
      </c>
      <c r="W13" s="771">
        <f t="shared" si="2"/>
        <v>100</v>
      </c>
      <c r="X13" s="772"/>
      <c r="Y13" s="3024"/>
      <c r="Z13" s="55">
        <f t="shared" si="7"/>
        <v>0</v>
      </c>
      <c r="AA13" s="773">
        <f t="shared" si="3"/>
        <v>1</v>
      </c>
      <c r="AB13" s="773">
        <f t="shared" si="4"/>
        <v>1</v>
      </c>
      <c r="AC13" s="773">
        <f t="shared" si="5"/>
        <v>1</v>
      </c>
    </row>
    <row r="14" spans="1:29" ht="71.25">
      <c r="A14" s="401" t="s">
        <v>2550</v>
      </c>
      <c r="B14" s="629" t="s">
        <v>2700</v>
      </c>
      <c r="C14" s="2690"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8"/>
      <c r="M14" s="1129"/>
      <c r="N14" s="1129"/>
      <c r="O14" s="1129"/>
      <c r="P14" s="3211" t="s">
        <v>2551</v>
      </c>
      <c r="Q14" s="1808" t="str">
        <f t="shared" si="6"/>
        <v>交通便捷度</v>
      </c>
      <c r="R14" s="774" t="s">
        <v>17</v>
      </c>
      <c r="S14" s="775">
        <f t="shared" si="0"/>
        <v>100</v>
      </c>
      <c r="T14" s="774" t="s">
        <v>17</v>
      </c>
      <c r="U14" s="775">
        <f t="shared" si="1"/>
        <v>100</v>
      </c>
      <c r="V14" s="774" t="s">
        <v>17</v>
      </c>
      <c r="W14" s="775">
        <f t="shared" si="2"/>
        <v>100</v>
      </c>
      <c r="X14" s="1811"/>
      <c r="Y14" s="3211" t="s">
        <v>2551</v>
      </c>
      <c r="Z14" s="1812" t="str">
        <f t="shared" si="7"/>
        <v>交通便捷度</v>
      </c>
      <c r="AA14" s="1809">
        <f t="shared" si="3"/>
        <v>1</v>
      </c>
      <c r="AB14" s="1809">
        <f t="shared" si="4"/>
        <v>1</v>
      </c>
      <c r="AC14" s="1809">
        <f t="shared" si="5"/>
        <v>1</v>
      </c>
    </row>
    <row r="15" spans="1:29" ht="15">
      <c r="A15" s="404"/>
      <c r="B15" s="647"/>
      <c r="C15" s="447" t="s">
        <v>3598</v>
      </c>
      <c r="D15" s="448"/>
      <c r="E15" s="447" t="s">
        <v>3598</v>
      </c>
      <c r="F15" s="449"/>
      <c r="G15" s="447" t="s">
        <v>3598</v>
      </c>
      <c r="H15" s="450"/>
      <c r="I15" s="3358" t="s">
        <v>3598</v>
      </c>
      <c r="J15" s="448"/>
      <c r="K15" s="615"/>
      <c r="L15" s="1138"/>
      <c r="M15" s="1129"/>
      <c r="N15" s="1129"/>
      <c r="O15" s="1129"/>
      <c r="P15" s="3212"/>
      <c r="Q15" s="1808"/>
      <c r="R15" s="774"/>
      <c r="S15" s="775"/>
      <c r="T15" s="774"/>
      <c r="U15" s="775"/>
      <c r="V15" s="774"/>
      <c r="W15" s="775"/>
      <c r="X15" s="1811"/>
      <c r="Y15" s="3212"/>
      <c r="Z15" s="1812"/>
      <c r="AA15" s="1809">
        <v>1</v>
      </c>
      <c r="AB15" s="1809">
        <v>1</v>
      </c>
      <c r="AC15" s="1809">
        <v>1</v>
      </c>
    </row>
    <row r="16" spans="1:29" ht="114">
      <c r="A16" s="404"/>
      <c r="B16" s="631" t="s">
        <v>2679</v>
      </c>
      <c r="C16" s="2605"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9"/>
      <c r="H16" s="455">
        <f>SUMIF(65:65,G17,66:66)-SUMIF(65:65,C17,66:66)+100</f>
        <v>100</v>
      </c>
      <c r="I16" s="457"/>
      <c r="J16" s="455">
        <f>SUMIF(65:65,I17,66:66)-SUMIF(65:65,C17,66:66)+100</f>
        <v>100</v>
      </c>
      <c r="K16" s="614">
        <v>3</v>
      </c>
      <c r="L16" s="1138"/>
      <c r="M16" s="1129"/>
      <c r="N16" s="1129"/>
      <c r="O16" s="1129"/>
      <c r="P16" s="3212"/>
      <c r="Q16" s="1808" t="str">
        <f>B16</f>
        <v>公共配套设施</v>
      </c>
      <c r="R16" s="774" t="s">
        <v>17</v>
      </c>
      <c r="S16" s="775">
        <f>F16</f>
        <v>100</v>
      </c>
      <c r="T16" s="774" t="s">
        <v>17</v>
      </c>
      <c r="U16" s="775">
        <f>H16</f>
        <v>100</v>
      </c>
      <c r="V16" s="774" t="s">
        <v>17</v>
      </c>
      <c r="W16" s="775">
        <f>J16</f>
        <v>100</v>
      </c>
      <c r="X16" s="1811"/>
      <c r="Y16" s="3212"/>
      <c r="Z16" s="1812" t="str">
        <f>Q16</f>
        <v>公共配套设施</v>
      </c>
      <c r="AA16" s="1809">
        <f t="shared" si="3"/>
        <v>1</v>
      </c>
      <c r="AB16" s="1809">
        <f t="shared" si="4"/>
        <v>1</v>
      </c>
      <c r="AC16" s="1809">
        <f t="shared" si="5"/>
        <v>1</v>
      </c>
    </row>
    <row r="17" spans="1:29" ht="15">
      <c r="A17" s="404"/>
      <c r="B17" s="632"/>
      <c r="C17" s="2606" t="s">
        <v>3589</v>
      </c>
      <c r="D17" s="448"/>
      <c r="E17" s="447" t="s">
        <v>3589</v>
      </c>
      <c r="F17" s="449"/>
      <c r="G17" s="447" t="s">
        <v>3589</v>
      </c>
      <c r="H17" s="448"/>
      <c r="I17" s="447" t="s">
        <v>3589</v>
      </c>
      <c r="J17" s="448"/>
      <c r="K17" s="615"/>
      <c r="L17" s="1138"/>
      <c r="M17" s="1129"/>
      <c r="N17" s="1129"/>
      <c r="O17" s="1129"/>
      <c r="P17" s="3212"/>
      <c r="Q17" s="1808"/>
      <c r="R17" s="774"/>
      <c r="S17" s="775"/>
      <c r="T17" s="774"/>
      <c r="U17" s="775"/>
      <c r="V17" s="774"/>
      <c r="W17" s="775"/>
      <c r="X17" s="1811"/>
      <c r="Y17" s="3212"/>
      <c r="Z17" s="1812"/>
      <c r="AA17" s="1809">
        <v>1</v>
      </c>
      <c r="AB17" s="1809">
        <v>1</v>
      </c>
      <c r="AC17" s="1809">
        <v>1</v>
      </c>
    </row>
    <row r="18" spans="1:29" ht="15">
      <c r="A18" s="404"/>
      <c r="B18" s="633" t="s">
        <v>2680</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v>2</v>
      </c>
      <c r="L18" s="1138"/>
      <c r="M18" s="1129"/>
      <c r="N18" s="1129"/>
      <c r="O18" s="1129"/>
      <c r="P18" s="3212"/>
      <c r="Q18" s="1808" t="str">
        <f>B18</f>
        <v>基础设施水平</v>
      </c>
      <c r="R18" s="774" t="s">
        <v>17</v>
      </c>
      <c r="S18" s="775">
        <f>F18</f>
        <v>100</v>
      </c>
      <c r="T18" s="774" t="s">
        <v>17</v>
      </c>
      <c r="U18" s="775">
        <f>H18</f>
        <v>100</v>
      </c>
      <c r="V18" s="774" t="s">
        <v>17</v>
      </c>
      <c r="W18" s="775">
        <f>J18</f>
        <v>100</v>
      </c>
      <c r="X18" s="1811"/>
      <c r="Y18" s="3212"/>
      <c r="Z18" s="1812" t="str">
        <f>Q18</f>
        <v>基础设施水平</v>
      </c>
      <c r="AA18" s="1809">
        <f t="shared" ref="AA18" si="8">D18/F18</f>
        <v>1</v>
      </c>
      <c r="AB18" s="1809">
        <f t="shared" ref="AB18" si="9">D18/H18</f>
        <v>1</v>
      </c>
      <c r="AC18" s="1809">
        <f t="shared" ref="AC18" si="10">D18/J18</f>
        <v>1</v>
      </c>
    </row>
    <row r="19" spans="1:29" ht="15">
      <c r="A19" s="404"/>
      <c r="B19" s="633"/>
      <c r="C19" s="2606" t="s">
        <v>3590</v>
      </c>
      <c r="D19" s="450"/>
      <c r="E19" s="2606" t="s">
        <v>3590</v>
      </c>
      <c r="F19" s="453"/>
      <c r="G19" s="2606" t="s">
        <v>3590</v>
      </c>
      <c r="H19" s="448"/>
      <c r="I19" s="447" t="s">
        <v>3590</v>
      </c>
      <c r="J19" s="448"/>
      <c r="K19" s="1381"/>
      <c r="L19" s="1138"/>
      <c r="M19" s="1129"/>
      <c r="N19" s="1129"/>
      <c r="O19" s="1129"/>
      <c r="P19" s="3212"/>
      <c r="Q19" s="1808"/>
      <c r="R19" s="774"/>
      <c r="S19" s="775"/>
      <c r="T19" s="774"/>
      <c r="U19" s="775"/>
      <c r="V19" s="774"/>
      <c r="W19" s="775"/>
      <c r="X19" s="1811"/>
      <c r="Y19" s="3212"/>
      <c r="Z19" s="1812"/>
      <c r="AA19" s="1809">
        <v>1</v>
      </c>
      <c r="AB19" s="1809">
        <v>1</v>
      </c>
      <c r="AC19" s="1809">
        <v>1</v>
      </c>
    </row>
    <row r="20" spans="1:29" ht="28.5">
      <c r="A20" s="404"/>
      <c r="B20" s="631" t="s">
        <v>2701</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8"/>
      <c r="M20" s="1129"/>
      <c r="N20" s="1129"/>
      <c r="O20" s="1129"/>
      <c r="P20" s="3212"/>
      <c r="Q20" s="1808" t="str">
        <f>B20</f>
        <v>自然及人文环境</v>
      </c>
      <c r="R20" s="774" t="s">
        <v>17</v>
      </c>
      <c r="S20" s="775">
        <f>F20</f>
        <v>100</v>
      </c>
      <c r="T20" s="774" t="s">
        <v>17</v>
      </c>
      <c r="U20" s="775">
        <f>H20</f>
        <v>100</v>
      </c>
      <c r="V20" s="774" t="s">
        <v>17</v>
      </c>
      <c r="W20" s="775">
        <f>J20</f>
        <v>100</v>
      </c>
      <c r="X20" s="1811"/>
      <c r="Y20" s="3212"/>
      <c r="Z20" s="1812" t="str">
        <f>Q20</f>
        <v>自然及人文环境</v>
      </c>
      <c r="AA20" s="1809">
        <f t="shared" si="3"/>
        <v>1</v>
      </c>
      <c r="AB20" s="1809">
        <f t="shared" si="4"/>
        <v>1</v>
      </c>
      <c r="AC20" s="1809">
        <f t="shared" si="5"/>
        <v>1</v>
      </c>
    </row>
    <row r="21" spans="1:29" ht="15.75" thickBot="1">
      <c r="A21" s="404"/>
      <c r="B21" s="632"/>
      <c r="C21" s="447" t="s">
        <v>3591</v>
      </c>
      <c r="D21" s="448"/>
      <c r="E21" s="447" t="s">
        <v>3591</v>
      </c>
      <c r="F21" s="449"/>
      <c r="G21" s="447" t="s">
        <v>3591</v>
      </c>
      <c r="H21" s="448"/>
      <c r="I21" s="447" t="s">
        <v>3591</v>
      </c>
      <c r="J21" s="448"/>
      <c r="K21" s="615"/>
      <c r="L21" s="1138"/>
      <c r="M21" s="1129"/>
      <c r="N21" s="1129"/>
      <c r="O21" s="1129"/>
      <c r="P21" s="3212"/>
      <c r="Q21" s="1808"/>
      <c r="R21" s="774"/>
      <c r="S21" s="775"/>
      <c r="T21" s="774"/>
      <c r="U21" s="775"/>
      <c r="V21" s="774"/>
      <c r="W21" s="775"/>
      <c r="X21" s="1811"/>
      <c r="Y21" s="3212"/>
      <c r="Z21" s="1812"/>
      <c r="AA21" s="1809">
        <v>1</v>
      </c>
      <c r="AB21" s="1809">
        <v>1</v>
      </c>
      <c r="AC21" s="1809">
        <v>1</v>
      </c>
    </row>
    <row r="22" spans="1:29" ht="15" hidden="1">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2"/>
      <c r="Q22" s="1808" t="str">
        <f>B22</f>
        <v>楼层</v>
      </c>
      <c r="R22" s="774" t="s">
        <v>17</v>
      </c>
      <c r="S22" s="775">
        <f>F22</f>
        <v>100</v>
      </c>
      <c r="T22" s="774" t="s">
        <v>17</v>
      </c>
      <c r="U22" s="775">
        <f>H22</f>
        <v>100</v>
      </c>
      <c r="V22" s="774" t="s">
        <v>17</v>
      </c>
      <c r="W22" s="775">
        <f>J22</f>
        <v>100</v>
      </c>
      <c r="X22" s="1811"/>
      <c r="Y22" s="3212"/>
      <c r="Z22" s="1812" t="str">
        <f>Q22</f>
        <v>楼层</v>
      </c>
      <c r="AA22" s="1809">
        <f t="shared" si="3"/>
        <v>1</v>
      </c>
      <c r="AB22" s="1809">
        <f t="shared" si="4"/>
        <v>1</v>
      </c>
      <c r="AC22" s="1809">
        <f t="shared" si="5"/>
        <v>1</v>
      </c>
    </row>
    <row r="23" spans="1:29" ht="15" hidden="1">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2"/>
      <c r="Q23" s="1808">
        <f>B23</f>
        <v>0</v>
      </c>
      <c r="R23" s="774" t="s">
        <v>17</v>
      </c>
      <c r="S23" s="775">
        <f>F23</f>
        <v>100</v>
      </c>
      <c r="T23" s="774" t="s">
        <v>17</v>
      </c>
      <c r="U23" s="775">
        <f>H23</f>
        <v>100</v>
      </c>
      <c r="V23" s="774" t="s">
        <v>17</v>
      </c>
      <c r="W23" s="775">
        <f>J23</f>
        <v>100</v>
      </c>
      <c r="X23" s="1811"/>
      <c r="Y23" s="3212"/>
      <c r="Z23" s="1812">
        <f>Q23</f>
        <v>0</v>
      </c>
      <c r="AA23" s="1809">
        <f t="shared" si="3"/>
        <v>1</v>
      </c>
      <c r="AB23" s="1809">
        <f t="shared" si="4"/>
        <v>1</v>
      </c>
      <c r="AC23" s="1809">
        <f t="shared" si="5"/>
        <v>1</v>
      </c>
    </row>
    <row r="24" spans="1:29" ht="15" hidden="1">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2"/>
      <c r="Q24" s="1808">
        <f t="shared" ref="Q24:Q36" si="11">B24</f>
        <v>0</v>
      </c>
      <c r="R24" s="774" t="s">
        <v>17</v>
      </c>
      <c r="S24" s="775">
        <f>F24</f>
        <v>100</v>
      </c>
      <c r="T24" s="774" t="s">
        <v>17</v>
      </c>
      <c r="U24" s="775">
        <f>H24</f>
        <v>100</v>
      </c>
      <c r="V24" s="774" t="s">
        <v>17</v>
      </c>
      <c r="W24" s="775">
        <f>J24</f>
        <v>100</v>
      </c>
      <c r="X24" s="1811"/>
      <c r="Y24" s="3212"/>
      <c r="Z24" s="1812">
        <f>Q24</f>
        <v>0</v>
      </c>
      <c r="AA24" s="1809">
        <f t="shared" si="3"/>
        <v>1</v>
      </c>
      <c r="AB24" s="1809">
        <f t="shared" si="4"/>
        <v>1</v>
      </c>
      <c r="AC24" s="1809">
        <f t="shared" si="5"/>
        <v>1</v>
      </c>
    </row>
    <row r="25" spans="1:29" s="117" customFormat="1" ht="15.75" hidden="1"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2"/>
      <c r="Q25" s="1793">
        <f t="shared" si="11"/>
        <v>0</v>
      </c>
      <c r="R25" s="770" t="s">
        <v>17</v>
      </c>
      <c r="S25" s="771">
        <f>F25</f>
        <v>100</v>
      </c>
      <c r="T25" s="770" t="s">
        <v>17</v>
      </c>
      <c r="U25" s="771">
        <f>H25</f>
        <v>100</v>
      </c>
      <c r="V25" s="770" t="s">
        <v>17</v>
      </c>
      <c r="W25" s="771">
        <f>J25</f>
        <v>100</v>
      </c>
      <c r="X25" s="772"/>
      <c r="Y25" s="3212"/>
      <c r="Z25" s="55">
        <f>Q25</f>
        <v>0</v>
      </c>
      <c r="AA25" s="1809">
        <f>D25/F25</f>
        <v>1</v>
      </c>
      <c r="AB25" s="1809">
        <f>D25/H25</f>
        <v>1</v>
      </c>
      <c r="AC25" s="1809">
        <f>D25/J25</f>
        <v>1</v>
      </c>
    </row>
    <row r="26" spans="1:29" ht="15">
      <c r="A26" s="652" t="s">
        <v>2554</v>
      </c>
      <c r="B26" s="70" t="s">
        <v>2703</v>
      </c>
      <c r="C26" s="2691" t="str">
        <f>B1</f>
        <v>车库</v>
      </c>
      <c r="D26" s="448">
        <v>100</v>
      </c>
      <c r="E26" s="447" t="s">
        <v>3472</v>
      </c>
      <c r="F26" s="449">
        <f>SUMIF(79:79,E26,80:80)-SUMIF(79:79,C26,80:80)+100</f>
        <v>100</v>
      </c>
      <c r="G26" s="447" t="s">
        <v>3472</v>
      </c>
      <c r="H26" s="448">
        <f>SUMIF(79:79,G26,80:80)-SUMIF(79:79,C26,80:80)+100</f>
        <v>100</v>
      </c>
      <c r="I26" s="447" t="s">
        <v>3472</v>
      </c>
      <c r="J26" s="448">
        <f>SUMIF(79:79,I26,80:80)-SUMIF(79:79,C26,80:80)+100</f>
        <v>100</v>
      </c>
      <c r="K26" s="612"/>
      <c r="L26" s="1138"/>
      <c r="M26" s="1129"/>
      <c r="N26" s="1129"/>
      <c r="O26" s="1129"/>
      <c r="P26" s="3235" t="s">
        <v>2556</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216" t="s">
        <v>2556</v>
      </c>
      <c r="Z26" s="1812" t="str">
        <f t="shared" ref="Z26:Z36" si="15">Q26</f>
        <v>配套类型</v>
      </c>
      <c r="AA26" s="1809">
        <f t="shared" si="3"/>
        <v>1</v>
      </c>
      <c r="AB26" s="1809">
        <f t="shared" si="4"/>
        <v>1</v>
      </c>
      <c r="AC26" s="1809">
        <f t="shared" si="5"/>
        <v>1</v>
      </c>
    </row>
    <row r="27" spans="1:29" s="471" customFormat="1" ht="15" hidden="1">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09">
        <f t="shared" si="3"/>
        <v>1</v>
      </c>
      <c r="AB27" s="1809">
        <f t="shared" si="4"/>
        <v>1</v>
      </c>
      <c r="AC27" s="1809">
        <f t="shared" si="5"/>
        <v>1</v>
      </c>
    </row>
    <row r="28" spans="1:29" ht="15">
      <c r="A28" s="656"/>
      <c r="B28" s="654" t="s">
        <v>2705</v>
      </c>
      <c r="C28" s="460" t="s">
        <v>3592</v>
      </c>
      <c r="D28" s="435">
        <v>100</v>
      </c>
      <c r="E28" s="460" t="s">
        <v>3592</v>
      </c>
      <c r="F28" s="461">
        <f>SUMIF(83:83,E28,84:84)-SUMIF(83:83,C28,84:84)+100</f>
        <v>100</v>
      </c>
      <c r="G28" s="460" t="s">
        <v>3592</v>
      </c>
      <c r="H28" s="435">
        <f>SUMIF(83:83,G28,84:84)-SUMIF(83:83,C28,84:84)+100</f>
        <v>100</v>
      </c>
      <c r="I28" s="460" t="s">
        <v>3592</v>
      </c>
      <c r="J28" s="435">
        <f>SUMIF(83:83,I28,84:84)-SUMIF(83:83,C28,84:84)+100</f>
        <v>100</v>
      </c>
      <c r="K28" s="612">
        <v>2</v>
      </c>
      <c r="L28" s="1138"/>
      <c r="M28" s="1129"/>
      <c r="N28" s="1129"/>
      <c r="O28" s="1129"/>
      <c r="P28" s="3216"/>
      <c r="Q28" s="1808" t="str">
        <f t="shared" si="11"/>
        <v>公共部分装修</v>
      </c>
      <c r="R28" s="774" t="s">
        <v>17</v>
      </c>
      <c r="S28" s="775">
        <f t="shared" si="12"/>
        <v>100</v>
      </c>
      <c r="T28" s="774" t="s">
        <v>17</v>
      </c>
      <c r="U28" s="775">
        <f t="shared" si="13"/>
        <v>100</v>
      </c>
      <c r="V28" s="774" t="s">
        <v>17</v>
      </c>
      <c r="W28" s="775">
        <f t="shared" si="14"/>
        <v>100</v>
      </c>
      <c r="X28" s="1811"/>
      <c r="Y28" s="3216"/>
      <c r="Z28" s="1812" t="str">
        <f t="shared" si="15"/>
        <v>公共部分装修</v>
      </c>
      <c r="AA28" s="1809">
        <f t="shared" si="3"/>
        <v>1</v>
      </c>
      <c r="AB28" s="1809">
        <f t="shared" si="4"/>
        <v>1</v>
      </c>
      <c r="AC28" s="1809">
        <f t="shared" si="5"/>
        <v>1</v>
      </c>
    </row>
    <row r="29" spans="1:29" ht="15">
      <c r="A29" s="656"/>
      <c r="B29" s="654" t="s">
        <v>2706</v>
      </c>
      <c r="C29" s="474">
        <v>0.9</v>
      </c>
      <c r="D29" s="435">
        <v>100</v>
      </c>
      <c r="E29" s="474">
        <v>0.9</v>
      </c>
      <c r="F29" s="461">
        <f>LOOKUP(E29,86:86,87:87)-LOOKUP(C29,86:86,87:87)+100</f>
        <v>100</v>
      </c>
      <c r="G29" s="474">
        <v>0.9</v>
      </c>
      <c r="H29" s="461">
        <f>LOOKUP(G29,86:86,87:87)-LOOKUP(C29,86:86,87:87)+100</f>
        <v>100</v>
      </c>
      <c r="I29" s="474">
        <v>0.9</v>
      </c>
      <c r="J29" s="435">
        <f>LOOKUP(I29,86:86,87:87)-LOOKUP(C29,86:86,87:87)+100</f>
        <v>100</v>
      </c>
      <c r="K29" s="612">
        <v>2</v>
      </c>
      <c r="L29" s="1138"/>
      <c r="M29" s="1129"/>
      <c r="N29" s="1129"/>
      <c r="O29" s="1129"/>
      <c r="P29" s="3216"/>
      <c r="Q29" s="1808" t="str">
        <f t="shared" si="11"/>
        <v>成新率</v>
      </c>
      <c r="R29" s="774" t="s">
        <v>17</v>
      </c>
      <c r="S29" s="775">
        <f t="shared" si="12"/>
        <v>100</v>
      </c>
      <c r="T29" s="774" t="s">
        <v>17</v>
      </c>
      <c r="U29" s="775">
        <f t="shared" si="13"/>
        <v>100</v>
      </c>
      <c r="V29" s="774" t="s">
        <v>17</v>
      </c>
      <c r="W29" s="775">
        <f t="shared" si="14"/>
        <v>100</v>
      </c>
      <c r="X29" s="1811"/>
      <c r="Y29" s="3216"/>
      <c r="Z29" s="1812" t="str">
        <f t="shared" si="15"/>
        <v>成新率</v>
      </c>
      <c r="AA29" s="1809">
        <f t="shared" si="3"/>
        <v>1</v>
      </c>
      <c r="AB29" s="1809">
        <f t="shared" si="4"/>
        <v>1</v>
      </c>
      <c r="AC29" s="1809">
        <f t="shared" si="5"/>
        <v>1</v>
      </c>
    </row>
    <row r="30" spans="1:29" ht="15" hidden="1">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16"/>
      <c r="Q30" s="1808" t="str">
        <f t="shared" si="11"/>
        <v>物业等级</v>
      </c>
      <c r="R30" s="774" t="s">
        <v>17</v>
      </c>
      <c r="S30" s="775">
        <f t="shared" si="12"/>
        <v>100</v>
      </c>
      <c r="T30" s="774" t="s">
        <v>17</v>
      </c>
      <c r="U30" s="775">
        <f t="shared" si="13"/>
        <v>100</v>
      </c>
      <c r="V30" s="774" t="s">
        <v>17</v>
      </c>
      <c r="W30" s="775">
        <f t="shared" si="14"/>
        <v>100</v>
      </c>
      <c r="X30" s="1811"/>
      <c r="Y30" s="3216"/>
      <c r="Z30" s="1812" t="str">
        <f t="shared" si="15"/>
        <v>物业等级</v>
      </c>
      <c r="AA30" s="1809">
        <f t="shared" si="3"/>
        <v>1</v>
      </c>
      <c r="AB30" s="1809">
        <f t="shared" si="4"/>
        <v>1</v>
      </c>
      <c r="AC30" s="1809">
        <f t="shared" si="5"/>
        <v>1</v>
      </c>
    </row>
    <row r="31" spans="1:29" s="117" customFormat="1" ht="15" hidden="1">
      <c r="A31" s="658"/>
      <c r="B31" s="654" t="s">
        <v>2708</v>
      </c>
      <c r="C31" s="469"/>
      <c r="D31" s="136">
        <v>100</v>
      </c>
      <c r="E31" s="469"/>
      <c r="F31" s="461">
        <f>LOOKUP(E31,91:91,92:92)-LOOKUP(C31,91:91,92:92)+100</f>
        <v>100</v>
      </c>
      <c r="G31" s="469"/>
      <c r="H31" s="435">
        <f>LOOKUP(G31,91:91,92:92)-LOOKUP(C31,91:91,92:92)+100</f>
        <v>100</v>
      </c>
      <c r="I31" s="469"/>
      <c r="J31" s="435">
        <f>LOOKUP(I31,91:91,92:92)-LOOKUP(C31,91:91,92:92)+100</f>
        <v>100</v>
      </c>
      <c r="K31" s="612"/>
      <c r="L31" s="1130"/>
      <c r="M31" s="1131"/>
      <c r="N31" s="1131"/>
      <c r="O31" s="1131"/>
      <c r="P31" s="3216"/>
      <c r="Q31" s="1793" t="str">
        <f t="shared" si="11"/>
        <v>停车位面积</v>
      </c>
      <c r="R31" s="770" t="s">
        <v>17</v>
      </c>
      <c r="S31" s="771">
        <f t="shared" si="12"/>
        <v>100</v>
      </c>
      <c r="T31" s="770" t="s">
        <v>17</v>
      </c>
      <c r="U31" s="771">
        <f t="shared" si="13"/>
        <v>100</v>
      </c>
      <c r="V31" s="770" t="s">
        <v>17</v>
      </c>
      <c r="W31" s="771">
        <f t="shared" si="14"/>
        <v>100</v>
      </c>
      <c r="X31" s="772"/>
      <c r="Y31" s="3216"/>
      <c r="Z31" s="55" t="str">
        <f t="shared" si="15"/>
        <v>停车位面积</v>
      </c>
      <c r="AA31" s="773">
        <f t="shared" si="3"/>
        <v>1</v>
      </c>
      <c r="AB31" s="773">
        <f t="shared" si="4"/>
        <v>1</v>
      </c>
      <c r="AC31" s="773">
        <f t="shared" si="5"/>
        <v>1</v>
      </c>
    </row>
    <row r="32" spans="1:29" ht="15.75" thickBot="1">
      <c r="A32" s="656"/>
      <c r="B32" s="654" t="s">
        <v>2709</v>
      </c>
      <c r="C32" s="460" t="s">
        <v>3593</v>
      </c>
      <c r="D32" s="435">
        <v>100</v>
      </c>
      <c r="E32" s="460" t="s">
        <v>3593</v>
      </c>
      <c r="F32" s="461">
        <f>SUMIF(93:93,E32,94:94)-SUMIF(93:93,C32,94:94)+100</f>
        <v>100</v>
      </c>
      <c r="G32" s="460" t="s">
        <v>3593</v>
      </c>
      <c r="H32" s="435">
        <f>SUMIF(93:93,G32,94:94)-SUMIF(93:93,C32,94:94)+100</f>
        <v>100</v>
      </c>
      <c r="I32" s="460" t="s">
        <v>3593</v>
      </c>
      <c r="J32" s="435">
        <f>SUMIF(93:93,I32,94:94)-SUMIF(93:93,C32,94:94)+100</f>
        <v>100</v>
      </c>
      <c r="K32" s="612">
        <v>2</v>
      </c>
      <c r="L32" s="1138"/>
      <c r="M32" s="1129"/>
      <c r="N32" s="1129"/>
      <c r="O32" s="1129"/>
      <c r="P32" s="3216" t="s">
        <v>2556</v>
      </c>
      <c r="Q32" s="1808" t="str">
        <f t="shared" si="11"/>
        <v>车位类型</v>
      </c>
      <c r="R32" s="774" t="s">
        <v>17</v>
      </c>
      <c r="S32" s="775">
        <f t="shared" si="12"/>
        <v>100</v>
      </c>
      <c r="T32" s="774" t="s">
        <v>17</v>
      </c>
      <c r="U32" s="775">
        <f t="shared" si="13"/>
        <v>100</v>
      </c>
      <c r="V32" s="774" t="s">
        <v>17</v>
      </c>
      <c r="W32" s="775">
        <f t="shared" si="14"/>
        <v>100</v>
      </c>
      <c r="X32" s="1811"/>
      <c r="Y32" s="3216" t="s">
        <v>2556</v>
      </c>
      <c r="Z32" s="1812" t="str">
        <f t="shared" si="15"/>
        <v>车位类型</v>
      </c>
      <c r="AA32" s="1809">
        <f t="shared" si="3"/>
        <v>1</v>
      </c>
      <c r="AB32" s="1809">
        <f t="shared" si="4"/>
        <v>1</v>
      </c>
      <c r="AC32" s="1809">
        <f t="shared" si="5"/>
        <v>1</v>
      </c>
    </row>
    <row r="33" spans="1:29" ht="15" hidden="1">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16"/>
      <c r="Q33" s="1808" t="str">
        <f t="shared" si="11"/>
        <v>是否直接入户</v>
      </c>
      <c r="R33" s="774" t="s">
        <v>17</v>
      </c>
      <c r="S33" s="775">
        <f t="shared" si="12"/>
        <v>100</v>
      </c>
      <c r="T33" s="774" t="s">
        <v>17</v>
      </c>
      <c r="U33" s="775">
        <f t="shared" si="13"/>
        <v>100</v>
      </c>
      <c r="V33" s="774" t="s">
        <v>17</v>
      </c>
      <c r="W33" s="775">
        <f t="shared" si="14"/>
        <v>100</v>
      </c>
      <c r="X33" s="1811"/>
      <c r="Y33" s="3216"/>
      <c r="Z33" s="1812" t="str">
        <f t="shared" si="15"/>
        <v>是否直接入户</v>
      </c>
      <c r="AA33" s="1809">
        <f t="shared" si="3"/>
        <v>1</v>
      </c>
      <c r="AB33" s="1809">
        <f t="shared" si="4"/>
        <v>1</v>
      </c>
      <c r="AC33" s="1809">
        <f t="shared" si="5"/>
        <v>1</v>
      </c>
    </row>
    <row r="34" spans="1:29" ht="15" hidden="1">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16"/>
      <c r="Q34" s="1808">
        <f t="shared" si="11"/>
        <v>0</v>
      </c>
      <c r="R34" s="774" t="s">
        <v>17</v>
      </c>
      <c r="S34" s="775">
        <f t="shared" si="12"/>
        <v>100</v>
      </c>
      <c r="T34" s="774" t="s">
        <v>17</v>
      </c>
      <c r="U34" s="775">
        <f t="shared" si="13"/>
        <v>100</v>
      </c>
      <c r="V34" s="774" t="s">
        <v>17</v>
      </c>
      <c r="W34" s="775">
        <f t="shared" si="14"/>
        <v>100</v>
      </c>
      <c r="X34" s="1811"/>
      <c r="Y34" s="3216"/>
      <c r="Z34" s="1812">
        <f t="shared" si="15"/>
        <v>0</v>
      </c>
      <c r="AA34" s="1809">
        <f t="shared" si="3"/>
        <v>1</v>
      </c>
      <c r="AB34" s="1809">
        <f t="shared" si="4"/>
        <v>1</v>
      </c>
      <c r="AC34" s="1809">
        <f t="shared" si="5"/>
        <v>1</v>
      </c>
    </row>
    <row r="35" spans="1:29" s="471" customFormat="1" ht="15" hidden="1">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16"/>
      <c r="Q35" s="776">
        <f t="shared" si="11"/>
        <v>0</v>
      </c>
      <c r="R35" s="777" t="s">
        <v>17</v>
      </c>
      <c r="S35" s="778">
        <f t="shared" si="12"/>
        <v>100</v>
      </c>
      <c r="T35" s="777" t="s">
        <v>17</v>
      </c>
      <c r="U35" s="778">
        <f t="shared" si="13"/>
        <v>100</v>
      </c>
      <c r="V35" s="777" t="s">
        <v>17</v>
      </c>
      <c r="W35" s="778">
        <f t="shared" si="14"/>
        <v>100</v>
      </c>
      <c r="X35" s="779"/>
      <c r="Y35" s="3216"/>
      <c r="Z35" s="780">
        <f t="shared" si="15"/>
        <v>0</v>
      </c>
      <c r="AA35" s="1809">
        <f t="shared" si="3"/>
        <v>1</v>
      </c>
      <c r="AB35" s="1809">
        <f t="shared" si="4"/>
        <v>1</v>
      </c>
      <c r="AC35" s="1809">
        <f t="shared" si="5"/>
        <v>1</v>
      </c>
    </row>
    <row r="36" spans="1:29" ht="15.75" hidden="1"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16"/>
      <c r="Q36" s="1808">
        <f t="shared" si="11"/>
        <v>0</v>
      </c>
      <c r="R36" s="774" t="s">
        <v>17</v>
      </c>
      <c r="S36" s="775">
        <f t="shared" si="12"/>
        <v>100</v>
      </c>
      <c r="T36" s="774" t="s">
        <v>17</v>
      </c>
      <c r="U36" s="775">
        <f t="shared" si="13"/>
        <v>100</v>
      </c>
      <c r="V36" s="774" t="s">
        <v>17</v>
      </c>
      <c r="W36" s="775">
        <f t="shared" si="14"/>
        <v>100</v>
      </c>
      <c r="X36" s="1811"/>
      <c r="Y36" s="3216"/>
      <c r="Z36" s="1812">
        <f t="shared" si="15"/>
        <v>0</v>
      </c>
      <c r="AA36" s="1809">
        <f t="shared" si="3"/>
        <v>1</v>
      </c>
      <c r="AB36" s="1809">
        <f t="shared" si="4"/>
        <v>1</v>
      </c>
      <c r="AC36" s="1809">
        <f t="shared" si="5"/>
        <v>1</v>
      </c>
    </row>
    <row r="37" spans="1:29" ht="15">
      <c r="A37" s="479" t="s">
        <v>2711</v>
      </c>
      <c r="B37" s="2692" t="s">
        <v>3599</v>
      </c>
      <c r="C37" s="1405" t="s">
        <v>1</v>
      </c>
      <c r="D37" s="1406"/>
      <c r="E37" s="1407">
        <v>210000</v>
      </c>
      <c r="F37" s="1408"/>
      <c r="G37" s="1409">
        <v>210000</v>
      </c>
      <c r="H37" s="1410"/>
      <c r="I37" s="1407">
        <v>210000</v>
      </c>
      <c r="J37" s="1410"/>
      <c r="K37" s="619"/>
      <c r="L37" s="1141"/>
      <c r="M37" s="1142"/>
      <c r="N37" s="1129"/>
      <c r="O37" s="1142"/>
      <c r="P37" s="3209" t="str">
        <f>A37</f>
        <v>成交单价</v>
      </c>
      <c r="Q37" s="3209"/>
      <c r="R37" s="3210">
        <f>E37</f>
        <v>210000</v>
      </c>
      <c r="S37" s="3210"/>
      <c r="T37" s="3210">
        <f>G37</f>
        <v>210000</v>
      </c>
      <c r="U37" s="3210"/>
      <c r="V37" s="3210">
        <f>I37</f>
        <v>210000</v>
      </c>
      <c r="W37" s="3210"/>
      <c r="X37" s="759"/>
      <c r="Y37" s="781"/>
      <c r="Z37" s="759"/>
      <c r="AA37" s="759"/>
      <c r="AB37" s="759"/>
      <c r="AC37" s="759"/>
    </row>
    <row r="38" spans="1:29" ht="15.75" thickBot="1">
      <c r="A38" s="486" t="s">
        <v>2712</v>
      </c>
      <c r="B38" s="487" t="str">
        <f>B37</f>
        <v>元/车位</v>
      </c>
      <c r="C38" s="1411">
        <f>R39</f>
        <v>210000</v>
      </c>
      <c r="D38" s="1412"/>
      <c r="E38" s="1413">
        <f>R38</f>
        <v>210000</v>
      </c>
      <c r="F38" s="1413"/>
      <c r="G38" s="1411">
        <f>T38</f>
        <v>210000</v>
      </c>
      <c r="H38" s="1412"/>
      <c r="I38" s="1413">
        <f>V38</f>
        <v>210000</v>
      </c>
      <c r="J38" s="1412"/>
      <c r="K38" s="620"/>
      <c r="L38" s="1141"/>
      <c r="M38" s="1142"/>
      <c r="N38" s="1142"/>
      <c r="O38" s="1142"/>
      <c r="P38" s="3209" t="str">
        <f>A38</f>
        <v>比较价值（元/平方米）</v>
      </c>
      <c r="Q38" s="3209"/>
      <c r="R38" s="3210">
        <f>IF(F1="售价",ROUND(PRODUCT(R37,AA7:AA36),0),ROUND(PRODUCT(R37,AA7:AA36),1))</f>
        <v>210000</v>
      </c>
      <c r="S38" s="3210"/>
      <c r="T38" s="3210">
        <f>IF(F1="售价",ROUND(PRODUCT(T37,AB7:AB36),0),ROUND(PRODUCT(T37,AB7:AB36),1))</f>
        <v>210000</v>
      </c>
      <c r="U38" s="3210"/>
      <c r="V38" s="3210">
        <f>IF(F1="售价",ROUND(PRODUCT(V37,AC7:AC36),0),ROUND(PRODUCT(V37,AC7:AC36),1))</f>
        <v>210000</v>
      </c>
      <c r="W38" s="3210"/>
      <c r="X38" s="759"/>
      <c r="Y38" s="759"/>
      <c r="Z38" s="759"/>
      <c r="AA38" s="759"/>
      <c r="AB38" s="759"/>
      <c r="AC38" s="759"/>
    </row>
    <row r="39" spans="1:29" ht="15.75" thickBot="1">
      <c r="A39" s="492" t="s">
        <v>2713</v>
      </c>
      <c r="B39" s="493"/>
      <c r="C39" s="1415">
        <f>R39</f>
        <v>210000</v>
      </c>
      <c r="D39" s="1415"/>
      <c r="E39" s="1415"/>
      <c r="F39" s="1415"/>
      <c r="G39" s="1415"/>
      <c r="H39" s="1415"/>
      <c r="I39" s="1415"/>
      <c r="J39" s="1415"/>
      <c r="K39" s="621"/>
      <c r="L39" s="1141"/>
      <c r="M39" s="1142"/>
      <c r="N39" s="1142"/>
      <c r="O39" s="1142"/>
      <c r="P39" s="3206" t="str">
        <f>A39</f>
        <v>估价对象XX用房的比较价值（楼面单价，元/平方米）</v>
      </c>
      <c r="Q39" s="3207"/>
      <c r="R39" s="3208">
        <f>IF(F1="售价",ROUND(AVERAGE(R38:V38),0),ROUND(AVERAGE(R38:V38),1))</f>
        <v>210000</v>
      </c>
      <c r="S39" s="3208"/>
      <c r="T39" s="3208"/>
      <c r="U39" s="3208"/>
      <c r="V39" s="3208"/>
      <c r="W39" s="3208"/>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2714</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2715</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2716</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2718</v>
      </c>
      <c r="B48" s="506"/>
      <c r="C48" s="1572" t="str">
        <f>YEAR(C7)&amp;"-"&amp;MONTH(C7)</f>
        <v>2018-3</v>
      </c>
      <c r="D48" s="1573">
        <f>EDATE(C48,-1)</f>
        <v>43132</v>
      </c>
      <c r="E48" s="1573">
        <f t="shared" ref="E48:O48" si="16">EDATE(D48,-1)</f>
        <v>43101</v>
      </c>
      <c r="F48" s="1573">
        <f t="shared" si="16"/>
        <v>43070</v>
      </c>
      <c r="G48" s="1573">
        <f t="shared" si="16"/>
        <v>43040</v>
      </c>
      <c r="H48" s="1573">
        <f t="shared" si="16"/>
        <v>43009</v>
      </c>
      <c r="I48" s="1573">
        <f t="shared" si="16"/>
        <v>42979</v>
      </c>
      <c r="J48" s="1573">
        <f t="shared" si="16"/>
        <v>42948</v>
      </c>
      <c r="K48" s="1573">
        <f t="shared" si="16"/>
        <v>42917</v>
      </c>
      <c r="L48" s="1573">
        <f t="shared" si="16"/>
        <v>42887</v>
      </c>
      <c r="M48" s="1573">
        <f t="shared" si="16"/>
        <v>42856</v>
      </c>
      <c r="N48" s="1573">
        <f t="shared" si="16"/>
        <v>42826</v>
      </c>
      <c r="O48" s="1573">
        <f t="shared" si="16"/>
        <v>42795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2541</v>
      </c>
      <c r="B51" s="510"/>
      <c r="C51" s="522" t="s">
        <v>2643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2579</v>
      </c>
      <c r="B53" s="528" t="s">
        <v>2545</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hidden="1" thickTop="1">
      <c r="A57" s="534"/>
      <c r="B57" s="660">
        <f>B11</f>
        <v>0</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hidden="1"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hidden="1" thickTop="1">
      <c r="A59" s="553"/>
      <c r="B59" s="538">
        <f>B12</f>
        <v>0</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hidden="1"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hidden="1" thickTop="1">
      <c r="A61" s="553"/>
      <c r="B61" s="538">
        <f>B13</f>
        <v>0</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hidden="1"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97</v>
      </c>
      <c r="E64" s="544">
        <f>D64-$K14</f>
        <v>94</v>
      </c>
      <c r="F64" s="544">
        <f>E64-$K14</f>
        <v>91</v>
      </c>
      <c r="G64" s="544">
        <f>F64-$K14</f>
        <v>88</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2594</v>
      </c>
      <c r="C65" s="578" t="s">
        <v>2588</v>
      </c>
      <c r="D65" s="578" t="s">
        <v>2589</v>
      </c>
      <c r="E65" s="578" t="s">
        <v>2590</v>
      </c>
      <c r="F65" s="578" t="s">
        <v>2591</v>
      </c>
      <c r="G65" s="578" t="s">
        <v>2592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97</v>
      </c>
      <c r="E66" s="544">
        <f>D66-$K16</f>
        <v>94</v>
      </c>
      <c r="F66" s="544">
        <f>E66-$K16</f>
        <v>91</v>
      </c>
      <c r="G66" s="544">
        <f>F66-$K16</f>
        <v>88</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2680</v>
      </c>
      <c r="C67" s="660" t="s">
        <v>2666</v>
      </c>
      <c r="D67" s="660" t="s">
        <v>2667</v>
      </c>
      <c r="E67" s="660" t="s">
        <v>2668</v>
      </c>
      <c r="F67" s="660" t="s">
        <v>2669</v>
      </c>
      <c r="G67" s="660" t="s">
        <v>2670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98</v>
      </c>
      <c r="E68" s="544">
        <f>D68-$K18</f>
        <v>96</v>
      </c>
      <c r="F68" s="544">
        <f>E68-$K18</f>
        <v>94</v>
      </c>
      <c r="G68" s="544">
        <f>F68-$K18</f>
        <v>92</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2600</v>
      </c>
      <c r="C69" s="578" t="s">
        <v>2588</v>
      </c>
      <c r="D69" s="578" t="s">
        <v>2589</v>
      </c>
      <c r="E69" s="578" t="s">
        <v>2590</v>
      </c>
      <c r="F69" s="578" t="s">
        <v>2591</v>
      </c>
      <c r="G69" s="578" t="s">
        <v>2592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98</v>
      </c>
      <c r="E70" s="544">
        <f>D70-$K20</f>
        <v>96</v>
      </c>
      <c r="F70" s="544">
        <f>E70-$K20</f>
        <v>94</v>
      </c>
      <c r="G70" s="544">
        <f>F70-$K20</f>
        <v>92</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2719</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hidden="1" thickTop="1">
      <c r="A73" s="579"/>
      <c r="B73" s="538">
        <f>B23</f>
        <v>0</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hidden="1"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hidden="1" thickTop="1">
      <c r="A75" s="579"/>
      <c r="B75" s="538">
        <f>B24</f>
        <v>0</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hidden="1"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hidden="1" thickTop="1">
      <c r="A77" s="553"/>
      <c r="B77" s="538">
        <f>B25</f>
        <v>0</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hidden="1"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2554</v>
      </c>
      <c r="B79" s="528" t="s">
        <v>2720</v>
      </c>
      <c r="C79" s="529" t="str">
        <f>C26</f>
        <v>车库</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2721</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2607</v>
      </c>
      <c r="C83" s="3357" t="s">
        <v>3597</v>
      </c>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2723</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2724</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2725</v>
      </c>
      <c r="C93" s="3357" t="s">
        <v>3595</v>
      </c>
      <c r="D93" s="3357" t="s">
        <v>3596</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2726</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hidden="1" thickTop="1">
      <c r="A97" s="599"/>
      <c r="B97" s="636">
        <f>B34</f>
        <v>0</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hidden="1"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hidden="1" thickTop="1">
      <c r="A99" s="593"/>
      <c r="B99" s="538">
        <f>B35</f>
        <v>0</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hidden="1"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hidden="1" thickTop="1">
      <c r="A101" s="599"/>
      <c r="B101" s="538">
        <f>B36</f>
        <v>0</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hidden="1"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3" sqref="G23"/>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2517</v>
      </c>
      <c r="B1" s="2560"/>
      <c r="C1" s="2560"/>
      <c r="D1" s="2560"/>
      <c r="E1" s="2561"/>
    </row>
    <row r="2" spans="1:6" ht="15.75">
      <c r="A2" s="2562" t="s">
        <v>2318</v>
      </c>
      <c r="B2" s="2563">
        <f ca="1">SUMIF(B6:B13,"&lt;&gt;#ref!",B6:B13)</f>
        <v>37810</v>
      </c>
      <c r="C2" s="2564" t="s">
        <v>2510</v>
      </c>
      <c r="D2" s="2565" t="s">
        <v>2511</v>
      </c>
      <c r="E2" s="2566">
        <f>SUM(E6:E13)</f>
        <v>11628.210000000001</v>
      </c>
    </row>
    <row r="3" spans="1:6" ht="15.75">
      <c r="A3" s="2562" t="s">
        <v>1395</v>
      </c>
      <c r="B3" s="2563">
        <f ca="1">ROUND(B2*10000/E2,0)</f>
        <v>32516</v>
      </c>
      <c r="C3" s="2564" t="s">
        <v>2518</v>
      </c>
      <c r="D3" s="2567"/>
      <c r="E3" s="2568"/>
    </row>
    <row r="4" spans="1:6" ht="15.75">
      <c r="A4" s="2569"/>
      <c r="B4" s="2567"/>
      <c r="C4" s="2567"/>
      <c r="D4" s="2567"/>
      <c r="E4" s="2568"/>
    </row>
    <row r="5" spans="1:6" ht="15">
      <c r="A5" s="2570" t="s">
        <v>2512</v>
      </c>
      <c r="B5" s="3152" t="s">
        <v>2513</v>
      </c>
      <c r="C5" s="3152"/>
      <c r="D5" s="2571"/>
      <c r="E5" s="2572" t="s">
        <v>2514</v>
      </c>
      <c r="F5" s="2573" t="s">
        <v>2515</v>
      </c>
    </row>
    <row r="6" spans="1:6">
      <c r="A6" s="2574" t="str">
        <f>'数据-取费表'!AN6</f>
        <v>收益法（商业）</v>
      </c>
      <c r="B6" s="2573">
        <f ca="1">IF(F6="是",'数据-取费表'!AO6,0)</f>
        <v>8914</v>
      </c>
      <c r="C6" s="2564" t="s">
        <v>2510</v>
      </c>
      <c r="D6" s="2567"/>
      <c r="E6" s="2575">
        <f>IF(OR(A6=0,F6="否"),0,'数据-取费表'!K6+'数据-取费表'!S6)</f>
        <v>2104.29</v>
      </c>
      <c r="F6" s="2576" t="s">
        <v>2516</v>
      </c>
    </row>
    <row r="7" spans="1:6">
      <c r="A7" s="2574" t="str">
        <f>'数据-取费表'!AN7</f>
        <v>收益法（办公）</v>
      </c>
      <c r="B7" s="2573">
        <f ca="1">IF(F7="是",'数据-取费表'!AO7,0)</f>
        <v>28616</v>
      </c>
      <c r="C7" s="2564" t="s">
        <v>2510</v>
      </c>
      <c r="D7" s="2567"/>
      <c r="E7" s="2575">
        <f>IF(OR(A7=0,F7="否"),0,'数据-取费表'!K7+'数据-取费表'!S7)</f>
        <v>8532.39</v>
      </c>
      <c r="F7" s="2576" t="s">
        <v>2516</v>
      </c>
    </row>
    <row r="8" spans="1:6">
      <c r="A8" s="2574" t="str">
        <f>'数据-取费表'!AN8</f>
        <v>收益法（车位）</v>
      </c>
      <c r="B8" s="2573">
        <f ca="1">IF(F8="是",'数据-取费表'!AO8,0)</f>
        <v>280</v>
      </c>
      <c r="C8" s="2564" t="s">
        <v>2510</v>
      </c>
      <c r="D8" s="2567"/>
      <c r="E8" s="2575">
        <f>IF(OR(A8=0,F8="否"),0,'数据-取费表'!K8+'数据-取费表'!S8)</f>
        <v>991.5300000000002</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52" sqref="J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1377</v>
      </c>
      <c r="D1" s="1818" t="s">
        <v>70</v>
      </c>
      <c r="E1" s="1819" t="s">
        <v>1387</v>
      </c>
      <c r="F1" s="1281">
        <f ca="1">J53</f>
        <v>31.23</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8914</v>
      </c>
      <c r="C2" s="1843" t="s">
        <v>1516</v>
      </c>
      <c r="D2" s="1843"/>
      <c r="E2" s="1844"/>
      <c r="F2" s="1845"/>
      <c r="G2" s="1846"/>
      <c r="H2" s="1838"/>
      <c r="I2" s="1838"/>
      <c r="J2" s="1838"/>
      <c r="K2" s="1839"/>
      <c r="L2" s="1838"/>
      <c r="M2" s="1838"/>
    </row>
    <row r="3" spans="1:37" ht="18" customHeight="1" thickBot="1">
      <c r="A3" s="1847" t="s">
        <v>1517</v>
      </c>
      <c r="B3" s="1848">
        <f ca="1">IF(ISERROR(B2*10000/F43),0,ROUND(B2*10000/F43,0))</f>
        <v>42361</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623</v>
      </c>
      <c r="D5" s="1820" t="s">
        <v>1402</v>
      </c>
      <c r="E5" s="1291"/>
      <c r="F5" s="1292"/>
      <c r="G5" s="1849"/>
      <c r="H5" s="344">
        <v>1</v>
      </c>
      <c r="I5" s="345" t="s">
        <v>1401</v>
      </c>
      <c r="J5" s="1290">
        <f ca="1">J6+J10+J12</f>
        <v>0</v>
      </c>
      <c r="K5" s="1820" t="s">
        <v>1402</v>
      </c>
      <c r="L5" s="1291"/>
      <c r="M5" s="1292"/>
    </row>
    <row r="6" spans="1:37" ht="18" customHeight="1">
      <c r="A6" s="1289" t="s">
        <v>1035</v>
      </c>
      <c r="B6" s="3149" t="s">
        <v>1403</v>
      </c>
      <c r="C6" s="1294">
        <f ca="1">ROUND(F6*F8*F7*(1-F9)/10000,0)</f>
        <v>622</v>
      </c>
      <c r="D6" s="164" t="s">
        <v>3024</v>
      </c>
      <c r="E6" s="347" t="s">
        <v>1405</v>
      </c>
      <c r="F6" s="348">
        <f ca="1">INDIRECT("'数据-取费表'!u"&amp;$G$1)</f>
        <v>9</v>
      </c>
      <c r="G6" s="1849"/>
      <c r="H6" s="1289" t="s">
        <v>1035</v>
      </c>
      <c r="I6" s="3149" t="s">
        <v>1403</v>
      </c>
      <c r="J6" s="346">
        <f ca="1">ROUND(M6*M8*M7*(1-M9)/10000,0)</f>
        <v>0</v>
      </c>
      <c r="K6" s="164" t="s">
        <v>3023</v>
      </c>
      <c r="L6" s="347" t="s">
        <v>1405</v>
      </c>
      <c r="M6" s="348">
        <f ca="1">INDIRECT("'数据-取费表'!z"&amp;$G$1)</f>
        <v>0</v>
      </c>
    </row>
    <row r="7" spans="1:37" ht="18" customHeight="1">
      <c r="A7" s="1293"/>
      <c r="B7" s="3150"/>
      <c r="C7" s="1295"/>
      <c r="D7" s="352"/>
      <c r="E7" s="2958" t="s">
        <v>1406</v>
      </c>
      <c r="F7" s="348">
        <f ca="1">IF(INDIRECT("'数据-取费表'!ah"&amp;$G$1)="",INDIRECT("'数据-取费表'!k"&amp;$G$1),INDIRECT("'数据-取费表'!ah"&amp;$G$1))</f>
        <v>2104.29</v>
      </c>
      <c r="G7" s="1849"/>
      <c r="H7" s="349"/>
      <c r="I7" s="3150"/>
      <c r="J7" s="351"/>
      <c r="K7" s="352"/>
      <c r="L7" s="347" t="s">
        <v>1406</v>
      </c>
      <c r="M7" s="348">
        <f ca="1">F7</f>
        <v>2104.29</v>
      </c>
    </row>
    <row r="8" spans="1:37" ht="18" customHeight="1">
      <c r="A8" s="349"/>
      <c r="B8" s="3150"/>
      <c r="C8" s="351"/>
      <c r="D8" s="352"/>
      <c r="E8" s="347" t="s">
        <v>1407</v>
      </c>
      <c r="F8" s="348">
        <f ca="1">INDIRECT("'数据-取费表'!ai"&amp;$G$1)</f>
        <v>365</v>
      </c>
      <c r="G8" s="1849"/>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0.1</v>
      </c>
      <c r="G9" s="1849"/>
      <c r="H9" s="349"/>
      <c r="I9" s="3151"/>
      <c r="J9" s="351"/>
      <c r="K9" s="352"/>
      <c r="L9" s="358" t="s">
        <v>1408</v>
      </c>
      <c r="M9" s="359">
        <f ca="1">INDIRECT("'数据-取费表'!ab"&amp;$G$1)</f>
        <v>0</v>
      </c>
    </row>
    <row r="10" spans="1:37" ht="18" customHeight="1">
      <c r="A10" s="1289" t="s">
        <v>1039</v>
      </c>
      <c r="B10" s="1821" t="s">
        <v>1409</v>
      </c>
      <c r="C10" s="361">
        <f ca="1">ROUND(IF(F10="押一",C6/12*F11,IF(F10="押二",C6/12*2*F11,IF(F10="押三",C6/12*3*F11,C11*F11))),0)</f>
        <v>1</v>
      </c>
      <c r="D10" s="1822" t="s">
        <v>3033</v>
      </c>
      <c r="E10" s="358" t="s">
        <v>1410</v>
      </c>
      <c r="F10" s="1364" t="s">
        <v>3573</v>
      </c>
      <c r="G10" s="1849"/>
      <c r="H10" s="1289" t="s">
        <v>1039</v>
      </c>
      <c r="I10" s="1821" t="s">
        <v>1409</v>
      </c>
      <c r="J10" s="346">
        <f ca="1">ROUND(IF(M10="押一",J6/12*M11,IF(M10="押二",J6/12*2*M11,IF(M10="押三",J6/12*3*M11,J11*M11))),0)</f>
        <v>0</v>
      </c>
      <c r="K10" s="1822" t="s">
        <v>3032</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883</v>
      </c>
      <c r="D13" s="1329" t="s">
        <v>1415</v>
      </c>
      <c r="E13" s="1329" t="s">
        <v>1416</v>
      </c>
      <c r="F13" s="1330">
        <f ca="1">INDIRECT("'数据-取费表'!y"&amp;$G$1)</f>
        <v>0.9</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631</v>
      </c>
      <c r="D14" s="2946" t="s">
        <v>1418</v>
      </c>
      <c r="E14" s="2941"/>
      <c r="F14" s="364"/>
      <c r="G14" s="1849"/>
      <c r="H14" s="1199" t="s">
        <v>1035</v>
      </c>
      <c r="I14" s="347" t="s">
        <v>1419</v>
      </c>
      <c r="J14" s="24">
        <f ca="1">C29</f>
        <v>981</v>
      </c>
      <c r="K14" s="2957"/>
      <c r="L14" s="977"/>
      <c r="M14" s="978"/>
    </row>
    <row r="15" spans="1:37" s="1856" customFormat="1" ht="18" customHeight="1" thickBot="1">
      <c r="A15" s="1199" t="s">
        <v>1036</v>
      </c>
      <c r="B15" s="347" t="s">
        <v>1420</v>
      </c>
      <c r="C15" s="24">
        <f ca="1">ROUND(C14*F15,0)</f>
        <v>19</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23</v>
      </c>
      <c r="K16" s="1335" t="s">
        <v>1425</v>
      </c>
      <c r="L16" s="2948"/>
      <c r="M16" s="1292"/>
    </row>
    <row r="17" spans="1:37" s="1856" customFormat="1" ht="18" customHeight="1">
      <c r="A17" s="1199" t="s">
        <v>1390</v>
      </c>
      <c r="B17" s="347" t="s">
        <v>1426</v>
      </c>
      <c r="C17" s="24">
        <f ca="1">ROUND(F17*(F43+INDIRECT("'数据-取费表'!S"&amp;$G$1))/10000,0)</f>
        <v>42</v>
      </c>
      <c r="D17" s="347" t="s">
        <v>1427</v>
      </c>
      <c r="E17" s="347" t="s">
        <v>1428</v>
      </c>
      <c r="F17" s="26">
        <f>'数据-取费表'!B35</f>
        <v>200</v>
      </c>
      <c r="G17" s="1852"/>
      <c r="H17" s="1199" t="s">
        <v>1035</v>
      </c>
      <c r="I17" s="347" t="s">
        <v>1429</v>
      </c>
      <c r="J17" s="24">
        <f ca="1">ROUND(IF(项目基本情况!B11="自然人",J5*M17,J18+J19+J20),1)</f>
        <v>8.1999999999999993</v>
      </c>
      <c r="K17" s="2946" t="s">
        <v>1430</v>
      </c>
      <c r="L17" s="2944"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9</v>
      </c>
      <c r="D18" s="347" t="s">
        <v>1421</v>
      </c>
      <c r="E18" s="347" t="s">
        <v>1422</v>
      </c>
      <c r="F18" s="367">
        <f>'数据-取费表'!B36</f>
        <v>1.4999999999999999E-2</v>
      </c>
      <c r="G18" s="1852"/>
      <c r="H18" s="1199" t="s">
        <v>1034</v>
      </c>
      <c r="I18" s="347" t="s">
        <v>1433</v>
      </c>
      <c r="J18" s="24">
        <f ca="1">ROUND(J5*M18/(1+'数据-取费表'!C42),2)</f>
        <v>0</v>
      </c>
      <c r="K18" s="2944"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701</v>
      </c>
      <c r="D19" s="140" t="s">
        <v>1436</v>
      </c>
      <c r="E19" s="2955"/>
      <c r="F19" s="26"/>
      <c r="G19" s="1849"/>
      <c r="H19" s="1199" t="s">
        <v>1036</v>
      </c>
      <c r="I19" s="347" t="s">
        <v>1437</v>
      </c>
      <c r="J19" s="24">
        <f ca="1">IF(K19="按租金收入计税",ROUND(J5*M19,2),ROUND(C29*M19*0.7,2))</f>
        <v>8.24</v>
      </c>
      <c r="K19" s="1826" t="s">
        <v>1438</v>
      </c>
      <c r="L19" s="347" t="s">
        <v>1422</v>
      </c>
      <c r="M19" s="367">
        <f>IF(K19="按租金收入计税",'数据-取费表'!B51,'数据-取费表'!B50)</f>
        <v>1.2E-2</v>
      </c>
    </row>
    <row r="20" spans="1:37" s="1856" customFormat="1" ht="18" customHeight="1">
      <c r="A20" s="1199" t="s">
        <v>1039</v>
      </c>
      <c r="B20" s="347" t="s">
        <v>1439</v>
      </c>
      <c r="C20" s="24">
        <f ca="1">ROUND(C19*F20,0)</f>
        <v>14</v>
      </c>
      <c r="D20" s="369" t="s">
        <v>1440</v>
      </c>
      <c r="E20" s="347" t="s">
        <v>1422</v>
      </c>
      <c r="F20" s="367">
        <f>'数据-取费表'!B37</f>
        <v>0.02</v>
      </c>
      <c r="G20" s="1852"/>
      <c r="H20" s="1199" t="s">
        <v>1389</v>
      </c>
      <c r="I20" s="164" t="s">
        <v>1441</v>
      </c>
      <c r="J20" s="25">
        <f ca="1">ROUND(M20*M21/10000,2)</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55"/>
      <c r="F22" s="26"/>
      <c r="G22" s="1849"/>
      <c r="H22" s="1199" t="s">
        <v>1039</v>
      </c>
      <c r="I22" s="347" t="s">
        <v>1449</v>
      </c>
      <c r="J22" s="24">
        <f ca="1">ROUND(J14*M22,1)</f>
        <v>14.7</v>
      </c>
      <c r="K22" s="2944"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2944" t="s">
        <v>1454</v>
      </c>
      <c r="L23" s="347" t="s">
        <v>1422</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1422</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2955"/>
      <c r="F25" s="26"/>
      <c r="G25" s="1849"/>
      <c r="H25" s="1327" t="s">
        <v>1031</v>
      </c>
      <c r="I25" s="1342" t="s">
        <v>1463</v>
      </c>
      <c r="J25" s="355">
        <f ca="1">J5-J16</f>
        <v>-23</v>
      </c>
      <c r="K25" s="1343" t="s">
        <v>1464</v>
      </c>
      <c r="L25" s="1344"/>
      <c r="M25" s="1345"/>
    </row>
    <row r="26" spans="1:37">
      <c r="A26" s="1199" t="s">
        <v>1034</v>
      </c>
      <c r="B26" s="347" t="s">
        <v>1465</v>
      </c>
      <c r="C26" s="24">
        <f ca="1">ROUND((C19+C20)*F26,0)</f>
        <v>143</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199" t="s">
        <v>1036</v>
      </c>
      <c r="B27" s="347" t="s">
        <v>1471</v>
      </c>
      <c r="C27" s="24">
        <f ca="1">ROUND(F21*F26,4)</f>
        <v>6.0000000000000001E-3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981</v>
      </c>
      <c r="D29" s="1340"/>
      <c r="E29" s="1338"/>
      <c r="F29" s="1341"/>
      <c r="G29" s="1852"/>
      <c r="H29" s="380" t="s">
        <v>1033</v>
      </c>
      <c r="I29" s="381" t="s">
        <v>1479</v>
      </c>
      <c r="J29" s="382">
        <f ca="1">ROUND(J26/(1+F40)^F41,0)</f>
        <v>0</v>
      </c>
      <c r="K29" s="383" t="s">
        <v>1480</v>
      </c>
      <c r="L29" s="384"/>
      <c r="M29" s="385">
        <f ca="1">INDIRECT("'数据-取费表'!k"&amp;$G$1)</f>
        <v>2104.29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143</v>
      </c>
      <c r="D30" s="1335" t="s">
        <v>1425</v>
      </c>
      <c r="E30" s="2948"/>
      <c r="F30" s="1292"/>
      <c r="G30" s="1849"/>
      <c r="H30" s="745"/>
      <c r="I30" s="746"/>
      <c r="J30" s="747"/>
      <c r="K30" s="748"/>
      <c r="L30" s="749"/>
      <c r="M30" s="750"/>
    </row>
    <row r="31" spans="1:37" ht="18" customHeight="1">
      <c r="A31" s="1199" t="s">
        <v>1035</v>
      </c>
      <c r="B31" s="347" t="s">
        <v>1429</v>
      </c>
      <c r="C31" s="24">
        <f ca="1">ROUND(IF(项目基本情况!B11="自然人",C5*F31,C32+C33+C34),1)</f>
        <v>108</v>
      </c>
      <c r="D31" s="2946" t="s">
        <v>1430</v>
      </c>
      <c r="E31" s="2944"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33.229999999999997</v>
      </c>
      <c r="D32" s="2944"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74.760000000000005</v>
      </c>
      <c r="D33" s="1826" t="s">
        <v>3574</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14.7</v>
      </c>
      <c r="D36" s="2944"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1.3</v>
      </c>
      <c r="D37" s="2944" t="s">
        <v>1454</v>
      </c>
      <c r="E37" s="347" t="s">
        <v>1422</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18.7</v>
      </c>
      <c r="D38" s="1340" t="s">
        <v>1459</v>
      </c>
      <c r="E38" s="1338" t="s">
        <v>1422</v>
      </c>
      <c r="F38" s="1334">
        <f ca="1">INDIRECT("'数据-取费表'!Am"&amp;$G$1)</f>
        <v>0.03</v>
      </c>
      <c r="G38" s="1849"/>
      <c r="H38" s="1857"/>
      <c r="I38" s="1858"/>
      <c r="J38" s="1859"/>
      <c r="K38" s="1863"/>
      <c r="L38" s="1857"/>
      <c r="M38" s="1857"/>
    </row>
    <row r="39" spans="1:18" ht="24.6" customHeight="1" thickTop="1">
      <c r="A39" s="1327" t="s">
        <v>1031</v>
      </c>
      <c r="B39" s="1342" t="s">
        <v>1483</v>
      </c>
      <c r="C39" s="355">
        <f ca="1">C5-C30</f>
        <v>480</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8884</v>
      </c>
      <c r="D40" s="370" t="s">
        <v>1469</v>
      </c>
      <c r="E40" s="347" t="s">
        <v>1470</v>
      </c>
      <c r="F40" s="357">
        <f ca="1">INDIRECT("'数据-取费表'!I"&amp;$G$1)</f>
        <v>6.5000000000000002E-2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31.23</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42219</v>
      </c>
      <c r="D43" s="383" t="s">
        <v>1488</v>
      </c>
      <c r="E43" s="384" t="s">
        <v>1489</v>
      </c>
      <c r="F43" s="385">
        <f ca="1">INDIRECT("'数据-取费表'!k"&amp;$G$1)</f>
        <v>2104.29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-10181</v>
      </c>
      <c r="D46" s="1870" t="str">
        <f>C2</f>
        <v>万元</v>
      </c>
      <c r="E46" s="1864"/>
      <c r="F46" s="1864"/>
      <c r="I46" s="1871" t="s">
        <v>1521</v>
      </c>
      <c r="J46" s="1872"/>
      <c r="K46" s="1873"/>
      <c r="L46" s="1874">
        <f ca="1">IF(M47="住宅",0,IF(L48&gt;J51,L60,J60))</f>
        <v>30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3575</v>
      </c>
      <c r="K47" s="1880" t="s">
        <v>1527</v>
      </c>
      <c r="L47" s="1881">
        <f ca="1">INDIRECT("'数据-取费表'!d"&amp;$G$1)</f>
        <v>40</v>
      </c>
      <c r="M47" s="1836" t="str">
        <f>IF(ISNUMBER(FIND("住宅",C1)),"住宅","非住宅")</f>
        <v>非住宅</v>
      </c>
      <c r="O47" s="1882" t="s">
        <v>1040</v>
      </c>
      <c r="P47" s="1883" t="s">
        <v>1528</v>
      </c>
      <c r="Q47" s="1884">
        <f ca="1">C40+J29</f>
        <v>8884</v>
      </c>
      <c r="R47" s="1884" t="s">
        <v>1529</v>
      </c>
    </row>
    <row r="48" spans="1:18" s="1840" customFormat="1" ht="28.5" thickBot="1">
      <c r="A48" s="1358" t="s">
        <v>1135</v>
      </c>
      <c r="B48" s="345" t="s">
        <v>1401</v>
      </c>
      <c r="C48" s="2954">
        <f ca="1">C49+C53+C55</f>
        <v>0</v>
      </c>
      <c r="D48" s="1360"/>
      <c r="E48" s="1361"/>
      <c r="F48" s="1179"/>
      <c r="G48" s="792"/>
      <c r="H48" s="793"/>
      <c r="I48" s="1885" t="s">
        <v>1530</v>
      </c>
      <c r="J48" s="1886" t="s">
        <v>3576</v>
      </c>
      <c r="K48" s="1887" t="s">
        <v>1531</v>
      </c>
      <c r="L48" s="1888">
        <f ca="1">INDIRECT("'数据-取费表'!f"&amp;$G$1)</f>
        <v>31.23</v>
      </c>
      <c r="O48" s="1882" t="s">
        <v>1041</v>
      </c>
      <c r="P48" s="1883" t="s">
        <v>1532</v>
      </c>
      <c r="Q48" s="1884">
        <f ca="1">J60</f>
        <v>30</v>
      </c>
      <c r="R48" s="1884" t="s">
        <v>1533</v>
      </c>
    </row>
    <row r="49" spans="1:18" s="1840" customFormat="1" ht="13.5" thickBot="1">
      <c r="A49" s="1192" t="s">
        <v>1136</v>
      </c>
      <c r="B49" s="1827" t="s">
        <v>1490</v>
      </c>
      <c r="C49" s="1362">
        <f ca="1">ROUND(F49*F51*F50*(1-F52)/10000,0)</f>
        <v>0</v>
      </c>
      <c r="D49" s="1274" t="s">
        <v>3025</v>
      </c>
      <c r="E49" s="1828" t="s">
        <v>1491</v>
      </c>
      <c r="F49" s="1279"/>
      <c r="G49" s="1889"/>
      <c r="H49" s="793"/>
      <c r="I49" s="1885" t="s">
        <v>1534</v>
      </c>
      <c r="J49" s="1890">
        <v>2012</v>
      </c>
      <c r="K49" s="1887" t="s">
        <v>1535</v>
      </c>
      <c r="L49" s="1891"/>
      <c r="O49" s="1892" t="s">
        <v>1042</v>
      </c>
      <c r="P49" s="1883" t="s">
        <v>1536</v>
      </c>
      <c r="Q49" s="1884">
        <f ca="1">C29</f>
        <v>981</v>
      </c>
      <c r="R49" s="1884" t="s">
        <v>1529</v>
      </c>
    </row>
    <row r="50" spans="1:18" s="1840" customFormat="1" ht="13.5" thickBot="1">
      <c r="A50" s="1193"/>
      <c r="B50" s="1196"/>
      <c r="C50" s="1366"/>
      <c r="D50" s="1170"/>
      <c r="E50" s="1275" t="s">
        <v>1406</v>
      </c>
      <c r="F50" s="1276">
        <f ca="1">F7</f>
        <v>2104.29</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8">
        <f ca="1">F8</f>
        <v>365</v>
      </c>
      <c r="I51" s="1896" t="s">
        <v>1540</v>
      </c>
      <c r="J51" s="1897">
        <f>IF(J49="",J50,J49+J50-YEAR('数据-取费表'!B2))</f>
        <v>54</v>
      </c>
      <c r="K51" s="1898" t="s">
        <v>1541</v>
      </c>
      <c r="L51" s="1899">
        <f ca="1">ROUND(-PV(INDIRECT("'数据-取费表'!h"&amp;$G$1),L48,(C39-C13*C76),0),0)</f>
        <v>6334</v>
      </c>
      <c r="M51" s="1900"/>
      <c r="O51" s="1892" t="s">
        <v>1044</v>
      </c>
      <c r="P51" s="1883" t="s">
        <v>1542</v>
      </c>
      <c r="Q51" s="1895">
        <f>J52</f>
        <v>8.5500000000000007E-2</v>
      </c>
      <c r="R51" s="1884"/>
    </row>
    <row r="52" spans="1:18" s="1840" customFormat="1" ht="13.5" thickBot="1">
      <c r="A52" s="1194"/>
      <c r="B52" s="1196"/>
      <c r="C52" s="1197"/>
      <c r="D52" s="1170"/>
      <c r="E52" s="1198" t="s">
        <v>1408</v>
      </c>
      <c r="F52" s="1273"/>
      <c r="I52" s="1901" t="s">
        <v>1543</v>
      </c>
      <c r="J52" s="1902">
        <f>'数据-取费表'!J6+0.0005</f>
        <v>8.5500000000000007E-2</v>
      </c>
      <c r="K52" s="1901" t="s">
        <v>1544</v>
      </c>
      <c r="L52" s="1902"/>
      <c r="O52" s="1892" t="s">
        <v>1045</v>
      </c>
      <c r="P52" s="1883" t="s">
        <v>1545</v>
      </c>
      <c r="Q52" s="1884">
        <f ca="1">J53</f>
        <v>31.23</v>
      </c>
      <c r="R52" s="1884" t="s">
        <v>1546</v>
      </c>
    </row>
    <row r="53" spans="1:18" s="1840" customFormat="1" ht="24.75" thickBot="1">
      <c r="A53" s="1403" t="s">
        <v>1137</v>
      </c>
      <c r="B53" s="1829" t="s">
        <v>1409</v>
      </c>
      <c r="C53" s="361">
        <f ca="1">ROUND(IF(F53="押一",C49/12*F11,IF(F53="押二",C49/12*2*F11,IF(F53="押三",C49/12*3*F11,C54*F11))),0)</f>
        <v>0</v>
      </c>
      <c r="D53" s="1822" t="s">
        <v>3032</v>
      </c>
      <c r="E53" s="358" t="s">
        <v>1410</v>
      </c>
      <c r="F53" s="1364"/>
      <c r="I53" s="1903" t="s">
        <v>1547</v>
      </c>
      <c r="J53" s="1904">
        <f ca="1">IF(M47="住宅",J51,IF(D1="——",MIN(J51,L48),IF(D1="在建（套用方法）",MIN(J51,L48-'数据-取费表'!B24),IF(D1="土地（套用方法）",MIN(J51,L48-'数据-取费表'!B20)))))</f>
        <v>31.23</v>
      </c>
      <c r="K53" s="3147" t="s">
        <v>1548</v>
      </c>
      <c r="L53" s="3148"/>
      <c r="O53" s="1882" t="s">
        <v>1046</v>
      </c>
      <c r="P53" s="1883" t="s">
        <v>1549</v>
      </c>
      <c r="Q53" s="1884">
        <f ca="1">Q47+Q48</f>
        <v>8914</v>
      </c>
      <c r="R53" s="1884" t="s">
        <v>1047</v>
      </c>
    </row>
    <row r="54" spans="1:18" s="1840" customFormat="1" ht="13.5" thickBot="1">
      <c r="A54" s="1404"/>
      <c r="B54" s="1823" t="s">
        <v>1388</v>
      </c>
      <c r="C54" s="1176"/>
      <c r="D54" s="1822"/>
      <c r="E54" s="295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0"/>
      <c r="F55" s="1905"/>
      <c r="I55" s="1908" t="s">
        <v>1551</v>
      </c>
      <c r="J55" s="1909">
        <f ca="1">ROUND(IF(J47="钢混",J57/J50,1-(1-2%)*(J50-J57)/J50),3)</f>
        <v>0.38</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883</v>
      </c>
      <c r="D56" s="1912"/>
      <c r="E56" s="1913"/>
      <c r="F56" s="1905"/>
      <c r="I56" s="1914" t="s">
        <v>1554</v>
      </c>
      <c r="J56" s="1915"/>
      <c r="K56" s="1885" t="s">
        <v>1555</v>
      </c>
      <c r="L56" s="1888" t="str">
        <f ca="1">IF(L48&lt;J51,"——",L48-J53)</f>
        <v>——</v>
      </c>
      <c r="O56" s="1882" t="s">
        <v>1040</v>
      </c>
      <c r="P56" s="1883" t="s">
        <v>1528</v>
      </c>
      <c r="Q56" s="1884">
        <f ca="1">C40+J29</f>
        <v>8884</v>
      </c>
      <c r="R56" s="1884" t="s">
        <v>1529</v>
      </c>
    </row>
    <row r="57" spans="1:18" s="1840" customFormat="1" ht="24.75" thickBot="1">
      <c r="A57" s="1916"/>
      <c r="B57" s="1167" t="s">
        <v>1478</v>
      </c>
      <c r="C57" s="282">
        <f ca="1">C29</f>
        <v>981</v>
      </c>
      <c r="D57" s="1917"/>
      <c r="E57" s="1918"/>
      <c r="F57" s="1919"/>
      <c r="I57" s="1920" t="s">
        <v>1556</v>
      </c>
      <c r="J57" s="1921">
        <f ca="1">IF(OR(M47="住宅",J51&lt;L48,J56="是"),"——",J51-L48)</f>
        <v>22.77</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98</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82.4</v>
      </c>
      <c r="D59" s="1180" t="s">
        <v>1430</v>
      </c>
      <c r="E59" s="1181" t="s">
        <v>1431</v>
      </c>
      <c r="F59" s="368" t="str">
        <f ca="1">IF(项目基本情况!B11="企业","",IF(INDIRECT("'数据-取费表'!c"&amp;$G$1)="住宅",5%,IF(F49*F50*F51/12/(1+'数据-取费表'!C42)&gt;20000,12%,7%)))</f>
        <v/>
      </c>
      <c r="I59" s="1920" t="s">
        <v>1563</v>
      </c>
      <c r="J59" s="1921">
        <f ca="1">IF(OR(M47="住宅",J51&lt;L48,J56="是"),"——",ROUND(C29*J58,0))</f>
        <v>392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f ca="1">IF(OR(M47="住宅",J51&lt;L48,J56="是"),"0",ROUND(J59/(1+J52)^J53,0))</f>
        <v>30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82.4</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24</v>
      </c>
      <c r="I62" s="1927" t="s">
        <v>1570</v>
      </c>
      <c r="J62" s="1928" t="s">
        <v>1571</v>
      </c>
      <c r="K62" s="1928" t="s">
        <v>1572</v>
      </c>
      <c r="L62" s="1928" t="s">
        <v>1573</v>
      </c>
      <c r="M62" s="1929" t="s">
        <v>1574</v>
      </c>
      <c r="O62" s="1882" t="s">
        <v>1046</v>
      </c>
      <c r="P62" s="1883" t="s">
        <v>1575</v>
      </c>
      <c r="Q62" s="1884">
        <f ca="1">Q56+Q57</f>
        <v>8884</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14.7</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1.3</v>
      </c>
      <c r="D65" s="1181" t="s">
        <v>1454</v>
      </c>
      <c r="E65" s="1167" t="s">
        <v>1422</v>
      </c>
      <c r="F65" s="376">
        <f t="shared" ca="1" si="0"/>
        <v>1.5E-3</v>
      </c>
      <c r="I65" s="1927" t="s">
        <v>1579</v>
      </c>
      <c r="J65" s="1928">
        <v>40</v>
      </c>
      <c r="K65" s="1928">
        <v>30</v>
      </c>
      <c r="L65" s="1928">
        <v>50</v>
      </c>
      <c r="M65" s="1930">
        <v>0.02</v>
      </c>
      <c r="O65" s="1882" t="s">
        <v>1040</v>
      </c>
      <c r="P65" s="1883" t="s">
        <v>1528</v>
      </c>
      <c r="Q65" s="1884">
        <f ca="1">C40+J29</f>
        <v>8884</v>
      </c>
      <c r="R65" s="1884" t="s">
        <v>1529</v>
      </c>
    </row>
    <row r="66" spans="1:18" s="1840" customFormat="1" ht="16.5" thickBot="1">
      <c r="A66" s="1199" t="s">
        <v>1504</v>
      </c>
      <c r="B66" s="1167" t="s">
        <v>1439</v>
      </c>
      <c r="C66" s="24">
        <f ca="1">ROUND(C48*F66,1)</f>
        <v>0</v>
      </c>
      <c r="D66" s="1181" t="s">
        <v>1459</v>
      </c>
      <c r="E66" s="1167" t="s">
        <v>1422</v>
      </c>
      <c r="F66" s="357">
        <f t="shared" ca="1" si="0"/>
        <v>0.03</v>
      </c>
      <c r="O66" s="1882" t="s">
        <v>1041</v>
      </c>
      <c r="P66" s="1883" t="s">
        <v>1558</v>
      </c>
      <c r="Q66" s="1884">
        <f ca="1">L60</f>
        <v>0</v>
      </c>
      <c r="R66" s="1884" t="s">
        <v>1581</v>
      </c>
    </row>
    <row r="67" spans="1:18" s="1840" customFormat="1" ht="16.5" thickBot="1">
      <c r="A67" s="1174" t="s">
        <v>1031</v>
      </c>
      <c r="B67" s="1184" t="s">
        <v>1463</v>
      </c>
      <c r="C67" s="361">
        <f ca="1">C48-C58</f>
        <v>-98</v>
      </c>
      <c r="D67" s="1180" t="s">
        <v>1464</v>
      </c>
      <c r="E67" s="1185"/>
      <c r="F67" s="1186"/>
      <c r="O67" s="1892" t="s">
        <v>1042</v>
      </c>
      <c r="P67" s="1883" t="s">
        <v>1562</v>
      </c>
      <c r="Q67" s="1931">
        <f ca="1">L51</f>
        <v>6334</v>
      </c>
      <c r="R67" s="1884" t="s">
        <v>1582</v>
      </c>
    </row>
    <row r="68" spans="1:18" s="1840" customFormat="1" ht="16.5" thickBot="1">
      <c r="A68" s="1164" t="s">
        <v>1032</v>
      </c>
      <c r="B68" s="1165" t="s">
        <v>1485</v>
      </c>
      <c r="C68" s="346">
        <f ca="1">ROUND(C67*(1-((1+F70)/(1+F68))^F69)/(F68-F70),0)</f>
        <v>-1297</v>
      </c>
      <c r="D68" s="1182" t="s">
        <v>1469</v>
      </c>
      <c r="E68" s="1167" t="s">
        <v>1470</v>
      </c>
      <c r="F68" s="357">
        <f ca="1">F40</f>
        <v>6.5000000000000002E-2</v>
      </c>
      <c r="O68" s="1892" t="s">
        <v>1043</v>
      </c>
      <c r="P68" s="1932" t="s">
        <v>1583</v>
      </c>
      <c r="Q68" s="1884">
        <f ca="1">ROUND(Q69-Q70*Q71,0)</f>
        <v>405</v>
      </c>
      <c r="R68" s="1884" t="s">
        <v>1051</v>
      </c>
    </row>
    <row r="69" spans="1:18" s="1840" customFormat="1" ht="13.5" thickBot="1">
      <c r="A69" s="1168"/>
      <c r="B69" s="1169"/>
      <c r="C69" s="351"/>
      <c r="D69" s="1187" t="s">
        <v>1473</v>
      </c>
      <c r="E69" s="1167" t="s">
        <v>1474</v>
      </c>
      <c r="F69" s="379">
        <f ca="1">F41</f>
        <v>31.23</v>
      </c>
      <c r="O69" s="1892" t="s">
        <v>1048</v>
      </c>
      <c r="P69" s="1932" t="s">
        <v>1584</v>
      </c>
      <c r="Q69" s="1884">
        <f ca="1">C39</f>
        <v>480</v>
      </c>
      <c r="R69" s="1884" t="s">
        <v>1529</v>
      </c>
    </row>
    <row r="70" spans="1:18" s="1840" customFormat="1" ht="13.5" thickBot="1">
      <c r="A70" s="1171"/>
      <c r="B70" s="1172"/>
      <c r="C70" s="355"/>
      <c r="D70" s="1183"/>
      <c r="E70" s="1167" t="s">
        <v>1477</v>
      </c>
      <c r="F70" s="1273"/>
      <c r="O70" s="1892" t="s">
        <v>1049</v>
      </c>
      <c r="P70" s="1932" t="s">
        <v>1585</v>
      </c>
      <c r="Q70" s="1884">
        <f ca="1">C13</f>
        <v>883</v>
      </c>
      <c r="R70" s="1884" t="s">
        <v>1529</v>
      </c>
    </row>
    <row r="71" spans="1:18" s="1840" customFormat="1" ht="13.5" thickBot="1">
      <c r="A71" s="1188" t="s">
        <v>1033</v>
      </c>
      <c r="B71" s="1189" t="s">
        <v>1487</v>
      </c>
      <c r="C71" s="382">
        <f ca="1">ROUND(C68*10000/F71,0)</f>
        <v>-6164</v>
      </c>
      <c r="D71" s="1190" t="s">
        <v>1488</v>
      </c>
      <c r="E71" s="1191" t="s">
        <v>1489</v>
      </c>
      <c r="F71" s="385">
        <f ca="1">F43</f>
        <v>2104.29</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75</v>
      </c>
      <c r="D75" s="1840"/>
      <c r="E75" s="1840"/>
      <c r="F75" s="1840"/>
      <c r="K75" s="1866"/>
      <c r="L75" s="1840"/>
      <c r="O75" s="1882" t="s">
        <v>1046</v>
      </c>
      <c r="P75" s="1883" t="s">
        <v>1549</v>
      </c>
      <c r="Q75" s="1884">
        <f ca="1">Q65+Q66</f>
        <v>8884</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0.84399999999999997</v>
      </c>
    </row>
    <row r="80" spans="1:18">
      <c r="B80" s="386" t="s">
        <v>1511</v>
      </c>
      <c r="C80" s="318">
        <f ca="1">ROUND(C75/C39,3)</f>
        <v>0.156</v>
      </c>
    </row>
    <row r="81" spans="2:3">
      <c r="B81" s="314" t="s">
        <v>1512</v>
      </c>
      <c r="C81" s="282"/>
    </row>
    <row r="82" spans="2:3">
      <c r="B82" s="317" t="s">
        <v>1513</v>
      </c>
      <c r="C82" s="319">
        <f ca="1">1-C83</f>
        <v>0.90100000000000002</v>
      </c>
    </row>
    <row r="83" spans="2:3">
      <c r="B83" s="317" t="s">
        <v>1514</v>
      </c>
      <c r="C83" s="318">
        <f ca="1">ROUND(C13/C40,3)</f>
        <v>9.9000000000000005E-2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5" priority="4">
      <formula>$L$48&gt;$J$51</formula>
    </cfRule>
  </conditionalFormatting>
  <conditionalFormatting sqref="I55 I60">
    <cfRule type="expression" dxfId="44" priority="5">
      <formula>$J$51&gt;$L$48</formula>
    </cfRule>
  </conditionalFormatting>
  <conditionalFormatting sqref="C11">
    <cfRule type="expression" dxfId="43" priority="3">
      <formula>$F$10="自定义"</formula>
    </cfRule>
  </conditionalFormatting>
  <conditionalFormatting sqref="J11">
    <cfRule type="expression" dxfId="42" priority="2">
      <formula>$M$10="自定义"</formula>
    </cfRule>
  </conditionalFormatting>
  <conditionalFormatting sqref="C54">
    <cfRule type="expression" dxfId="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90" zoomScaleNormal="90" zoomScaleSheetLayoutView="90" workbookViewId="0">
      <selection activeCell="J52" sqref="J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27</v>
      </c>
      <c r="D1" s="1818" t="s">
        <v>70</v>
      </c>
      <c r="E1" s="1819" t="s">
        <v>1387</v>
      </c>
      <c r="F1" s="1281">
        <f ca="1">J53</f>
        <v>41.23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28616</v>
      </c>
      <c r="C2" s="1843" t="s">
        <v>1516</v>
      </c>
      <c r="D2" s="1843"/>
      <c r="E2" s="1844"/>
      <c r="F2" s="1845"/>
      <c r="G2" s="1846"/>
      <c r="H2" s="1838"/>
      <c r="I2" s="1838"/>
      <c r="J2" s="1838"/>
      <c r="K2" s="1839"/>
      <c r="L2" s="1838"/>
      <c r="M2" s="1838"/>
    </row>
    <row r="3" spans="1:37" ht="18" customHeight="1" thickBot="1">
      <c r="A3" s="1847" t="s">
        <v>1517</v>
      </c>
      <c r="B3" s="1848">
        <f ca="1">IF(ISERROR(B2*10000/F43),0,ROUND(B2*10000/F43,0))</f>
        <v>33538</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1628</v>
      </c>
      <c r="D5" s="1820" t="s">
        <v>1402</v>
      </c>
      <c r="E5" s="1291"/>
      <c r="F5" s="1292"/>
      <c r="G5" s="1849"/>
      <c r="H5" s="344">
        <v>1</v>
      </c>
      <c r="I5" s="345" t="s">
        <v>1401</v>
      </c>
      <c r="J5" s="1290">
        <f ca="1">J6+J10+J12</f>
        <v>0</v>
      </c>
      <c r="K5" s="1820" t="s">
        <v>1402</v>
      </c>
      <c r="L5" s="1291"/>
      <c r="M5" s="1292"/>
    </row>
    <row r="6" spans="1:37" ht="18" customHeight="1">
      <c r="A6" s="1289" t="s">
        <v>1035</v>
      </c>
      <c r="B6" s="3149" t="s">
        <v>1403</v>
      </c>
      <c r="C6" s="1294">
        <f ca="1">ROUND(F6*F8*F7*(1-F9)/10000,0)</f>
        <v>1626</v>
      </c>
      <c r="D6" s="164" t="s">
        <v>3024</v>
      </c>
      <c r="E6" s="347" t="s">
        <v>1405</v>
      </c>
      <c r="F6" s="348">
        <f ca="1">INDIRECT("'数据-取费表'!u"&amp;$G$1)</f>
        <v>5.8</v>
      </c>
      <c r="G6" s="1849"/>
      <c r="H6" s="1289" t="s">
        <v>1035</v>
      </c>
      <c r="I6" s="3149" t="s">
        <v>1403</v>
      </c>
      <c r="J6" s="346">
        <f ca="1">ROUND(M6*M8*M7*(1-M9)/10000,0)</f>
        <v>0</v>
      </c>
      <c r="K6" s="164" t="s">
        <v>3023</v>
      </c>
      <c r="L6" s="347" t="s">
        <v>1405</v>
      </c>
      <c r="M6" s="348">
        <f ca="1">INDIRECT("'数据-取费表'!z"&amp;$G$1)</f>
        <v>0</v>
      </c>
    </row>
    <row r="7" spans="1:37" ht="18" customHeight="1">
      <c r="A7" s="1293"/>
      <c r="B7" s="3150"/>
      <c r="C7" s="1295"/>
      <c r="D7" s="352"/>
      <c r="E7" s="1296" t="s">
        <v>1406</v>
      </c>
      <c r="F7" s="348">
        <f ca="1">IF(INDIRECT("'数据-取费表'!ah"&amp;$G$1)="",INDIRECT("'数据-取费表'!k"&amp;$G$1),INDIRECT("'数据-取费表'!ah"&amp;$G$1))</f>
        <v>8532.39</v>
      </c>
      <c r="G7" s="1849"/>
      <c r="H7" s="349"/>
      <c r="I7" s="3150"/>
      <c r="J7" s="351"/>
      <c r="K7" s="352"/>
      <c r="L7" s="347" t="s">
        <v>1406</v>
      </c>
      <c r="M7" s="348">
        <f ca="1">F7</f>
        <v>8532.39</v>
      </c>
    </row>
    <row r="8" spans="1:37" ht="18" customHeight="1">
      <c r="A8" s="349"/>
      <c r="B8" s="3150"/>
      <c r="C8" s="351"/>
      <c r="D8" s="352"/>
      <c r="E8" s="347" t="s">
        <v>1407</v>
      </c>
      <c r="F8" s="348">
        <f ca="1">INDIRECT("'数据-取费表'!ai"&amp;$G$1)</f>
        <v>365</v>
      </c>
      <c r="G8" s="1849"/>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0.1</v>
      </c>
      <c r="G9" s="1849"/>
      <c r="H9" s="349"/>
      <c r="I9" s="3151"/>
      <c r="J9" s="351"/>
      <c r="K9" s="352"/>
      <c r="L9" s="358" t="s">
        <v>1408</v>
      </c>
      <c r="M9" s="359">
        <f ca="1">INDIRECT("'数据-取费表'!ab"&amp;$G$1)</f>
        <v>0</v>
      </c>
    </row>
    <row r="10" spans="1:37" ht="18" customHeight="1">
      <c r="A10" s="1289" t="s">
        <v>1039</v>
      </c>
      <c r="B10" s="1821" t="s">
        <v>1409</v>
      </c>
      <c r="C10" s="361">
        <f ca="1">ROUND(IF(F10="押一",C6/12*F11,IF(F10="押二",C6/12*2*F11,IF(F10="押三",C6/12*3*F11,C11*F11))),0)</f>
        <v>2</v>
      </c>
      <c r="D10" s="1822" t="s">
        <v>3033</v>
      </c>
      <c r="E10" s="358" t="s">
        <v>1410</v>
      </c>
      <c r="F10" s="1364" t="s">
        <v>3573</v>
      </c>
      <c r="G10" s="1849"/>
      <c r="H10" s="1289" t="s">
        <v>1039</v>
      </c>
      <c r="I10" s="1821" t="s">
        <v>1409</v>
      </c>
      <c r="J10" s="346">
        <f ca="1">ROUND(IF(M10="押一",J6/12*M11,IF(M10="押二",J6/12*2*M11,IF(M10="押三",J6/12*3*M11,J11*M11))),0)</f>
        <v>0</v>
      </c>
      <c r="K10" s="1822" t="s">
        <v>3032</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3434</v>
      </c>
      <c r="D13" s="1329" t="s">
        <v>1415</v>
      </c>
      <c r="E13" s="1329" t="s">
        <v>1416</v>
      </c>
      <c r="F13" s="1330">
        <f ca="1">INDIRECT("'数据-取费表'!y"&amp;$G$1)</f>
        <v>0.9</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2560</v>
      </c>
      <c r="D14" s="1798" t="s">
        <v>1418</v>
      </c>
      <c r="E14" s="1792"/>
      <c r="F14" s="364"/>
      <c r="G14" s="1849"/>
      <c r="H14" s="1199" t="s">
        <v>1035</v>
      </c>
      <c r="I14" s="347" t="s">
        <v>1419</v>
      </c>
      <c r="J14" s="24">
        <f ca="1">C29</f>
        <v>3816</v>
      </c>
      <c r="K14" s="15"/>
      <c r="L14" s="977"/>
      <c r="M14" s="978"/>
    </row>
    <row r="15" spans="1:37" s="1856" customFormat="1" ht="18" customHeight="1" thickBot="1">
      <c r="A15" s="1199" t="s">
        <v>1036</v>
      </c>
      <c r="B15" s="347" t="s">
        <v>1420</v>
      </c>
      <c r="C15" s="24">
        <f ca="1">ROUND(C14*F15,0)</f>
        <v>77</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89</v>
      </c>
      <c r="K16" s="1335" t="s">
        <v>1425</v>
      </c>
      <c r="L16" s="1336"/>
      <c r="M16" s="1292"/>
    </row>
    <row r="17" spans="1:37" s="1856" customFormat="1" ht="18" customHeight="1">
      <c r="A17" s="1199" t="s">
        <v>1390</v>
      </c>
      <c r="B17" s="347" t="s">
        <v>1426</v>
      </c>
      <c r="C17" s="24">
        <f ca="1">ROUND(F17*(F43+INDIRECT("'数据-取费表'!S"&amp;$G$1))/10000,0)</f>
        <v>171</v>
      </c>
      <c r="D17" s="347" t="s">
        <v>1427</v>
      </c>
      <c r="E17" s="347" t="s">
        <v>1428</v>
      </c>
      <c r="F17" s="26">
        <f>'数据-取费表'!B35</f>
        <v>200</v>
      </c>
      <c r="G17" s="1852"/>
      <c r="H17" s="1199" t="s">
        <v>1035</v>
      </c>
      <c r="I17" s="347" t="s">
        <v>1429</v>
      </c>
      <c r="J17" s="24">
        <f ca="1">ROUND(IF(项目基本情况!B11="自然人",J5*M17,J18+J19+J20),1)</f>
        <v>32.1</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38</v>
      </c>
      <c r="D18" s="347" t="s">
        <v>1421</v>
      </c>
      <c r="E18" s="347" t="s">
        <v>1422</v>
      </c>
      <c r="F18" s="367">
        <f>'数据-取费表'!B36</f>
        <v>1.4999999999999999E-2</v>
      </c>
      <c r="G18" s="1852"/>
      <c r="H18" s="1199"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2846</v>
      </c>
      <c r="D19" s="140" t="s">
        <v>1436</v>
      </c>
      <c r="E19" s="1816"/>
      <c r="F19" s="26"/>
      <c r="G19" s="1849"/>
      <c r="H19" s="1199" t="s">
        <v>1036</v>
      </c>
      <c r="I19" s="347" t="s">
        <v>1437</v>
      </c>
      <c r="J19" s="24">
        <f ca="1">IF(K19="按租金收入计税",ROUND(J5*M19,2),ROUND(C29*M19*0.7,2))</f>
        <v>32.049999999999997</v>
      </c>
      <c r="K19" s="1826" t="s">
        <v>1438</v>
      </c>
      <c r="L19" s="347" t="s">
        <v>1422</v>
      </c>
      <c r="M19" s="367">
        <f>IF(K19="按租金收入计税",'数据-取费表'!B51,'数据-取费表'!B50)</f>
        <v>1.2E-2</v>
      </c>
    </row>
    <row r="20" spans="1:37" s="1856" customFormat="1" ht="18" customHeight="1">
      <c r="A20" s="1199" t="s">
        <v>1039</v>
      </c>
      <c r="B20" s="347" t="s">
        <v>1439</v>
      </c>
      <c r="C20" s="24">
        <f ca="1">ROUND(C19*F20,0)</f>
        <v>57</v>
      </c>
      <c r="D20" s="369" t="s">
        <v>1440</v>
      </c>
      <c r="E20" s="347" t="s">
        <v>1422</v>
      </c>
      <c r="F20" s="367">
        <f>'数据-取费表'!B37</f>
        <v>0.02</v>
      </c>
      <c r="G20" s="1852"/>
      <c r="H20" s="1199" t="s">
        <v>1389</v>
      </c>
      <c r="I20" s="164" t="s">
        <v>1441</v>
      </c>
      <c r="J20" s="25">
        <f ca="1">ROUND(M20*M21/10000,2)</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6"/>
      <c r="F22" s="26"/>
      <c r="G22" s="1849"/>
      <c r="H22" s="1199" t="s">
        <v>1039</v>
      </c>
      <c r="I22" s="347" t="s">
        <v>1449</v>
      </c>
      <c r="J22" s="24">
        <f ca="1">ROUND(J14*M22,1)</f>
        <v>57.2</v>
      </c>
      <c r="K22" s="1796"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1455</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1816"/>
      <c r="F25" s="26"/>
      <c r="G25" s="1849"/>
      <c r="H25" s="1327" t="s">
        <v>1031</v>
      </c>
      <c r="I25" s="1342" t="s">
        <v>1463</v>
      </c>
      <c r="J25" s="355">
        <f ca="1">J5-J16</f>
        <v>-89</v>
      </c>
      <c r="K25" s="1343" t="s">
        <v>1464</v>
      </c>
      <c r="L25" s="1344"/>
      <c r="M25" s="1345"/>
    </row>
    <row r="26" spans="1:37">
      <c r="A26" s="1199" t="s">
        <v>1034</v>
      </c>
      <c r="B26" s="347" t="s">
        <v>1465</v>
      </c>
      <c r="C26" s="24">
        <f ca="1">ROUND((C19+C20)*F26,0)</f>
        <v>435</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4.4999999999999997E-3</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3816</v>
      </c>
      <c r="D29" s="1340"/>
      <c r="E29" s="1338"/>
      <c r="F29" s="1341"/>
      <c r="G29" s="1852"/>
      <c r="H29" s="380" t="s">
        <v>1033</v>
      </c>
      <c r="I29" s="381" t="s">
        <v>1479</v>
      </c>
      <c r="J29" s="382">
        <f ca="1">ROUND(J26/(1+F40)^F41,0)</f>
        <v>0</v>
      </c>
      <c r="K29" s="383" t="s">
        <v>1480</v>
      </c>
      <c r="L29" s="384"/>
      <c r="M29" s="385">
        <f ca="1">INDIRECT("'数据-取费表'!k"&amp;$G$1)</f>
        <v>8532.39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393</v>
      </c>
      <c r="D30" s="1335" t="s">
        <v>1425</v>
      </c>
      <c r="E30" s="1336"/>
      <c r="F30" s="1292"/>
      <c r="G30" s="1849"/>
      <c r="H30" s="745"/>
      <c r="I30" s="746"/>
      <c r="J30" s="747"/>
      <c r="K30" s="748"/>
      <c r="L30" s="749"/>
      <c r="M30" s="750"/>
    </row>
    <row r="31" spans="1:37" ht="18" customHeight="1">
      <c r="A31" s="1199" t="s">
        <v>1035</v>
      </c>
      <c r="B31" s="347" t="s">
        <v>1429</v>
      </c>
      <c r="C31" s="24">
        <f ca="1">ROUND(IF(项目基本情况!B11="自然人",C5*F31,C32+C33+C34),1)</f>
        <v>282.2</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86.83</v>
      </c>
      <c r="D32" s="1796"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195.36</v>
      </c>
      <c r="D33" s="1826" t="s">
        <v>3574</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57.2</v>
      </c>
      <c r="D36" s="1796"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5.2</v>
      </c>
      <c r="D37" s="1796" t="s">
        <v>1454</v>
      </c>
      <c r="E37" s="347" t="s">
        <v>1455</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48.8</v>
      </c>
      <c r="D38" s="1340" t="s">
        <v>1459</v>
      </c>
      <c r="E38" s="1338" t="s">
        <v>1455</v>
      </c>
      <c r="F38" s="1334">
        <f ca="1">INDIRECT("'数据-取费表'!Am"&amp;$G$1)</f>
        <v>0.03</v>
      </c>
      <c r="G38" s="1849"/>
      <c r="H38" s="1857"/>
      <c r="I38" s="1858"/>
      <c r="J38" s="1859"/>
      <c r="K38" s="1863"/>
      <c r="L38" s="1857"/>
      <c r="M38" s="1857"/>
    </row>
    <row r="39" spans="1:18" ht="24.6" customHeight="1" thickTop="1">
      <c r="A39" s="1327" t="s">
        <v>1031</v>
      </c>
      <c r="B39" s="1342" t="s">
        <v>1483</v>
      </c>
      <c r="C39" s="355">
        <f ca="1">C5-C30</f>
        <v>1235</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28564</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41.23</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33477</v>
      </c>
      <c r="D43" s="383" t="s">
        <v>1488</v>
      </c>
      <c r="E43" s="384" t="s">
        <v>1489</v>
      </c>
      <c r="F43" s="385">
        <f ca="1">INDIRECT("'数据-取费表'!k"&amp;$G$1)</f>
        <v>8532.39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-34370</v>
      </c>
      <c r="D46" s="1870" t="str">
        <f>C2</f>
        <v>万元</v>
      </c>
      <c r="E46" s="1864"/>
      <c r="F46" s="1864"/>
      <c r="I46" s="1871" t="s">
        <v>1521</v>
      </c>
      <c r="J46" s="1872"/>
      <c r="K46" s="1873"/>
      <c r="L46" s="1874">
        <f ca="1">IF(M47="住宅",0,IF(L48&gt;J51,L60,J60))</f>
        <v>52</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3575</v>
      </c>
      <c r="K47" s="1880" t="s">
        <v>1527</v>
      </c>
      <c r="L47" s="1881">
        <f ca="1">INDIRECT("'数据-取费表'!d"&amp;$G$1)</f>
        <v>50</v>
      </c>
      <c r="M47" s="1836" t="str">
        <f>IF(ISNUMBER(FIND("住宅",C1)),"住宅","非住宅")</f>
        <v>非住宅</v>
      </c>
      <c r="O47" s="1882" t="s">
        <v>1040</v>
      </c>
      <c r="P47" s="1883" t="s">
        <v>1528</v>
      </c>
      <c r="Q47" s="1884">
        <f ca="1">C40+J29</f>
        <v>28564</v>
      </c>
      <c r="R47" s="1884" t="s">
        <v>1529</v>
      </c>
    </row>
    <row r="48" spans="1:18" s="1840" customFormat="1" ht="28.5" thickBot="1">
      <c r="A48" s="1358" t="s">
        <v>1135</v>
      </c>
      <c r="B48" s="345" t="s">
        <v>1401</v>
      </c>
      <c r="C48" s="1815">
        <f ca="1">C49+C53+C55</f>
        <v>0</v>
      </c>
      <c r="D48" s="1360"/>
      <c r="E48" s="1361"/>
      <c r="F48" s="1179"/>
      <c r="G48" s="792"/>
      <c r="H48" s="793"/>
      <c r="I48" s="1885" t="s">
        <v>1530</v>
      </c>
      <c r="J48" s="1886" t="s">
        <v>3576</v>
      </c>
      <c r="K48" s="1887" t="s">
        <v>1531</v>
      </c>
      <c r="L48" s="1888">
        <f ca="1">INDIRECT("'数据-取费表'!f"&amp;$G$1)</f>
        <v>41.23</v>
      </c>
      <c r="O48" s="1882" t="s">
        <v>1041</v>
      </c>
      <c r="P48" s="1883" t="s">
        <v>1532</v>
      </c>
      <c r="Q48" s="1884">
        <f ca="1">J60</f>
        <v>52</v>
      </c>
      <c r="R48" s="1884" t="s">
        <v>1533</v>
      </c>
    </row>
    <row r="49" spans="1:18" s="1840" customFormat="1" ht="13.5" thickBot="1">
      <c r="A49" s="1192" t="s">
        <v>1136</v>
      </c>
      <c r="B49" s="1827" t="s">
        <v>1490</v>
      </c>
      <c r="C49" s="1362">
        <f ca="1">ROUND(F49*F51*F50*(1-F52)/10000,0)</f>
        <v>0</v>
      </c>
      <c r="D49" s="1274" t="s">
        <v>3025</v>
      </c>
      <c r="E49" s="1828" t="s">
        <v>1491</v>
      </c>
      <c r="F49" s="1279"/>
      <c r="G49" s="1889"/>
      <c r="H49" s="793"/>
      <c r="I49" s="1885" t="s">
        <v>1534</v>
      </c>
      <c r="J49" s="1890">
        <v>2012</v>
      </c>
      <c r="K49" s="1887" t="s">
        <v>1535</v>
      </c>
      <c r="L49" s="1891"/>
      <c r="O49" s="1892" t="s">
        <v>1042</v>
      </c>
      <c r="P49" s="1883" t="s">
        <v>1536</v>
      </c>
      <c r="Q49" s="1884">
        <f ca="1">C29</f>
        <v>3816</v>
      </c>
      <c r="R49" s="1884" t="s">
        <v>1529</v>
      </c>
    </row>
    <row r="50" spans="1:18" s="1840" customFormat="1" ht="13.5" thickBot="1">
      <c r="A50" s="1193"/>
      <c r="B50" s="1196"/>
      <c r="C50" s="1366"/>
      <c r="D50" s="1170"/>
      <c r="E50" s="1275" t="s">
        <v>1406</v>
      </c>
      <c r="F50" s="1276">
        <f ca="1">F7</f>
        <v>8532.39</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8">
        <f ca="1">F8</f>
        <v>365</v>
      </c>
      <c r="I51" s="1896" t="s">
        <v>1540</v>
      </c>
      <c r="J51" s="1897">
        <f>IF(J49="",J50,J49+J50-YEAR('数据-取费表'!B2))</f>
        <v>54</v>
      </c>
      <c r="K51" s="1898" t="s">
        <v>1541</v>
      </c>
      <c r="L51" s="1899">
        <f ca="1">ROUND(-PV(INDIRECT("'数据-取费表'!h"&amp;$G$1),L48,(C39-C13*C76),0),0)</f>
        <v>16339</v>
      </c>
      <c r="M51" s="1900"/>
      <c r="O51" s="1892" t="s">
        <v>1044</v>
      </c>
      <c r="P51" s="1883" t="s">
        <v>1542</v>
      </c>
      <c r="Q51" s="1895">
        <f>J52</f>
        <v>8.5500000000000007E-2</v>
      </c>
      <c r="R51" s="1884"/>
    </row>
    <row r="52" spans="1:18" s="1840" customFormat="1" ht="13.5" thickBot="1">
      <c r="A52" s="1194"/>
      <c r="B52" s="1196"/>
      <c r="C52" s="1197"/>
      <c r="D52" s="1170"/>
      <c r="E52" s="1198" t="s">
        <v>1408</v>
      </c>
      <c r="F52" s="1273"/>
      <c r="I52" s="1901" t="s">
        <v>1543</v>
      </c>
      <c r="J52" s="1902">
        <f>'数据-取费表'!J6+0.0005</f>
        <v>8.5500000000000007E-2</v>
      </c>
      <c r="K52" s="1901" t="s">
        <v>1544</v>
      </c>
      <c r="L52" s="1902"/>
      <c r="O52" s="1892" t="s">
        <v>1045</v>
      </c>
      <c r="P52" s="1883" t="s">
        <v>1545</v>
      </c>
      <c r="Q52" s="1884">
        <f ca="1">J53</f>
        <v>41.23</v>
      </c>
      <c r="R52" s="1884" t="s">
        <v>1546</v>
      </c>
    </row>
    <row r="53" spans="1:18" s="1840" customFormat="1" ht="24.75" thickBot="1">
      <c r="A53" s="1403" t="s">
        <v>1137</v>
      </c>
      <c r="B53" s="1829" t="s">
        <v>1409</v>
      </c>
      <c r="C53" s="361">
        <f ca="1">ROUND(IF(F53="押一",C49/12*F11,IF(F53="押二",C49/12*2*F11,IF(F53="押三",C49/12*3*F11,C54*F11))),0)</f>
        <v>0</v>
      </c>
      <c r="D53" s="1822" t="s">
        <v>3032</v>
      </c>
      <c r="E53" s="358" t="s">
        <v>1410</v>
      </c>
      <c r="F53" s="1364"/>
      <c r="I53" s="1903" t="s">
        <v>1547</v>
      </c>
      <c r="J53" s="1904">
        <f ca="1">IF(M47="住宅",J51,IF(D1="——",MIN(J51,L48),IF(D1="在建（套用方法）",MIN(J51,L48-'数据-取费表'!B24),IF(D1="土地（套用方法）",MIN(J51,L48-'数据-取费表'!B20)))))</f>
        <v>41.23</v>
      </c>
      <c r="K53" s="3147" t="s">
        <v>1548</v>
      </c>
      <c r="L53" s="3148"/>
      <c r="O53" s="1882" t="s">
        <v>1046</v>
      </c>
      <c r="P53" s="1883" t="s">
        <v>1549</v>
      </c>
      <c r="Q53" s="1884">
        <f ca="1">Q47+Q48</f>
        <v>28616</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f ca="1">ROUND(IF(J47="钢混",J57/J50,1-(1-2%)*(J50-J57)/J50),3)</f>
        <v>0.21299999999999999</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3434</v>
      </c>
      <c r="D56" s="1912"/>
      <c r="E56" s="1913"/>
      <c r="F56" s="1905"/>
      <c r="I56" s="1914" t="s">
        <v>1554</v>
      </c>
      <c r="J56" s="1915"/>
      <c r="K56" s="1885" t="s">
        <v>1555</v>
      </c>
      <c r="L56" s="1888" t="str">
        <f ca="1">IF(L48&lt;J51,"——",L48-J53)</f>
        <v>——</v>
      </c>
      <c r="O56" s="1882" t="s">
        <v>1040</v>
      </c>
      <c r="P56" s="1883" t="s">
        <v>1528</v>
      </c>
      <c r="Q56" s="1884">
        <f ca="1">C40+J29</f>
        <v>28564</v>
      </c>
      <c r="R56" s="1884" t="s">
        <v>1529</v>
      </c>
    </row>
    <row r="57" spans="1:18" s="1840" customFormat="1" ht="24.75" thickBot="1">
      <c r="A57" s="1916"/>
      <c r="B57" s="1167" t="s">
        <v>1478</v>
      </c>
      <c r="C57" s="282">
        <f ca="1">C29</f>
        <v>3816</v>
      </c>
      <c r="D57" s="1917"/>
      <c r="E57" s="1918"/>
      <c r="F57" s="1919"/>
      <c r="I57" s="1920" t="s">
        <v>1556</v>
      </c>
      <c r="J57" s="1921">
        <f ca="1">IF(OR(M47="住宅",J51&lt;L48,J56="是"),"——",J51-L48)</f>
        <v>12.770000000000003</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383</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320.5</v>
      </c>
      <c r="D59" s="1180" t="s">
        <v>1430</v>
      </c>
      <c r="E59" s="1181" t="s">
        <v>1431</v>
      </c>
      <c r="F59" s="368" t="str">
        <f ca="1">IF(项目基本情况!B11="企业","",IF(INDIRECT("'数据-取费表'!c"&amp;$G$1)="住宅",5%,IF(F49*F50*F51/12/(1+'数据-取费表'!C42)&gt;20000,12%,7%)))</f>
        <v/>
      </c>
      <c r="I59" s="1920" t="s">
        <v>1563</v>
      </c>
      <c r="J59" s="1921">
        <f ca="1">IF(OR(M47="住宅",J51&lt;L48,J56="是"),"——",ROUND(C29*J58,0))</f>
        <v>1526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f ca="1">IF(OR(M47="住宅",J51&lt;L48,J56="是"),"0",ROUND(J59/(1+J52)^J53,0))</f>
        <v>52</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320.54000000000002</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24</v>
      </c>
      <c r="I62" s="1927" t="s">
        <v>1570</v>
      </c>
      <c r="J62" s="1928" t="s">
        <v>1571</v>
      </c>
      <c r="K62" s="1928" t="s">
        <v>1572</v>
      </c>
      <c r="L62" s="1928" t="s">
        <v>1573</v>
      </c>
      <c r="M62" s="1929" t="s">
        <v>1574</v>
      </c>
      <c r="O62" s="1882" t="s">
        <v>1046</v>
      </c>
      <c r="P62" s="1883" t="s">
        <v>1575</v>
      </c>
      <c r="Q62" s="1884">
        <f ca="1">Q56+Q57</f>
        <v>28564</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57.2</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5.2</v>
      </c>
      <c r="D65" s="1181" t="s">
        <v>1454</v>
      </c>
      <c r="E65" s="1167" t="s">
        <v>1455</v>
      </c>
      <c r="F65" s="376">
        <f t="shared" ca="1" si="0"/>
        <v>1.5E-3</v>
      </c>
      <c r="I65" s="1927" t="s">
        <v>1579</v>
      </c>
      <c r="J65" s="1928">
        <v>40</v>
      </c>
      <c r="K65" s="1928">
        <v>30</v>
      </c>
      <c r="L65" s="1928">
        <v>50</v>
      </c>
      <c r="M65" s="1930">
        <v>0.02</v>
      </c>
      <c r="O65" s="1882" t="s">
        <v>1040</v>
      </c>
      <c r="P65" s="1883" t="s">
        <v>1580</v>
      </c>
      <c r="Q65" s="1884">
        <f ca="1">C40+J29</f>
        <v>28564</v>
      </c>
      <c r="R65" s="1884" t="s">
        <v>1529</v>
      </c>
    </row>
    <row r="66" spans="1:18" s="1840" customFormat="1" ht="16.5" thickBot="1">
      <c r="A66" s="1199" t="s">
        <v>1504</v>
      </c>
      <c r="B66" s="1167" t="s">
        <v>1439</v>
      </c>
      <c r="C66" s="24">
        <f ca="1">ROUND(C48*F66,1)</f>
        <v>0</v>
      </c>
      <c r="D66" s="1181" t="s">
        <v>1505</v>
      </c>
      <c r="E66" s="1167" t="s">
        <v>1422</v>
      </c>
      <c r="F66" s="357">
        <f t="shared" ca="1" si="0"/>
        <v>0.03</v>
      </c>
      <c r="O66" s="1882" t="s">
        <v>1041</v>
      </c>
      <c r="P66" s="1883" t="s">
        <v>1558</v>
      </c>
      <c r="Q66" s="1884">
        <f ca="1">L60</f>
        <v>0</v>
      </c>
      <c r="R66" s="1884" t="s">
        <v>1581</v>
      </c>
    </row>
    <row r="67" spans="1:18" s="1840" customFormat="1" ht="16.5" thickBot="1">
      <c r="A67" s="1174" t="s">
        <v>1031</v>
      </c>
      <c r="B67" s="1184" t="s">
        <v>1463</v>
      </c>
      <c r="C67" s="361">
        <f ca="1">C48-C58</f>
        <v>-383</v>
      </c>
      <c r="D67" s="1180" t="s">
        <v>1464</v>
      </c>
      <c r="E67" s="1185"/>
      <c r="F67" s="1186"/>
      <c r="O67" s="1892" t="s">
        <v>1042</v>
      </c>
      <c r="P67" s="1883" t="s">
        <v>1562</v>
      </c>
      <c r="Q67" s="1931">
        <f ca="1">L51</f>
        <v>16339</v>
      </c>
      <c r="R67" s="1884" t="s">
        <v>1582</v>
      </c>
    </row>
    <row r="68" spans="1:18" s="1840" customFormat="1" ht="16.5" thickBot="1">
      <c r="A68" s="1164" t="s">
        <v>1032</v>
      </c>
      <c r="B68" s="1165" t="s">
        <v>1485</v>
      </c>
      <c r="C68" s="346">
        <f ca="1">ROUND(C67*(1-((1+F70)/(1+F68))^F69)/(F68-F70),0)</f>
        <v>-5806</v>
      </c>
      <c r="D68" s="1182" t="s">
        <v>1469</v>
      </c>
      <c r="E68" s="1167" t="s">
        <v>1470</v>
      </c>
      <c r="F68" s="357">
        <f ca="1">F40</f>
        <v>0.06</v>
      </c>
      <c r="O68" s="1892" t="s">
        <v>1043</v>
      </c>
      <c r="P68" s="1932" t="s">
        <v>1583</v>
      </c>
      <c r="Q68" s="1884">
        <f ca="1">ROUND(Q69-Q70*Q71,0)</f>
        <v>943</v>
      </c>
      <c r="R68" s="1884" t="s">
        <v>1051</v>
      </c>
    </row>
    <row r="69" spans="1:18" s="1840" customFormat="1" ht="13.5" thickBot="1">
      <c r="A69" s="1168"/>
      <c r="B69" s="1169"/>
      <c r="C69" s="351"/>
      <c r="D69" s="1187" t="s">
        <v>1473</v>
      </c>
      <c r="E69" s="1167" t="s">
        <v>1474</v>
      </c>
      <c r="F69" s="379">
        <f ca="1">F41</f>
        <v>41.23</v>
      </c>
      <c r="O69" s="1892" t="s">
        <v>1048</v>
      </c>
      <c r="P69" s="1932" t="s">
        <v>1584</v>
      </c>
      <c r="Q69" s="1884">
        <f ca="1">C39</f>
        <v>1235</v>
      </c>
      <c r="R69" s="1884" t="s">
        <v>1529</v>
      </c>
    </row>
    <row r="70" spans="1:18" s="1840" customFormat="1" ht="13.5" thickBot="1">
      <c r="A70" s="1171"/>
      <c r="B70" s="1172"/>
      <c r="C70" s="355"/>
      <c r="D70" s="1183"/>
      <c r="E70" s="1167" t="s">
        <v>1477</v>
      </c>
      <c r="F70" s="1273"/>
      <c r="O70" s="1892" t="s">
        <v>1049</v>
      </c>
      <c r="P70" s="1932" t="s">
        <v>1585</v>
      </c>
      <c r="Q70" s="1884">
        <f ca="1">C13</f>
        <v>3434</v>
      </c>
      <c r="R70" s="1884" t="s">
        <v>1529</v>
      </c>
    </row>
    <row r="71" spans="1:18" s="1840" customFormat="1" ht="13.5" thickBot="1">
      <c r="A71" s="1188" t="s">
        <v>1033</v>
      </c>
      <c r="B71" s="1189" t="s">
        <v>1487</v>
      </c>
      <c r="C71" s="382">
        <f ca="1">ROUND(C68*10000/F71,0)</f>
        <v>-6805</v>
      </c>
      <c r="D71" s="1190" t="s">
        <v>1488</v>
      </c>
      <c r="E71" s="1191" t="s">
        <v>1489</v>
      </c>
      <c r="F71" s="385">
        <f ca="1">F43</f>
        <v>8532.39</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292</v>
      </c>
      <c r="D75" s="1840"/>
      <c r="E75" s="1840"/>
      <c r="F75" s="1840"/>
      <c r="K75" s="1866"/>
      <c r="L75" s="1840"/>
      <c r="O75" s="1882" t="s">
        <v>1046</v>
      </c>
      <c r="P75" s="1883" t="s">
        <v>1549</v>
      </c>
      <c r="Q75" s="1884">
        <f ca="1">Q65+Q66</f>
        <v>28564</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0.76400000000000001</v>
      </c>
    </row>
    <row r="80" spans="1:18">
      <c r="B80" s="386" t="s">
        <v>1511</v>
      </c>
      <c r="C80" s="318">
        <f ca="1">ROUND(C75/C39,3)</f>
        <v>0.23599999999999999</v>
      </c>
    </row>
    <row r="81" spans="2:3">
      <c r="B81" s="314" t="s">
        <v>1512</v>
      </c>
      <c r="C81" s="282"/>
    </row>
    <row r="82" spans="2:3">
      <c r="B82" s="317" t="s">
        <v>1513</v>
      </c>
      <c r="C82" s="319">
        <f ca="1">1-C83</f>
        <v>0.88</v>
      </c>
    </row>
    <row r="83" spans="2:3">
      <c r="B83" s="317" t="s">
        <v>1514</v>
      </c>
      <c r="C83" s="318">
        <f ca="1">ROUND(C13/C40,3)</f>
        <v>0.12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B6" sqref="B6:B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48</v>
      </c>
      <c r="D1" s="1818" t="s">
        <v>70</v>
      </c>
      <c r="E1" s="1819" t="s">
        <v>1387</v>
      </c>
      <c r="F1" s="1281">
        <f ca="1">J53</f>
        <v>41.23</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280</v>
      </c>
      <c r="C2" s="1843" t="s">
        <v>1516</v>
      </c>
      <c r="D2" s="1843"/>
      <c r="E2" s="1844"/>
      <c r="F2" s="1845"/>
      <c r="G2" s="1846"/>
      <c r="H2" s="1838"/>
      <c r="I2" s="1838"/>
      <c r="J2" s="1838"/>
      <c r="K2" s="1839"/>
      <c r="L2" s="1838"/>
      <c r="M2" s="1838"/>
    </row>
    <row r="3" spans="1:37" ht="18" customHeight="1" thickBot="1">
      <c r="A3" s="1847" t="s">
        <v>1517</v>
      </c>
      <c r="B3" s="1848">
        <f ca="1">IF(ISERROR(B2*10000/F43),0,ROUND(B2*10000/F43,0))</f>
        <v>2824</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0">
        <f ca="1">C6+C10+C12</f>
        <v>20</v>
      </c>
      <c r="D5" s="1820" t="s">
        <v>1402</v>
      </c>
      <c r="E5" s="1291"/>
      <c r="F5" s="1292"/>
      <c r="G5" s="1849"/>
      <c r="H5" s="344">
        <v>1</v>
      </c>
      <c r="I5" s="345" t="s">
        <v>1401</v>
      </c>
      <c r="J5" s="1290">
        <f ca="1">J6+J10+J12</f>
        <v>0</v>
      </c>
      <c r="K5" s="1820" t="s">
        <v>1402</v>
      </c>
      <c r="L5" s="1291"/>
      <c r="M5" s="1292"/>
    </row>
    <row r="6" spans="1:37" ht="18" customHeight="1">
      <c r="A6" s="1289" t="s">
        <v>1035</v>
      </c>
      <c r="B6" s="3149" t="s">
        <v>1403</v>
      </c>
      <c r="C6" s="1294">
        <f ca="1">ROUND(F6*F8*F7*(1-F9)/10000,0)</f>
        <v>20</v>
      </c>
      <c r="D6" s="164" t="s">
        <v>3024</v>
      </c>
      <c r="E6" s="347" t="s">
        <v>1405</v>
      </c>
      <c r="F6" s="348">
        <f ca="1">INDIRECT("'数据-取费表'!u"&amp;$G$1)</f>
        <v>800</v>
      </c>
      <c r="G6" s="1849"/>
      <c r="H6" s="1289" t="s">
        <v>1035</v>
      </c>
      <c r="I6" s="3149" t="s">
        <v>1403</v>
      </c>
      <c r="J6" s="346">
        <f ca="1">ROUND(M6*M8*M7*(1-M9)/10000,0)</f>
        <v>0</v>
      </c>
      <c r="K6" s="164" t="s">
        <v>3023</v>
      </c>
      <c r="L6" s="347" t="s">
        <v>1405</v>
      </c>
      <c r="M6" s="348">
        <f ca="1">INDIRECT("'数据-取费表'!z"&amp;$G$1)</f>
        <v>0</v>
      </c>
    </row>
    <row r="7" spans="1:37" ht="18" customHeight="1">
      <c r="A7" s="1293"/>
      <c r="B7" s="3150"/>
      <c r="C7" s="1295"/>
      <c r="D7" s="352"/>
      <c r="E7" s="2958" t="s">
        <v>1406</v>
      </c>
      <c r="F7" s="348">
        <f ca="1">IF(INDIRECT("'数据-取费表'!ah"&amp;$G$1)="",INDIRECT("'数据-取费表'!k"&amp;$G$1),INDIRECT("'数据-取费表'!ah"&amp;$G$1))</f>
        <v>23</v>
      </c>
      <c r="G7" s="1849"/>
      <c r="H7" s="349"/>
      <c r="I7" s="3150"/>
      <c r="J7" s="351"/>
      <c r="K7" s="352"/>
      <c r="L7" s="347" t="s">
        <v>1406</v>
      </c>
      <c r="M7" s="348">
        <f ca="1">F7</f>
        <v>23</v>
      </c>
    </row>
    <row r="8" spans="1:37" ht="18" customHeight="1">
      <c r="A8" s="349"/>
      <c r="B8" s="3150"/>
      <c r="C8" s="351"/>
      <c r="D8" s="352"/>
      <c r="E8" s="347" t="s">
        <v>1407</v>
      </c>
      <c r="F8" s="348">
        <f ca="1">INDIRECT("'数据-取费表'!ai"&amp;$G$1)</f>
        <v>12</v>
      </c>
      <c r="G8" s="1849"/>
      <c r="H8" s="349"/>
      <c r="I8" s="3150"/>
      <c r="J8" s="351"/>
      <c r="K8" s="352"/>
      <c r="L8" s="347" t="s">
        <v>1407</v>
      </c>
      <c r="M8" s="348">
        <f ca="1">INDIRECT("'数据-取费表'!ai"&amp;$G$1)</f>
        <v>12</v>
      </c>
    </row>
    <row r="9" spans="1:37" ht="18" customHeight="1">
      <c r="A9" s="349"/>
      <c r="B9" s="3151"/>
      <c r="C9" s="351"/>
      <c r="D9" s="352"/>
      <c r="E9" s="347" t="s">
        <v>1408</v>
      </c>
      <c r="F9" s="357">
        <f ca="1">INDIRECT("'数据-取费表'!w"&amp;$G$1)</f>
        <v>0.1</v>
      </c>
      <c r="G9" s="1849"/>
      <c r="H9" s="349"/>
      <c r="I9" s="3151"/>
      <c r="J9" s="351"/>
      <c r="K9" s="352"/>
      <c r="L9" s="358" t="s">
        <v>1408</v>
      </c>
      <c r="M9" s="359">
        <f ca="1">INDIRECT("'数据-取费表'!ab"&amp;$G$1)</f>
        <v>0</v>
      </c>
    </row>
    <row r="10" spans="1:37" ht="18" customHeight="1">
      <c r="A10" s="1289" t="s">
        <v>1039</v>
      </c>
      <c r="B10" s="1821" t="s">
        <v>1409</v>
      </c>
      <c r="C10" s="361">
        <f ca="1">ROUND(IF(F10="押一",C6/12*F11,IF(F10="押二",C6/12*2*F11,IF(F10="押三",C6/12*3*F11,C11*F11))),0)</f>
        <v>0</v>
      </c>
      <c r="D10" s="1822" t="s">
        <v>3033</v>
      </c>
      <c r="E10" s="358" t="s">
        <v>1410</v>
      </c>
      <c r="F10" s="1364" t="s">
        <v>3573</v>
      </c>
      <c r="G10" s="1849"/>
      <c r="H10" s="1289" t="s">
        <v>1039</v>
      </c>
      <c r="I10" s="1821" t="s">
        <v>1409</v>
      </c>
      <c r="J10" s="346">
        <f ca="1">ROUND(IF(M10="押一",J6/12*M11,IF(M10="押二",J6/12*2*M11,IF(M10="押三",J6/12*3*M11,J11*M11))),0)</f>
        <v>0</v>
      </c>
      <c r="K10" s="1822" t="s">
        <v>3032</v>
      </c>
      <c r="L10" s="358" t="s">
        <v>1410</v>
      </c>
      <c r="M10" s="1364" t="s">
        <v>1411</v>
      </c>
    </row>
    <row r="11" spans="1:37" ht="18" customHeight="1">
      <c r="A11" s="353"/>
      <c r="B11" s="1823" t="s">
        <v>1388</v>
      </c>
      <c r="C11" s="1176"/>
      <c r="D11" s="1824"/>
      <c r="E11" s="358" t="s">
        <v>1412</v>
      </c>
      <c r="F11" s="359">
        <f ca="1">'数据-取费表'!B39</f>
        <v>1.4999999999999999E-2</v>
      </c>
      <c r="G11" s="1849"/>
      <c r="H11" s="1297"/>
      <c r="I11" s="1823" t="s">
        <v>1388</v>
      </c>
      <c r="J11" s="1176"/>
      <c r="K11" s="748"/>
      <c r="L11" s="358"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5">
        <f ca="1">ROUND(C29*F13,0)</f>
        <v>246</v>
      </c>
      <c r="D13" s="1329" t="s">
        <v>1415</v>
      </c>
      <c r="E13" s="1329" t="s">
        <v>1416</v>
      </c>
      <c r="F13" s="1330">
        <f ca="1">INDIRECT("'数据-取费表'!y"&amp;$G$1)</f>
        <v>0.9</v>
      </c>
      <c r="G13" s="1849"/>
      <c r="H13" s="1327">
        <v>2</v>
      </c>
      <c r="I13" s="1328" t="s">
        <v>1414</v>
      </c>
      <c r="J13" s="1288">
        <f ca="1">ROUND(J14*J15,0)</f>
        <v>0</v>
      </c>
      <c r="K13" s="1335" t="s">
        <v>1415</v>
      </c>
      <c r="L13" s="1850"/>
      <c r="M13" s="1851"/>
    </row>
    <row r="14" spans="1:37" ht="18" customHeight="1">
      <c r="A14" s="1199" t="s">
        <v>1034</v>
      </c>
      <c r="B14" s="347" t="s">
        <v>1417</v>
      </c>
      <c r="C14" s="363">
        <f ca="1">INDIRECT("'数据-取费表'!m"&amp;$G$1)+INDIRECT("'数据-取费表'!t"&amp;$G$1)</f>
        <v>198</v>
      </c>
      <c r="D14" s="2946" t="s">
        <v>1418</v>
      </c>
      <c r="E14" s="2941"/>
      <c r="F14" s="364"/>
      <c r="G14" s="1849"/>
      <c r="H14" s="1199" t="s">
        <v>1035</v>
      </c>
      <c r="I14" s="347" t="s">
        <v>1419</v>
      </c>
      <c r="J14" s="24">
        <f ca="1">C29</f>
        <v>273</v>
      </c>
      <c r="K14" s="2957"/>
      <c r="L14" s="977"/>
      <c r="M14" s="978"/>
    </row>
    <row r="15" spans="1:37" s="1856" customFormat="1" ht="18" customHeight="1" thickBot="1">
      <c r="A15" s="1199" t="s">
        <v>1036</v>
      </c>
      <c r="B15" s="347" t="s">
        <v>1420</v>
      </c>
      <c r="C15" s="24">
        <f ca="1">ROUND(C14*F15,0)</f>
        <v>6</v>
      </c>
      <c r="D15" s="365" t="s">
        <v>1421</v>
      </c>
      <c r="E15" s="365" t="s">
        <v>1422</v>
      </c>
      <c r="F15" s="366">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9"/>
      <c r="H16" s="1327" t="s">
        <v>1030</v>
      </c>
      <c r="I16" s="1328" t="s">
        <v>1424</v>
      </c>
      <c r="J16" s="355">
        <f ca="1">ROUND(J17+J22+J23+J24,0)</f>
        <v>6</v>
      </c>
      <c r="K16" s="1335" t="s">
        <v>1425</v>
      </c>
      <c r="L16" s="2948"/>
      <c r="M16" s="1292"/>
    </row>
    <row r="17" spans="1:37" s="1856" customFormat="1" ht="18" customHeight="1">
      <c r="A17" s="1199" t="s">
        <v>1390</v>
      </c>
      <c r="B17" s="347" t="s">
        <v>1426</v>
      </c>
      <c r="C17" s="24">
        <f ca="1">ROUND(F17*(F43+INDIRECT("'数据-取费表'!S"&amp;$G$1))/10000,0)</f>
        <v>20</v>
      </c>
      <c r="D17" s="347" t="s">
        <v>1427</v>
      </c>
      <c r="E17" s="347" t="s">
        <v>1428</v>
      </c>
      <c r="F17" s="26">
        <f>'数据-取费表'!B35</f>
        <v>200</v>
      </c>
      <c r="G17" s="1852"/>
      <c r="H17" s="1199" t="s">
        <v>1035</v>
      </c>
      <c r="I17" s="347" t="s">
        <v>1429</v>
      </c>
      <c r="J17" s="24">
        <f ca="1">ROUND(IF(项目基本情况!B11="自然人",J5*M17,J18+J19+J20),1)</f>
        <v>2.2999999999999998</v>
      </c>
      <c r="K17" s="2946" t="s">
        <v>1430</v>
      </c>
      <c r="L17" s="2944"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7" t="s">
        <v>1432</v>
      </c>
      <c r="C18" s="24">
        <f ca="1">ROUND(C14*F18,0)</f>
        <v>3</v>
      </c>
      <c r="D18" s="347" t="s">
        <v>1421</v>
      </c>
      <c r="E18" s="347" t="s">
        <v>1422</v>
      </c>
      <c r="F18" s="367">
        <f>'数据-取费表'!B36</f>
        <v>1.4999999999999999E-2</v>
      </c>
      <c r="G18" s="1852"/>
      <c r="H18" s="1199" t="s">
        <v>1034</v>
      </c>
      <c r="I18" s="347" t="s">
        <v>1433</v>
      </c>
      <c r="J18" s="24">
        <f ca="1">ROUND(J5*M18/(1+'数据-取费表'!C42),2)</f>
        <v>0</v>
      </c>
      <c r="K18" s="2944"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7" t="s">
        <v>1435</v>
      </c>
      <c r="C19" s="24">
        <f ca="1">SUM(C14:C18)</f>
        <v>227</v>
      </c>
      <c r="D19" s="140" t="s">
        <v>1436</v>
      </c>
      <c r="E19" s="2955"/>
      <c r="F19" s="26"/>
      <c r="G19" s="1849"/>
      <c r="H19" s="1199" t="s">
        <v>1036</v>
      </c>
      <c r="I19" s="347" t="s">
        <v>1437</v>
      </c>
      <c r="J19" s="24">
        <f ca="1">IF(K19="按租金收入计税",ROUND(J5*M19,2),ROUND(C29*M19*0.7,2))</f>
        <v>2.29</v>
      </c>
      <c r="K19" s="1826" t="s">
        <v>1438</v>
      </c>
      <c r="L19" s="347" t="s">
        <v>1422</v>
      </c>
      <c r="M19" s="367">
        <f>IF(K19="按租金收入计税",'数据-取费表'!B51,'数据-取费表'!B50)</f>
        <v>1.2E-2</v>
      </c>
    </row>
    <row r="20" spans="1:37" s="1856" customFormat="1" ht="18" customHeight="1">
      <c r="A20" s="1199" t="s">
        <v>1039</v>
      </c>
      <c r="B20" s="347" t="s">
        <v>1439</v>
      </c>
      <c r="C20" s="24">
        <f ca="1">ROUND(C19*F20,0)</f>
        <v>5</v>
      </c>
      <c r="D20" s="369" t="s">
        <v>1440</v>
      </c>
      <c r="E20" s="347" t="s">
        <v>1422</v>
      </c>
      <c r="F20" s="367">
        <f>'数据-取费表'!B37</f>
        <v>0.02</v>
      </c>
      <c r="G20" s="1852"/>
      <c r="H20" s="1199" t="s">
        <v>1389</v>
      </c>
      <c r="I20" s="164" t="s">
        <v>1441</v>
      </c>
      <c r="J20" s="25">
        <f ca="1">ROUND(M20*M21/10000,2)</f>
        <v>0</v>
      </c>
      <c r="K20" s="370" t="s">
        <v>1442</v>
      </c>
      <c r="L20" s="347" t="s">
        <v>1443</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55"/>
      <c r="F22" s="26"/>
      <c r="G22" s="1849"/>
      <c r="H22" s="1199" t="s">
        <v>1039</v>
      </c>
      <c r="I22" s="347" t="s">
        <v>1449</v>
      </c>
      <c r="J22" s="24">
        <f ca="1">ROUND(J14*M22,1)</f>
        <v>4.0999999999999996</v>
      </c>
      <c r="K22" s="2944" t="s">
        <v>1450</v>
      </c>
      <c r="L22" s="347" t="s">
        <v>1422</v>
      </c>
      <c r="M22" s="374">
        <f ca="1">INDIRECT("'数据-取费表'!Ak"&amp;$G$1)</f>
        <v>1.4999999999999999E-2</v>
      </c>
    </row>
    <row r="23" spans="1:37" s="1856" customFormat="1" ht="18" customHeight="1">
      <c r="A23" s="1199" t="s">
        <v>1034</v>
      </c>
      <c r="B23" s="347" t="s">
        <v>1451</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1452</v>
      </c>
      <c r="F23" s="371">
        <f>'数据-取费表'!B20</f>
        <v>2</v>
      </c>
      <c r="G23" s="1852"/>
      <c r="H23" s="1199" t="s">
        <v>1075</v>
      </c>
      <c r="I23" s="347" t="s">
        <v>1453</v>
      </c>
      <c r="J23" s="24">
        <f ca="1">ROUND(J13*M23,1)</f>
        <v>0</v>
      </c>
      <c r="K23" s="2944" t="s">
        <v>1454</v>
      </c>
      <c r="L23" s="347" t="s">
        <v>1422</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7" t="s">
        <v>1393</v>
      </c>
      <c r="I24" s="1338" t="s">
        <v>1439</v>
      </c>
      <c r="J24" s="1339">
        <f ca="1">ROUND(J5*M24,1)</f>
        <v>0</v>
      </c>
      <c r="K24" s="1340" t="s">
        <v>1459</v>
      </c>
      <c r="L24" s="1338" t="s">
        <v>1422</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7" t="s">
        <v>1461</v>
      </c>
      <c r="C25" s="24"/>
      <c r="D25" s="140" t="s">
        <v>1462</v>
      </c>
      <c r="E25" s="2955"/>
      <c r="F25" s="26"/>
      <c r="G25" s="1849"/>
      <c r="H25" s="1327" t="s">
        <v>1031</v>
      </c>
      <c r="I25" s="1342" t="s">
        <v>1463</v>
      </c>
      <c r="J25" s="355">
        <f ca="1">J5-J16</f>
        <v>-6</v>
      </c>
      <c r="K25" s="1343" t="s">
        <v>1464</v>
      </c>
      <c r="L25" s="1344"/>
      <c r="M25" s="1345"/>
    </row>
    <row r="26" spans="1:37">
      <c r="A26" s="1199" t="s">
        <v>1034</v>
      </c>
      <c r="B26" s="347" t="s">
        <v>1465</v>
      </c>
      <c r="C26" s="24">
        <f ca="1">ROUND((C19+C20)*F26,0)</f>
        <v>7</v>
      </c>
      <c r="D26" s="369" t="s">
        <v>1466</v>
      </c>
      <c r="E26" s="358" t="s">
        <v>1467</v>
      </c>
      <c r="F26" s="357">
        <f ca="1">INDIRECT("'数据-取费表'!q"&amp;$G$1)</f>
        <v>0.03</v>
      </c>
      <c r="G26" s="1849"/>
      <c r="H26" s="344" t="s">
        <v>1032</v>
      </c>
      <c r="I26" s="345" t="s">
        <v>1468</v>
      </c>
      <c r="J26" s="346">
        <f ca="1">IF(J5&lt;&gt;0,ROUND(J25*(1-((1+M28)/(1+M26))^M27)/(M26-M28),0),0)</f>
        <v>0</v>
      </c>
      <c r="K26" s="370" t="s">
        <v>1469</v>
      </c>
      <c r="L26" s="347" t="s">
        <v>1470</v>
      </c>
      <c r="M26" s="357">
        <f ca="1">INDIRECT("'数据-取费表'!I"&amp;$G$1)</f>
        <v>5.5E-2</v>
      </c>
    </row>
    <row r="27" spans="1:37" ht="18" customHeight="1">
      <c r="A27" s="1199" t="s">
        <v>1036</v>
      </c>
      <c r="B27" s="347" t="s">
        <v>1471</v>
      </c>
      <c r="C27" s="24">
        <f ca="1">ROUND(F21*F26,4)</f>
        <v>8.9999999999999998E-4</v>
      </c>
      <c r="D27" s="369" t="s">
        <v>1472</v>
      </c>
      <c r="E27" s="365"/>
      <c r="F27" s="366"/>
      <c r="G27" s="1849"/>
      <c r="H27" s="349"/>
      <c r="I27" s="350"/>
      <c r="J27" s="351"/>
      <c r="K27" s="378" t="s">
        <v>1473</v>
      </c>
      <c r="L27" s="347" t="s">
        <v>1474</v>
      </c>
      <c r="M27" s="379">
        <f ca="1">INDIRECT("'数据-取费表'!ag"&amp;$G$1)</f>
        <v>0</v>
      </c>
    </row>
    <row r="28" spans="1:37" s="1856" customFormat="1" ht="18" customHeight="1">
      <c r="A28" s="1199"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273</v>
      </c>
      <c r="D29" s="1340"/>
      <c r="E29" s="1338"/>
      <c r="F29" s="1341"/>
      <c r="G29" s="1852"/>
      <c r="H29" s="380" t="s">
        <v>1033</v>
      </c>
      <c r="I29" s="381" t="s">
        <v>1479</v>
      </c>
      <c r="J29" s="382">
        <f ca="1">ROUND(J26/(1+F40)^F41,0)</f>
        <v>0</v>
      </c>
      <c r="K29" s="383" t="s">
        <v>1480</v>
      </c>
      <c r="L29" s="384"/>
      <c r="M29" s="385">
        <f ca="1">INDIRECT("'数据-取费表'!k"&amp;$G$1)</f>
        <v>991.5300000000002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5">
        <f ca="1">ROUND(C31+C36+C37+C38,0)</f>
        <v>9</v>
      </c>
      <c r="D30" s="1335" t="s">
        <v>1425</v>
      </c>
      <c r="E30" s="2948"/>
      <c r="F30" s="1292"/>
      <c r="G30" s="1849"/>
      <c r="H30" s="745"/>
      <c r="I30" s="746"/>
      <c r="J30" s="747"/>
      <c r="K30" s="748"/>
      <c r="L30" s="749"/>
      <c r="M30" s="750"/>
    </row>
    <row r="31" spans="1:37" ht="18" customHeight="1">
      <c r="A31" s="1199" t="s">
        <v>1035</v>
      </c>
      <c r="B31" s="347" t="s">
        <v>1429</v>
      </c>
      <c r="C31" s="24">
        <f ca="1">ROUND(IF(项目基本情况!B11="自然人",C5*F31,C32+C33+C34),1)</f>
        <v>3.5</v>
      </c>
      <c r="D31" s="2946" t="s">
        <v>1430</v>
      </c>
      <c r="E31" s="2944"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1034</v>
      </c>
      <c r="B32" s="347" t="s">
        <v>1433</v>
      </c>
      <c r="C32" s="24">
        <f ca="1">IF(项目基本情况!B11="自然人","——",ROUND(C5*F32/(1+'数据-取费表'!C42),2))</f>
        <v>1.07</v>
      </c>
      <c r="D32" s="2944" t="s">
        <v>1434</v>
      </c>
      <c r="E32" s="347" t="s">
        <v>1422</v>
      </c>
      <c r="F32" s="377">
        <f>'数据-取费表'!B41</f>
        <v>5.6000000000000001E-2</v>
      </c>
      <c r="G32" s="1849"/>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2.4</v>
      </c>
      <c r="D33" s="1826" t="s">
        <v>3574</v>
      </c>
      <c r="E33" s="347" t="s">
        <v>1422</v>
      </c>
      <c r="F33" s="367">
        <f>IF(D33="按票据","——",IF(D33="按租金收入计税",'数据-取费表'!B51,'数据-取费表'!B50))</f>
        <v>0.12</v>
      </c>
      <c r="G33" s="1849"/>
      <c r="H33" s="1857"/>
      <c r="I33" s="1858"/>
      <c r="J33" s="1859"/>
      <c r="K33" s="1860"/>
      <c r="L33" s="1857"/>
      <c r="M33" s="1857"/>
    </row>
    <row r="34" spans="1:18" ht="18" customHeight="1">
      <c r="A34" s="1289" t="s">
        <v>1389</v>
      </c>
      <c r="B34" s="164" t="s">
        <v>1441</v>
      </c>
      <c r="C34" s="25">
        <f ca="1">IF(项目基本情况!B11="自然人","——",ROUND(F34*F35/10000,2))</f>
        <v>0</v>
      </c>
      <c r="D34" s="370" t="s">
        <v>1442</v>
      </c>
      <c r="E34" s="347" t="s">
        <v>1443</v>
      </c>
      <c r="F34" s="371">
        <f>'数据-取费表'!B52</f>
        <v>24</v>
      </c>
      <c r="G34" s="1849"/>
      <c r="H34" s="745"/>
      <c r="I34" s="1858"/>
      <c r="J34" s="1859"/>
      <c r="K34" s="1861"/>
      <c r="L34" s="1862"/>
      <c r="M34" s="1862"/>
    </row>
    <row r="35" spans="1:18" ht="18" customHeight="1">
      <c r="A35" s="1351"/>
      <c r="B35" s="1349"/>
      <c r="C35" s="29"/>
      <c r="D35" s="373"/>
      <c r="E35" s="347" t="s">
        <v>1447</v>
      </c>
      <c r="F35" s="348">
        <f ca="1">INDIRECT("'数据-取费表'!r"&amp;$G$1)</f>
        <v>0</v>
      </c>
      <c r="G35" s="1849"/>
      <c r="H35" s="745"/>
      <c r="I35" s="1858"/>
      <c r="J35" s="1859"/>
      <c r="K35" s="1860"/>
      <c r="L35" s="1857"/>
      <c r="M35" s="1857"/>
    </row>
    <row r="36" spans="1:18" ht="18" customHeight="1">
      <c r="A36" s="1350" t="s">
        <v>1039</v>
      </c>
      <c r="B36" s="347" t="s">
        <v>1449</v>
      </c>
      <c r="C36" s="24">
        <f ca="1">ROUND(C29*F36,1)</f>
        <v>4.0999999999999996</v>
      </c>
      <c r="D36" s="2944" t="s">
        <v>1482</v>
      </c>
      <c r="E36" s="347" t="s">
        <v>1422</v>
      </c>
      <c r="F36" s="374">
        <f ca="1">INDIRECT("'数据-取费表'!Ak"&amp;$G$1)</f>
        <v>1.4999999999999999E-2</v>
      </c>
      <c r="G36" s="1849"/>
      <c r="H36" s="1857"/>
      <c r="I36" s="1858"/>
      <c r="J36" s="1859"/>
      <c r="K36" s="751"/>
      <c r="L36" s="1857"/>
      <c r="M36" s="1857"/>
    </row>
    <row r="37" spans="1:18" ht="18" customHeight="1">
      <c r="A37" s="1199" t="s">
        <v>1075</v>
      </c>
      <c r="B37" s="347" t="s">
        <v>1453</v>
      </c>
      <c r="C37" s="24">
        <f ca="1">ROUND(C13*F37,1)</f>
        <v>0.4</v>
      </c>
      <c r="D37" s="2944" t="s">
        <v>1454</v>
      </c>
      <c r="E37" s="347" t="s">
        <v>1422</v>
      </c>
      <c r="F37" s="376">
        <f ca="1">INDIRECT("'数据-取费表'!Al"&amp;$G$1)</f>
        <v>1.5E-3</v>
      </c>
      <c r="G37" s="1849"/>
      <c r="H37" s="1857"/>
      <c r="I37" s="1858"/>
      <c r="J37" s="1859"/>
      <c r="K37" s="751"/>
      <c r="L37" s="1857"/>
      <c r="M37" s="1857"/>
    </row>
    <row r="38" spans="1:18" ht="18" customHeight="1" thickBot="1">
      <c r="A38" s="1337" t="s">
        <v>1393</v>
      </c>
      <c r="B38" s="1338" t="s">
        <v>1439</v>
      </c>
      <c r="C38" s="1339">
        <f ca="1">ROUND(C5*F38,1)</f>
        <v>0.6</v>
      </c>
      <c r="D38" s="1340" t="s">
        <v>1459</v>
      </c>
      <c r="E38" s="1338" t="s">
        <v>1422</v>
      </c>
      <c r="F38" s="1334">
        <f ca="1">INDIRECT("'数据-取费表'!Am"&amp;$G$1)</f>
        <v>0.03</v>
      </c>
      <c r="G38" s="1849"/>
      <c r="H38" s="1857"/>
      <c r="I38" s="1858"/>
      <c r="J38" s="1859"/>
      <c r="K38" s="1863"/>
      <c r="L38" s="1857"/>
      <c r="M38" s="1857"/>
    </row>
    <row r="39" spans="1:18" ht="24.6" customHeight="1" thickTop="1">
      <c r="A39" s="1327" t="s">
        <v>1031</v>
      </c>
      <c r="B39" s="1342" t="s">
        <v>1483</v>
      </c>
      <c r="C39" s="355">
        <f ca="1">C5-C30</f>
        <v>11</v>
      </c>
      <c r="D39" s="1343" t="s">
        <v>1484</v>
      </c>
      <c r="E39" s="1344"/>
      <c r="F39" s="1345"/>
      <c r="G39" s="1849"/>
      <c r="H39" s="1857"/>
      <c r="I39" s="1858"/>
      <c r="J39" s="1859"/>
      <c r="K39" s="1863"/>
      <c r="L39" s="1857"/>
      <c r="M39" s="1857"/>
    </row>
    <row r="40" spans="1:18" ht="18" customHeight="1">
      <c r="A40" s="344" t="s">
        <v>1032</v>
      </c>
      <c r="B40" s="345" t="s">
        <v>1485</v>
      </c>
      <c r="C40" s="346">
        <f ca="1">ROUND(C39*(1-((1+F42)/(1+F40))^F41)/(F40-F42),0)</f>
        <v>276</v>
      </c>
      <c r="D40" s="370" t="s">
        <v>1469</v>
      </c>
      <c r="E40" s="347" t="s">
        <v>1470</v>
      </c>
      <c r="F40" s="357">
        <f ca="1">INDIRECT("'数据-取费表'!I"&amp;$G$1)</f>
        <v>5.5E-2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41.23</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2784</v>
      </c>
      <c r="D43" s="383" t="s">
        <v>1488</v>
      </c>
      <c r="E43" s="384" t="s">
        <v>1489</v>
      </c>
      <c r="F43" s="385">
        <f ca="1">INDIRECT("'数据-取费表'!k"&amp;$G$1)</f>
        <v>991.5300000000002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-713</v>
      </c>
      <c r="D46" s="1870" t="str">
        <f>C2</f>
        <v>万元</v>
      </c>
      <c r="E46" s="1864"/>
      <c r="F46" s="1864"/>
      <c r="I46" s="1871" t="s">
        <v>1521</v>
      </c>
      <c r="J46" s="1872"/>
      <c r="K46" s="1873"/>
      <c r="L46" s="1874">
        <f ca="1">IF(M47="住宅",0,IF(L48&gt;J51,L60,J60))</f>
        <v>4</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2"/>
      <c r="I47" s="1878" t="s">
        <v>1526</v>
      </c>
      <c r="J47" s="1879" t="s">
        <v>3575</v>
      </c>
      <c r="K47" s="1880" t="s">
        <v>1527</v>
      </c>
      <c r="L47" s="1881">
        <f ca="1">INDIRECT("'数据-取费表'!d"&amp;$G$1)</f>
        <v>50</v>
      </c>
      <c r="M47" s="1836" t="str">
        <f>IF(ISNUMBER(FIND("住宅",C1)),"住宅","非住宅")</f>
        <v>非住宅</v>
      </c>
      <c r="O47" s="1882" t="s">
        <v>1040</v>
      </c>
      <c r="P47" s="1883" t="s">
        <v>1528</v>
      </c>
      <c r="Q47" s="1884">
        <f ca="1">C40+J29</f>
        <v>276</v>
      </c>
      <c r="R47" s="1884" t="s">
        <v>1529</v>
      </c>
    </row>
    <row r="48" spans="1:18" s="1840" customFormat="1" ht="28.5" thickBot="1">
      <c r="A48" s="1358" t="s">
        <v>1135</v>
      </c>
      <c r="B48" s="345" t="s">
        <v>1401</v>
      </c>
      <c r="C48" s="2954">
        <f ca="1">C49+C53+C55</f>
        <v>0</v>
      </c>
      <c r="D48" s="1360"/>
      <c r="E48" s="1361"/>
      <c r="F48" s="1179"/>
      <c r="G48" s="792"/>
      <c r="H48" s="793"/>
      <c r="I48" s="1885" t="s">
        <v>1530</v>
      </c>
      <c r="J48" s="1886" t="s">
        <v>3576</v>
      </c>
      <c r="K48" s="1887" t="s">
        <v>1531</v>
      </c>
      <c r="L48" s="1888">
        <f ca="1">INDIRECT("'数据-取费表'!f"&amp;$G$1)</f>
        <v>41.23</v>
      </c>
      <c r="O48" s="1882" t="s">
        <v>1041</v>
      </c>
      <c r="P48" s="1883" t="s">
        <v>1532</v>
      </c>
      <c r="Q48" s="1884">
        <f ca="1">J60</f>
        <v>4</v>
      </c>
      <c r="R48" s="1884" t="s">
        <v>1533</v>
      </c>
    </row>
    <row r="49" spans="1:18" s="1840" customFormat="1" ht="13.5" thickBot="1">
      <c r="A49" s="1192" t="s">
        <v>1136</v>
      </c>
      <c r="B49" s="1827" t="s">
        <v>1490</v>
      </c>
      <c r="C49" s="1362">
        <f ca="1">ROUND(F49*F51*F50*(1-F52)/10000,0)</f>
        <v>0</v>
      </c>
      <c r="D49" s="1274" t="s">
        <v>3025</v>
      </c>
      <c r="E49" s="1828" t="s">
        <v>1491</v>
      </c>
      <c r="F49" s="1279"/>
      <c r="G49" s="1889"/>
      <c r="H49" s="793"/>
      <c r="I49" s="1885" t="s">
        <v>1534</v>
      </c>
      <c r="J49" s="1890">
        <v>2012</v>
      </c>
      <c r="K49" s="1887" t="s">
        <v>1535</v>
      </c>
      <c r="L49" s="1891"/>
      <c r="O49" s="1892" t="s">
        <v>1042</v>
      </c>
      <c r="P49" s="1883" t="s">
        <v>1536</v>
      </c>
      <c r="Q49" s="1884">
        <f ca="1">C29</f>
        <v>273</v>
      </c>
      <c r="R49" s="1884" t="s">
        <v>1529</v>
      </c>
    </row>
    <row r="50" spans="1:18" s="1840" customFormat="1" ht="13.5" thickBot="1">
      <c r="A50" s="1193"/>
      <c r="B50" s="1196"/>
      <c r="C50" s="1366"/>
      <c r="D50" s="1170"/>
      <c r="E50" s="1275" t="s">
        <v>1406</v>
      </c>
      <c r="F50" s="1276">
        <f ca="1">F7</f>
        <v>23</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8">
        <f ca="1">F8</f>
        <v>12</v>
      </c>
      <c r="I51" s="1896" t="s">
        <v>1540</v>
      </c>
      <c r="J51" s="1897">
        <f>IF(J49="",J50,J49+J50-YEAR('数据-取费表'!B2))</f>
        <v>54</v>
      </c>
      <c r="K51" s="1898" t="s">
        <v>1541</v>
      </c>
      <c r="L51" s="1899">
        <f ca="1">ROUND(-PV(INDIRECT("'数据-取费表'!h"&amp;$G$1),L48,(C39-C13*C76),0),0)</f>
        <v>-172</v>
      </c>
      <c r="M51" s="1900"/>
      <c r="O51" s="1892" t="s">
        <v>1044</v>
      </c>
      <c r="P51" s="1883" t="s">
        <v>1542</v>
      </c>
      <c r="Q51" s="1895">
        <f>J52</f>
        <v>8.5500000000000007E-2</v>
      </c>
      <c r="R51" s="1884"/>
    </row>
    <row r="52" spans="1:18" s="1840" customFormat="1" ht="13.5" thickBot="1">
      <c r="A52" s="1194"/>
      <c r="B52" s="1196"/>
      <c r="C52" s="1197"/>
      <c r="D52" s="1170"/>
      <c r="E52" s="1198" t="s">
        <v>1408</v>
      </c>
      <c r="F52" s="1273"/>
      <c r="I52" s="1901" t="s">
        <v>1543</v>
      </c>
      <c r="J52" s="1902">
        <f>'数据-取费表'!J6+0.0005</f>
        <v>8.5500000000000007E-2</v>
      </c>
      <c r="K52" s="1901" t="s">
        <v>1544</v>
      </c>
      <c r="L52" s="1902"/>
      <c r="O52" s="1892" t="s">
        <v>1045</v>
      </c>
      <c r="P52" s="1883" t="s">
        <v>1545</v>
      </c>
      <c r="Q52" s="1884">
        <f ca="1">J53</f>
        <v>41.23</v>
      </c>
      <c r="R52" s="1884" t="s">
        <v>1546</v>
      </c>
    </row>
    <row r="53" spans="1:18" s="1840" customFormat="1" ht="24.75" thickBot="1">
      <c r="A53" s="1403" t="s">
        <v>1137</v>
      </c>
      <c r="B53" s="1829" t="s">
        <v>1409</v>
      </c>
      <c r="C53" s="361">
        <f ca="1">ROUND(IF(F53="押一",C49/12*F11,IF(F53="押二",C49/12*2*F11,IF(F53="押三",C49/12*3*F11,C54*F11))),0)</f>
        <v>0</v>
      </c>
      <c r="D53" s="1822" t="s">
        <v>3032</v>
      </c>
      <c r="E53" s="358" t="s">
        <v>1410</v>
      </c>
      <c r="F53" s="1364"/>
      <c r="I53" s="1903" t="s">
        <v>1547</v>
      </c>
      <c r="J53" s="1904">
        <f ca="1">IF(M47="住宅",J51,IF(D1="——",MIN(J51,L48),IF(D1="在建（套用方法）",MIN(J51,L48-'数据-取费表'!B24),IF(D1="土地（套用方法）",MIN(J51,L48-'数据-取费表'!B20)))))</f>
        <v>41.23</v>
      </c>
      <c r="K53" s="3147" t="s">
        <v>1548</v>
      </c>
      <c r="L53" s="3148"/>
      <c r="O53" s="1882" t="s">
        <v>1046</v>
      </c>
      <c r="P53" s="1883" t="s">
        <v>1549</v>
      </c>
      <c r="Q53" s="1884">
        <f ca="1">Q47+Q48</f>
        <v>280</v>
      </c>
      <c r="R53" s="1884" t="s">
        <v>1047</v>
      </c>
    </row>
    <row r="54" spans="1:18" s="1840" customFormat="1" ht="13.5" thickBot="1">
      <c r="A54" s="1404"/>
      <c r="B54" s="1823" t="s">
        <v>1388</v>
      </c>
      <c r="C54" s="1176"/>
      <c r="D54" s="1822"/>
      <c r="E54" s="295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0"/>
      <c r="F55" s="1905"/>
      <c r="I55" s="1908" t="s">
        <v>1551</v>
      </c>
      <c r="J55" s="1909">
        <f ca="1">ROUND(IF(J47="钢混",J57/J50,1-(1-2%)*(J50-J57)/J50),3)</f>
        <v>0.21299999999999999</v>
      </c>
      <c r="K55" s="1910" t="s">
        <v>1552</v>
      </c>
      <c r="L55" s="1911" t="s">
        <v>1553</v>
      </c>
      <c r="O55" s="1875" t="s">
        <v>1522</v>
      </c>
      <c r="P55" s="1876" t="s">
        <v>1523</v>
      </c>
      <c r="Q55" s="1877" t="s">
        <v>1524</v>
      </c>
      <c r="R55" s="1877" t="s">
        <v>1525</v>
      </c>
    </row>
    <row r="56" spans="1:18" s="1840" customFormat="1" ht="25.5" thickTop="1" thickBot="1">
      <c r="A56" s="1174">
        <v>2</v>
      </c>
      <c r="B56" s="1175" t="s">
        <v>1414</v>
      </c>
      <c r="C56" s="276">
        <f ca="1">C13</f>
        <v>246</v>
      </c>
      <c r="D56" s="1912"/>
      <c r="E56" s="1913"/>
      <c r="F56" s="1905"/>
      <c r="I56" s="1914" t="s">
        <v>1554</v>
      </c>
      <c r="J56" s="1915"/>
      <c r="K56" s="1885" t="s">
        <v>1555</v>
      </c>
      <c r="L56" s="1888" t="str">
        <f ca="1">IF(L48&lt;J51,"——",L48-J53)</f>
        <v>——</v>
      </c>
      <c r="O56" s="1882" t="s">
        <v>1040</v>
      </c>
      <c r="P56" s="1883" t="s">
        <v>1528</v>
      </c>
      <c r="Q56" s="1884">
        <f ca="1">C40+J29</f>
        <v>276</v>
      </c>
      <c r="R56" s="1884" t="s">
        <v>1529</v>
      </c>
    </row>
    <row r="57" spans="1:18" s="1840" customFormat="1" ht="24.75" thickBot="1">
      <c r="A57" s="1916"/>
      <c r="B57" s="1167" t="s">
        <v>1478</v>
      </c>
      <c r="C57" s="282">
        <f ca="1">C29</f>
        <v>273</v>
      </c>
      <c r="D57" s="1917"/>
      <c r="E57" s="1918"/>
      <c r="F57" s="1919"/>
      <c r="I57" s="1920" t="s">
        <v>1556</v>
      </c>
      <c r="J57" s="1921">
        <f ca="1">IF(OR(M47="住宅",J51&lt;L48,J56="是"),"——",J51-L48)</f>
        <v>12.770000000000003</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5" t="s">
        <v>1424</v>
      </c>
      <c r="C58" s="361">
        <f ca="1">ROUND(C59+C64+C65+C66,0)</f>
        <v>27</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22.9</v>
      </c>
      <c r="D59" s="1180" t="s">
        <v>1430</v>
      </c>
      <c r="E59" s="1181" t="s">
        <v>1431</v>
      </c>
      <c r="F59" s="368" t="str">
        <f ca="1">IF(项目基本情况!B11="企业","",IF(INDIRECT("'数据-取费表'!c"&amp;$G$1)="住宅",5%,IF(F49*F50*F51/12/(1+'数据-取费表'!C42)&gt;20000,12%,7%)))</f>
        <v/>
      </c>
      <c r="I59" s="1920" t="s">
        <v>1563</v>
      </c>
      <c r="J59" s="1921">
        <f ca="1">IF(OR(M47="住宅",J51&lt;L48,J56="是"),"——",ROUND(C29*J58,0))</f>
        <v>109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3" t="s">
        <v>1565</v>
      </c>
      <c r="J60" s="1924">
        <f ca="1">IF(OR(M47="住宅",J51&lt;L48,J56="是"),"0",ROUND(J59/(1+J52)^J53,0))</f>
        <v>4</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22.93</v>
      </c>
      <c r="D61" s="1826" t="s">
        <v>1438</v>
      </c>
      <c r="E61" s="1167"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v>
      </c>
      <c r="D62" s="1182" t="s">
        <v>1497</v>
      </c>
      <c r="E62" s="1167" t="s">
        <v>1498</v>
      </c>
      <c r="F62" s="371">
        <f t="shared" si="0"/>
        <v>24</v>
      </c>
      <c r="I62" s="1927" t="s">
        <v>1570</v>
      </c>
      <c r="J62" s="1928" t="s">
        <v>1571</v>
      </c>
      <c r="K62" s="1928" t="s">
        <v>1572</v>
      </c>
      <c r="L62" s="1928" t="s">
        <v>1573</v>
      </c>
      <c r="M62" s="1929" t="s">
        <v>1574</v>
      </c>
      <c r="O62" s="1882" t="s">
        <v>1046</v>
      </c>
      <c r="P62" s="1883" t="s">
        <v>1575</v>
      </c>
      <c r="Q62" s="1884">
        <f ca="1">Q56+Q57</f>
        <v>276</v>
      </c>
      <c r="R62" s="1884" t="s">
        <v>1047</v>
      </c>
    </row>
    <row r="63" spans="1:18" s="1840" customFormat="1" ht="13.5" thickBot="1">
      <c r="A63" s="372"/>
      <c r="B63" s="1173"/>
      <c r="C63" s="29"/>
      <c r="D63" s="1183"/>
      <c r="E63" s="1167"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4.0999999999999996</v>
      </c>
      <c r="D64" s="1181" t="s">
        <v>1502</v>
      </c>
      <c r="E64" s="1167"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0.4</v>
      </c>
      <c r="D65" s="1181" t="s">
        <v>1454</v>
      </c>
      <c r="E65" s="1167" t="s">
        <v>1422</v>
      </c>
      <c r="F65" s="376">
        <f t="shared" ca="1" si="0"/>
        <v>1.5E-3</v>
      </c>
      <c r="I65" s="1927" t="s">
        <v>1579</v>
      </c>
      <c r="J65" s="1928">
        <v>40</v>
      </c>
      <c r="K65" s="1928">
        <v>30</v>
      </c>
      <c r="L65" s="1928">
        <v>50</v>
      </c>
      <c r="M65" s="1930">
        <v>0.02</v>
      </c>
      <c r="O65" s="1882" t="s">
        <v>1040</v>
      </c>
      <c r="P65" s="1883" t="s">
        <v>1528</v>
      </c>
      <c r="Q65" s="1884">
        <f ca="1">C40+J29</f>
        <v>276</v>
      </c>
      <c r="R65" s="1884" t="s">
        <v>1529</v>
      </c>
    </row>
    <row r="66" spans="1:18" s="1840" customFormat="1" ht="16.5" thickBot="1">
      <c r="A66" s="1199" t="s">
        <v>1504</v>
      </c>
      <c r="B66" s="1167" t="s">
        <v>1439</v>
      </c>
      <c r="C66" s="24">
        <f ca="1">ROUND(C48*F66,1)</f>
        <v>0</v>
      </c>
      <c r="D66" s="1181" t="s">
        <v>1459</v>
      </c>
      <c r="E66" s="1167" t="s">
        <v>1422</v>
      </c>
      <c r="F66" s="357">
        <f t="shared" ca="1" si="0"/>
        <v>0.03</v>
      </c>
      <c r="O66" s="1882" t="s">
        <v>1041</v>
      </c>
      <c r="P66" s="1883" t="s">
        <v>1558</v>
      </c>
      <c r="Q66" s="1884">
        <f ca="1">L60</f>
        <v>0</v>
      </c>
      <c r="R66" s="1884" t="s">
        <v>1581</v>
      </c>
    </row>
    <row r="67" spans="1:18" s="1840" customFormat="1" ht="16.5" thickBot="1">
      <c r="A67" s="1174" t="s">
        <v>1031</v>
      </c>
      <c r="B67" s="1184" t="s">
        <v>1463</v>
      </c>
      <c r="C67" s="361">
        <f ca="1">C48-C58</f>
        <v>-27</v>
      </c>
      <c r="D67" s="1180" t="s">
        <v>1464</v>
      </c>
      <c r="E67" s="1185"/>
      <c r="F67" s="1186"/>
      <c r="O67" s="1892" t="s">
        <v>1042</v>
      </c>
      <c r="P67" s="1883" t="s">
        <v>1562</v>
      </c>
      <c r="Q67" s="1931">
        <f ca="1">L51</f>
        <v>-172</v>
      </c>
      <c r="R67" s="1884" t="s">
        <v>1582</v>
      </c>
    </row>
    <row r="68" spans="1:18" s="1840" customFormat="1" ht="16.5" thickBot="1">
      <c r="A68" s="1164" t="s">
        <v>1032</v>
      </c>
      <c r="B68" s="1165" t="s">
        <v>1485</v>
      </c>
      <c r="C68" s="346">
        <f ca="1">ROUND(C67*(1-((1+F70)/(1+F68))^F69)/(F68-F70),0)</f>
        <v>-437</v>
      </c>
      <c r="D68" s="1182" t="s">
        <v>1469</v>
      </c>
      <c r="E68" s="1167" t="s">
        <v>1470</v>
      </c>
      <c r="F68" s="357">
        <f ca="1">F40</f>
        <v>5.5E-2</v>
      </c>
      <c r="O68" s="1892" t="s">
        <v>1043</v>
      </c>
      <c r="P68" s="1932" t="s">
        <v>1583</v>
      </c>
      <c r="Q68" s="1884">
        <f ca="1">ROUND(Q69-Q70*Q71,0)</f>
        <v>-10</v>
      </c>
      <c r="R68" s="1884" t="s">
        <v>1051</v>
      </c>
    </row>
    <row r="69" spans="1:18" s="1840" customFormat="1" ht="13.5" thickBot="1">
      <c r="A69" s="1168"/>
      <c r="B69" s="1169"/>
      <c r="C69" s="351"/>
      <c r="D69" s="1187" t="s">
        <v>1473</v>
      </c>
      <c r="E69" s="1167" t="s">
        <v>1474</v>
      </c>
      <c r="F69" s="379">
        <f ca="1">F41</f>
        <v>41.23</v>
      </c>
      <c r="O69" s="1892" t="s">
        <v>1048</v>
      </c>
      <c r="P69" s="1932" t="s">
        <v>1584</v>
      </c>
      <c r="Q69" s="1884">
        <f ca="1">C39</f>
        <v>11</v>
      </c>
      <c r="R69" s="1884" t="s">
        <v>1529</v>
      </c>
    </row>
    <row r="70" spans="1:18" s="1840" customFormat="1" ht="13.5" thickBot="1">
      <c r="A70" s="1171"/>
      <c r="B70" s="1172"/>
      <c r="C70" s="355"/>
      <c r="D70" s="1183"/>
      <c r="E70" s="1167" t="s">
        <v>1477</v>
      </c>
      <c r="F70" s="1273"/>
      <c r="O70" s="1892" t="s">
        <v>1049</v>
      </c>
      <c r="P70" s="1932" t="s">
        <v>1585</v>
      </c>
      <c r="Q70" s="1884">
        <f ca="1">C13</f>
        <v>246</v>
      </c>
      <c r="R70" s="1884" t="s">
        <v>1529</v>
      </c>
    </row>
    <row r="71" spans="1:18" s="1840" customFormat="1" ht="13.5" thickBot="1">
      <c r="A71" s="1188" t="s">
        <v>1033</v>
      </c>
      <c r="B71" s="1189" t="s">
        <v>1487</v>
      </c>
      <c r="C71" s="382">
        <f ca="1">ROUND(C68*10000/F71,0)</f>
        <v>-4407</v>
      </c>
      <c r="D71" s="1190" t="s">
        <v>1488</v>
      </c>
      <c r="E71" s="1191" t="s">
        <v>1489</v>
      </c>
      <c r="F71" s="385">
        <f ca="1">F43</f>
        <v>991.5300000000002</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21</v>
      </c>
      <c r="D75" s="1840"/>
      <c r="E75" s="1840"/>
      <c r="F75" s="1840"/>
      <c r="K75" s="1866"/>
      <c r="L75" s="1840"/>
      <c r="O75" s="1882" t="s">
        <v>1046</v>
      </c>
      <c r="P75" s="1883" t="s">
        <v>1549</v>
      </c>
      <c r="Q75" s="1884">
        <f ca="1">Q65+Q66</f>
        <v>276</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-0.90900000000000003</v>
      </c>
    </row>
    <row r="80" spans="1:18">
      <c r="B80" s="386" t="s">
        <v>1511</v>
      </c>
      <c r="C80" s="318">
        <f ca="1">ROUND(C75/C39,3)</f>
        <v>1.909</v>
      </c>
    </row>
    <row r="81" spans="2:3">
      <c r="B81" s="314" t="s">
        <v>1512</v>
      </c>
      <c r="C81" s="282"/>
    </row>
    <row r="82" spans="2:3">
      <c r="B82" s="317" t="s">
        <v>1513</v>
      </c>
      <c r="C82" s="319">
        <f ca="1">1-C83</f>
        <v>0.10899999999999999</v>
      </c>
    </row>
    <row r="83" spans="2:3">
      <c r="B83" s="317" t="s">
        <v>1514</v>
      </c>
      <c r="C83" s="318">
        <f ca="1">ROUND(C13/C40,3)</f>
        <v>0.89100000000000001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81"/>
  <sheetViews>
    <sheetView view="pageBreakPreview" zoomScaleSheetLayoutView="100" workbookViewId="0">
      <pane xSplit="2" ySplit="4" topLeftCell="C28" activePane="bottomRight" state="frozen"/>
      <selection activeCell="K30" sqref="K30"/>
      <selection pane="topRight" activeCell="K30" sqref="K30"/>
      <selection pane="bottomLeft" activeCell="K30" sqref="K30"/>
      <selection pane="bottomRight" activeCell="K30" sqref="K30"/>
    </sheetView>
  </sheetViews>
  <sheetFormatPr defaultColWidth="9" defaultRowHeight="13.5" outlineLevelRow="1"/>
  <cols>
    <col min="1" max="1" width="28.5" style="3298" customWidth="1"/>
    <col min="2" max="2" width="13.5" style="3331" customWidth="1"/>
    <col min="3" max="18" width="13" style="3298" customWidth="1"/>
    <col min="19" max="23" width="13.5" style="3298" hidden="1" customWidth="1"/>
    <col min="24" max="16384" width="9" style="3298"/>
  </cols>
  <sheetData>
    <row r="1" spans="1:23" ht="42.75">
      <c r="A1" s="3295" t="s">
        <v>3473</v>
      </c>
      <c r="B1" s="3296"/>
      <c r="C1" s="3297"/>
      <c r="D1" s="3297"/>
      <c r="E1" s="3297"/>
      <c r="F1" s="3297"/>
      <c r="G1" s="3297"/>
      <c r="H1" s="3297"/>
      <c r="I1" s="3297"/>
      <c r="J1" s="3297"/>
      <c r="K1" s="3297"/>
      <c r="L1" s="3297"/>
      <c r="M1" s="3297"/>
      <c r="N1" s="3297"/>
      <c r="O1" s="3297"/>
      <c r="P1" s="3297"/>
      <c r="Q1" s="3297"/>
      <c r="R1" s="3297"/>
    </row>
    <row r="2" spans="1:23">
      <c r="A2" s="3299"/>
      <c r="B2" s="3300"/>
      <c r="C2" s="3301"/>
      <c r="D2" s="3301"/>
      <c r="E2" s="3301"/>
      <c r="F2" s="3301">
        <f>21333333.33/1.12</f>
        <v>19047619.044642854</v>
      </c>
      <c r="G2" s="3301"/>
      <c r="H2" s="3301"/>
      <c r="I2" s="3301"/>
      <c r="J2" s="3301"/>
      <c r="K2" s="3301"/>
      <c r="L2" s="3301"/>
      <c r="M2" s="3301"/>
      <c r="N2" s="3301"/>
      <c r="O2" s="3301"/>
      <c r="P2" s="3301"/>
      <c r="Q2" s="3301"/>
      <c r="R2" s="3301"/>
    </row>
    <row r="3" spans="1:23" ht="14.25">
      <c r="A3" s="3299"/>
      <c r="B3" s="3302" t="s">
        <v>3474</v>
      </c>
      <c r="C3" s="3303" t="s">
        <v>3475</v>
      </c>
      <c r="D3" s="3303" t="s">
        <v>3476</v>
      </c>
      <c r="E3" s="3303" t="s">
        <v>3477</v>
      </c>
      <c r="F3" s="3303" t="s">
        <v>3478</v>
      </c>
      <c r="G3" s="3303" t="s">
        <v>3479</v>
      </c>
      <c r="H3" s="3303" t="s">
        <v>3480</v>
      </c>
      <c r="I3" s="3303" t="s">
        <v>3481</v>
      </c>
      <c r="J3" s="3303" t="s">
        <v>3482</v>
      </c>
      <c r="K3" s="3303" t="s">
        <v>3483</v>
      </c>
      <c r="L3" s="3303" t="s">
        <v>3484</v>
      </c>
      <c r="M3" s="3303" t="s">
        <v>3485</v>
      </c>
      <c r="N3" s="3303" t="s">
        <v>3486</v>
      </c>
      <c r="O3" s="3303" t="s">
        <v>3487</v>
      </c>
      <c r="P3" s="3303" t="s">
        <v>3488</v>
      </c>
      <c r="Q3" s="3303" t="s">
        <v>3489</v>
      </c>
      <c r="R3" s="3303" t="s">
        <v>3490</v>
      </c>
    </row>
    <row r="4" spans="1:23" ht="14.25">
      <c r="A4" s="3304" t="s">
        <v>3491</v>
      </c>
      <c r="B4" s="3302" t="s">
        <v>3492</v>
      </c>
      <c r="C4" s="3305" t="s">
        <v>3493</v>
      </c>
      <c r="D4" s="3305" t="s">
        <v>3493</v>
      </c>
      <c r="E4" s="3305" t="s">
        <v>3493</v>
      </c>
      <c r="F4" s="3305" t="s">
        <v>3493</v>
      </c>
      <c r="G4" s="3305" t="s">
        <v>3493</v>
      </c>
      <c r="H4" s="3305" t="s">
        <v>3493</v>
      </c>
      <c r="I4" s="3305" t="s">
        <v>3493</v>
      </c>
      <c r="J4" s="3305" t="s">
        <v>3493</v>
      </c>
      <c r="K4" s="3305" t="s">
        <v>3493</v>
      </c>
      <c r="L4" s="3305" t="s">
        <v>3493</v>
      </c>
      <c r="M4" s="3305" t="s">
        <v>3493</v>
      </c>
      <c r="N4" s="3305" t="s">
        <v>3493</v>
      </c>
      <c r="O4" s="3305" t="s">
        <v>3493</v>
      </c>
      <c r="P4" s="3305" t="s">
        <v>3493</v>
      </c>
      <c r="Q4" s="3305" t="s">
        <v>3493</v>
      </c>
      <c r="R4" s="3305" t="s">
        <v>3493</v>
      </c>
    </row>
    <row r="5" spans="1:23" ht="14.25">
      <c r="A5" s="3306" t="s">
        <v>3491</v>
      </c>
      <c r="B5" s="3307"/>
      <c r="C5" s="3302" t="s">
        <v>3494</v>
      </c>
      <c r="D5" s="3302" t="s">
        <v>3494</v>
      </c>
      <c r="E5" s="3302" t="s">
        <v>3494</v>
      </c>
      <c r="F5" s="3302" t="s">
        <v>3494</v>
      </c>
      <c r="G5" s="3302" t="s">
        <v>3494</v>
      </c>
      <c r="H5" s="3302" t="s">
        <v>3494</v>
      </c>
      <c r="I5" s="3302" t="s">
        <v>3494</v>
      </c>
      <c r="J5" s="3302" t="s">
        <v>3494</v>
      </c>
      <c r="K5" s="3302" t="s">
        <v>3494</v>
      </c>
      <c r="L5" s="3302" t="s">
        <v>3494</v>
      </c>
      <c r="M5" s="3302" t="s">
        <v>3494</v>
      </c>
      <c r="N5" s="3302" t="s">
        <v>3494</v>
      </c>
      <c r="O5" s="3302" t="s">
        <v>3494</v>
      </c>
      <c r="P5" s="3302" t="s">
        <v>3494</v>
      </c>
      <c r="Q5" s="3302" t="s">
        <v>3494</v>
      </c>
      <c r="R5" s="3302" t="s">
        <v>3494</v>
      </c>
    </row>
    <row r="6" spans="1:23" ht="14.25">
      <c r="A6" s="3308" t="s">
        <v>3495</v>
      </c>
      <c r="B6" s="3309"/>
      <c r="C6" s="3310">
        <f>SUM(C7,C23,C28,C57)</f>
        <v>23442268.905000001</v>
      </c>
      <c r="D6" s="3310">
        <f t="shared" ref="D6:R6" si="0">SUM(D7,D23,D28,D57)</f>
        <v>26397700.88711974</v>
      </c>
      <c r="E6" s="3310">
        <f t="shared" si="0"/>
        <v>27965036.668647375</v>
      </c>
      <c r="F6" s="3310">
        <f t="shared" si="0"/>
        <v>29820141.633737646</v>
      </c>
      <c r="G6" s="3310">
        <f t="shared" si="0"/>
        <v>31178282.656600181</v>
      </c>
      <c r="H6" s="3310">
        <f t="shared" si="0"/>
        <v>32506469.272854269</v>
      </c>
      <c r="I6" s="3310">
        <f>SUM(I7,I23,I28,I57)</f>
        <v>34083108.698117711</v>
      </c>
      <c r="J6" s="3310">
        <f t="shared" ref="J6:L6" si="1">SUM(J7,J23,J28,J57)</f>
        <v>35831694.445716813</v>
      </c>
      <c r="K6" s="3310">
        <f t="shared" si="1"/>
        <v>37125466.698344544</v>
      </c>
      <c r="L6" s="3310">
        <f t="shared" si="1"/>
        <v>38569925.366278321</v>
      </c>
      <c r="M6" s="3310">
        <f t="shared" si="0"/>
        <v>39696603.127266675</v>
      </c>
      <c r="N6" s="3310">
        <f>SUM(N7,N23,N28,N57)</f>
        <v>40958910.249974221</v>
      </c>
      <c r="O6" s="3310">
        <f t="shared" ref="O6" si="2">SUM(O7,O23,O28,O57)</f>
        <v>42052373.657717213</v>
      </c>
      <c r="P6" s="3310">
        <f t="shared" si="0"/>
        <v>43283524.867448732</v>
      </c>
      <c r="Q6" s="3310">
        <f t="shared" si="0"/>
        <v>44551610.613472208</v>
      </c>
      <c r="R6" s="3310">
        <f t="shared" si="0"/>
        <v>45972348.401005298</v>
      </c>
      <c r="S6" s="3311">
        <v>40958910.249974221</v>
      </c>
      <c r="T6" s="3311">
        <v>42052373.657717213</v>
      </c>
      <c r="U6" s="3311">
        <v>43283524.867448732</v>
      </c>
      <c r="V6" s="3311">
        <v>44551610.613472208</v>
      </c>
      <c r="W6" s="3311">
        <v>45972348.401005298</v>
      </c>
    </row>
    <row r="7" spans="1:23" ht="14.25">
      <c r="A7" s="3312" t="s">
        <v>3496</v>
      </c>
      <c r="B7" s="3309"/>
      <c r="C7" s="3313">
        <v>15905359.405000001</v>
      </c>
      <c r="D7" s="3313">
        <v>18493291.38711974</v>
      </c>
      <c r="E7" s="3313">
        <v>19976716.628222242</v>
      </c>
      <c r="F7" s="3313">
        <v>21394360.560144871</v>
      </c>
      <c r="G7" s="3313">
        <v>22403109.414579876</v>
      </c>
      <c r="H7" s="3313">
        <v>23350960.676704876</v>
      </c>
      <c r="I7" s="3313">
        <v>24505103.409621224</v>
      </c>
      <c r="J7" s="3313">
        <v>25800852.713198461</v>
      </c>
      <c r="K7" s="3313">
        <v>26759572.923306383</v>
      </c>
      <c r="L7" s="3313">
        <v>27829955.840238631</v>
      </c>
      <c r="M7" s="3313">
        <v>28664854.515445791</v>
      </c>
      <c r="N7" s="3313">
        <v>29598359.916592754</v>
      </c>
      <c r="O7" s="3313">
        <v>30410544.155436441</v>
      </c>
      <c r="P7" s="3313">
        <v>31322860.480099536</v>
      </c>
      <c r="Q7" s="3313">
        <v>32262546.294502527</v>
      </c>
      <c r="R7" s="3313">
        <v>33313214.847676013</v>
      </c>
    </row>
    <row r="8" spans="1:23" ht="14.25" hidden="1" outlineLevel="1">
      <c r="A8" s="3314" t="s">
        <v>3497</v>
      </c>
      <c r="B8" s="3309"/>
      <c r="C8" s="3313">
        <v>5352435.92</v>
      </c>
      <c r="D8" s="3313">
        <v>5466422.2483543744</v>
      </c>
      <c r="E8" s="3313">
        <v>6324658.6892550699</v>
      </c>
      <c r="F8" s="3313">
        <v>6659085.8473444488</v>
      </c>
      <c r="G8" s="3313">
        <v>6972936.2049037144</v>
      </c>
      <c r="H8" s="3313">
        <v>7321583.0151489004</v>
      </c>
      <c r="I8" s="3313">
        <v>7687662.1659063464</v>
      </c>
      <c r="J8" s="3313">
        <v>8094160.4667337239</v>
      </c>
      <c r="K8" s="3313">
        <v>8394927.0851697326</v>
      </c>
      <c r="L8" s="3313">
        <v>8730724.1685765181</v>
      </c>
      <c r="M8" s="3313">
        <v>8992645.8936338164</v>
      </c>
      <c r="N8" s="3313">
        <v>9287801.7780330852</v>
      </c>
      <c r="O8" s="3313">
        <v>9540298.0285561159</v>
      </c>
      <c r="P8" s="3313">
        <v>9826506.9694127999</v>
      </c>
      <c r="Q8" s="3313">
        <v>10121302.178495184</v>
      </c>
      <c r="R8" s="3313">
        <v>10453502.726709902</v>
      </c>
    </row>
    <row r="9" spans="1:23" ht="14.25" hidden="1" outlineLevel="1">
      <c r="A9" s="3314" t="s">
        <v>3498</v>
      </c>
      <c r="B9" s="3309"/>
      <c r="C9" s="3313">
        <v>1836903.38</v>
      </c>
      <c r="D9" s="3313">
        <v>1876022.367122398</v>
      </c>
      <c r="E9" s="3313">
        <v>2170560.6750428891</v>
      </c>
      <c r="F9" s="3313">
        <v>2285332.7874492668</v>
      </c>
      <c r="G9" s="3313">
        <v>2393043.1442347853</v>
      </c>
      <c r="H9" s="3313">
        <v>2512695.3014465249</v>
      </c>
      <c r="I9" s="3313">
        <v>2638330.0665188511</v>
      </c>
      <c r="J9" s="3313">
        <v>2777836.2864745059</v>
      </c>
      <c r="K9" s="3313">
        <v>2881056.432638586</v>
      </c>
      <c r="L9" s="3313">
        <v>2996298.6899441285</v>
      </c>
      <c r="M9" s="3313">
        <v>3086187.6506424532</v>
      </c>
      <c r="N9" s="3313">
        <v>3187482.2480525807</v>
      </c>
      <c r="O9" s="3313">
        <v>3274136.4785665786</v>
      </c>
      <c r="P9" s="3313">
        <v>3372360.572923576</v>
      </c>
      <c r="Q9" s="3313">
        <v>3473531.3901112834</v>
      </c>
      <c r="R9" s="3313">
        <v>3587539.351901785</v>
      </c>
    </row>
    <row r="10" spans="1:23" ht="14.25" hidden="1" outlineLevel="1">
      <c r="A10" s="3314" t="s">
        <v>3499</v>
      </c>
      <c r="B10" s="3309"/>
      <c r="C10" s="3313">
        <v>1746748.38</v>
      </c>
      <c r="D10" s="3313">
        <v>1783947.4118746594</v>
      </c>
      <c r="E10" s="3313">
        <v>2064029.8145800533</v>
      </c>
      <c r="F10" s="3313">
        <v>2173168.9253236013</v>
      </c>
      <c r="G10" s="3313">
        <v>2275592.8705745088</v>
      </c>
      <c r="H10" s="3313">
        <v>2389372.5141032343</v>
      </c>
      <c r="I10" s="3313">
        <v>2508841.1398083963</v>
      </c>
      <c r="J10" s="3313">
        <v>2641500.4110366213</v>
      </c>
      <c r="K10" s="3313">
        <v>2739654.524670769</v>
      </c>
      <c r="L10" s="3313">
        <v>2849240.705657599</v>
      </c>
      <c r="M10" s="3313">
        <v>2934717.9268273278</v>
      </c>
      <c r="N10" s="3313">
        <v>3031040.9974119617</v>
      </c>
      <c r="O10" s="3313">
        <v>3113442.2485711123</v>
      </c>
      <c r="P10" s="3313">
        <v>3206845.5160282454</v>
      </c>
      <c r="Q10" s="3313">
        <v>3303050.8815090926</v>
      </c>
      <c r="R10" s="3313">
        <v>3411463.3460583501</v>
      </c>
    </row>
    <row r="11" spans="1:23" ht="14.25" hidden="1" outlineLevel="1">
      <c r="A11" s="3314" t="s">
        <v>3500</v>
      </c>
      <c r="B11" s="3309"/>
      <c r="C11" s="3313">
        <v>1768784.16</v>
      </c>
      <c r="D11" s="3313">
        <v>1806452.4693573173</v>
      </c>
      <c r="E11" s="3313">
        <v>2090068.1996321275</v>
      </c>
      <c r="F11" s="3313">
        <v>2200584.1345715798</v>
      </c>
      <c r="G11" s="3313">
        <v>2304300.1900944207</v>
      </c>
      <c r="H11" s="3313">
        <v>2419515.1995991417</v>
      </c>
      <c r="I11" s="3313">
        <v>2540490.959579099</v>
      </c>
      <c r="J11" s="3313">
        <v>2674823.7692225967</v>
      </c>
      <c r="K11" s="3313">
        <v>2774216.1278603766</v>
      </c>
      <c r="L11" s="3313">
        <v>2885184.772974791</v>
      </c>
      <c r="M11" s="3313">
        <v>2971740.3161640354</v>
      </c>
      <c r="N11" s="3313">
        <v>3069278.5325685423</v>
      </c>
      <c r="O11" s="3313">
        <v>3152719.301418425</v>
      </c>
      <c r="P11" s="3313">
        <v>3247300.880460978</v>
      </c>
      <c r="Q11" s="3313">
        <v>3344719.9068748071</v>
      </c>
      <c r="R11" s="3313">
        <v>3454500.0287497668</v>
      </c>
    </row>
    <row r="12" spans="1:23" ht="14.25" hidden="1" outlineLevel="1">
      <c r="A12" s="3314"/>
      <c r="B12" s="3309"/>
      <c r="C12" s="3313"/>
      <c r="D12" s="3313"/>
      <c r="E12" s="3313"/>
      <c r="F12" s="3313"/>
      <c r="G12" s="3313"/>
      <c r="H12" s="3313"/>
      <c r="I12" s="3313"/>
      <c r="J12" s="3313"/>
      <c r="K12" s="3313"/>
      <c r="L12" s="3313"/>
      <c r="M12" s="3313"/>
      <c r="N12" s="3313"/>
      <c r="O12" s="3313"/>
      <c r="P12" s="3313"/>
      <c r="Q12" s="3313"/>
      <c r="R12" s="3313"/>
    </row>
    <row r="13" spans="1:23" ht="14.25" hidden="1" outlineLevel="1">
      <c r="A13" s="3314" t="s">
        <v>3501</v>
      </c>
      <c r="B13" s="3309"/>
      <c r="C13" s="3313">
        <v>6224692.8449999997</v>
      </c>
      <c r="D13" s="3313">
        <v>6224692.8449999997</v>
      </c>
      <c r="E13" s="3313">
        <v>6256580.5234958269</v>
      </c>
      <c r="F13" s="3313">
        <v>6949138.4877692256</v>
      </c>
      <c r="G13" s="3313">
        <v>7276659.3591190064</v>
      </c>
      <c r="H13" s="3313">
        <v>7640492.3270749561</v>
      </c>
      <c r="I13" s="3313">
        <v>8022516.9434287045</v>
      </c>
      <c r="J13" s="3313">
        <v>8446721.2639990449</v>
      </c>
      <c r="K13" s="3313">
        <v>8760588.5022241455</v>
      </c>
      <c r="L13" s="3313">
        <v>9111012.0423131119</v>
      </c>
      <c r="M13" s="3313">
        <v>9384342.4035825022</v>
      </c>
      <c r="N13" s="3313">
        <v>9692354.518637076</v>
      </c>
      <c r="O13" s="3313">
        <v>9955848.8559606783</v>
      </c>
      <c r="P13" s="3313">
        <v>10254524.321639497</v>
      </c>
      <c r="Q13" s="3313">
        <v>10562160.051288685</v>
      </c>
      <c r="R13" s="3313">
        <v>10908830.400369337</v>
      </c>
    </row>
    <row r="14" spans="1:23" ht="14.25" hidden="1" outlineLevel="1">
      <c r="A14" s="3314" t="s">
        <v>3502</v>
      </c>
      <c r="B14" s="3309"/>
      <c r="C14" s="3313">
        <v>2074897.615</v>
      </c>
      <c r="D14" s="3313">
        <v>2074897.615</v>
      </c>
      <c r="E14" s="3313">
        <v>2085526.8411652755</v>
      </c>
      <c r="F14" s="3313">
        <v>2316379.4959230754</v>
      </c>
      <c r="G14" s="3313">
        <v>2425553.1197063355</v>
      </c>
      <c r="H14" s="3313">
        <v>2546830.7756916522</v>
      </c>
      <c r="I14" s="3313">
        <v>2674172.3144762348</v>
      </c>
      <c r="J14" s="3313">
        <v>2815573.754666348</v>
      </c>
      <c r="K14" s="3313">
        <v>2920196.1674080486</v>
      </c>
      <c r="L14" s="3313">
        <v>3037004.0141043705</v>
      </c>
      <c r="M14" s="3313">
        <v>3128114.1345275007</v>
      </c>
      <c r="N14" s="3313">
        <v>3230784.8395456919</v>
      </c>
      <c r="O14" s="3313">
        <v>3318616.2853202261</v>
      </c>
      <c r="P14" s="3313">
        <v>3418174.7738798321</v>
      </c>
      <c r="Q14" s="3313">
        <v>3520720.0170962284</v>
      </c>
      <c r="R14" s="3313">
        <v>3636276.8001231123</v>
      </c>
    </row>
    <row r="15" spans="1:23" ht="14.25" hidden="1" outlineLevel="1">
      <c r="A15" s="3314" t="s">
        <v>3503</v>
      </c>
      <c r="B15" s="3309"/>
      <c r="C15" s="3313">
        <v>2074897.615</v>
      </c>
      <c r="D15" s="3313">
        <v>2074897.615</v>
      </c>
      <c r="E15" s="3313">
        <v>2085526.8411652755</v>
      </c>
      <c r="F15" s="3313">
        <v>2316379.4959230754</v>
      </c>
      <c r="G15" s="3313">
        <v>2425553.1197063355</v>
      </c>
      <c r="H15" s="3313">
        <v>2546830.7756916522</v>
      </c>
      <c r="I15" s="3313">
        <v>2674172.3144762348</v>
      </c>
      <c r="J15" s="3313">
        <v>2815573.754666348</v>
      </c>
      <c r="K15" s="3313">
        <v>2920196.1674080486</v>
      </c>
      <c r="L15" s="3313">
        <v>3037004.0141043705</v>
      </c>
      <c r="M15" s="3313">
        <v>3128114.1345275007</v>
      </c>
      <c r="N15" s="3313">
        <v>3230784.8395456919</v>
      </c>
      <c r="O15" s="3313">
        <v>3318616.2853202261</v>
      </c>
      <c r="P15" s="3313">
        <v>3418174.7738798321</v>
      </c>
      <c r="Q15" s="3313">
        <v>3520720.0170962284</v>
      </c>
      <c r="R15" s="3313">
        <v>3636276.8001231123</v>
      </c>
    </row>
    <row r="16" spans="1:23" ht="14.25" hidden="1" outlineLevel="1">
      <c r="A16" s="3314" t="s">
        <v>3504</v>
      </c>
      <c r="B16" s="3309"/>
      <c r="C16" s="3313">
        <v>2074897.615</v>
      </c>
      <c r="D16" s="3313">
        <v>2074897.615</v>
      </c>
      <c r="E16" s="3313">
        <v>2085526.8411652755</v>
      </c>
      <c r="F16" s="3313">
        <v>2316379.4959230754</v>
      </c>
      <c r="G16" s="3313">
        <v>2425553.1197063355</v>
      </c>
      <c r="H16" s="3313">
        <v>2546830.7756916522</v>
      </c>
      <c r="I16" s="3313">
        <v>2674172.3144762348</v>
      </c>
      <c r="J16" s="3313">
        <v>2815573.754666348</v>
      </c>
      <c r="K16" s="3313">
        <v>2920196.1674080486</v>
      </c>
      <c r="L16" s="3313">
        <v>3037004.0141043705</v>
      </c>
      <c r="M16" s="3313">
        <v>3128114.1345275007</v>
      </c>
      <c r="N16" s="3313">
        <v>3230784.8395456919</v>
      </c>
      <c r="O16" s="3313">
        <v>3318616.2853202261</v>
      </c>
      <c r="P16" s="3313">
        <v>3418174.7738798321</v>
      </c>
      <c r="Q16" s="3313">
        <v>3520720.0170962284</v>
      </c>
      <c r="R16" s="3313">
        <v>3636276.8001231123</v>
      </c>
    </row>
    <row r="17" spans="1:18" ht="14.25" hidden="1" outlineLevel="1">
      <c r="A17" s="3314"/>
      <c r="B17" s="3309"/>
      <c r="C17" s="3313"/>
      <c r="D17" s="3313"/>
      <c r="E17" s="3313"/>
      <c r="F17" s="3313"/>
      <c r="G17" s="3313"/>
      <c r="H17" s="3313"/>
      <c r="I17" s="3313"/>
      <c r="J17" s="3313"/>
      <c r="K17" s="3313"/>
      <c r="L17" s="3313"/>
      <c r="M17" s="3313"/>
      <c r="N17" s="3313"/>
      <c r="O17" s="3313"/>
      <c r="P17" s="3313"/>
      <c r="Q17" s="3313"/>
      <c r="R17" s="3313"/>
    </row>
    <row r="18" spans="1:18" ht="14.25" hidden="1" outlineLevel="1">
      <c r="A18" s="3314" t="s">
        <v>3505</v>
      </c>
      <c r="B18" s="3309"/>
      <c r="C18" s="3313">
        <v>4328230.6399999997</v>
      </c>
      <c r="D18" s="3313">
        <v>6802176.2937653679</v>
      </c>
      <c r="E18" s="3313">
        <v>7395477.4154713443</v>
      </c>
      <c r="F18" s="3313">
        <v>7786136.2250311989</v>
      </c>
      <c r="G18" s="3313">
        <v>8153513.8505571578</v>
      </c>
      <c r="H18" s="3313">
        <v>8388885.3344810195</v>
      </c>
      <c r="I18" s="3313">
        <v>8794924.3002861738</v>
      </c>
      <c r="J18" s="3313">
        <v>9259970.98246569</v>
      </c>
      <c r="K18" s="3313">
        <v>9604057.3359125014</v>
      </c>
      <c r="L18" s="3313">
        <v>9988219.6293490008</v>
      </c>
      <c r="M18" s="3313">
        <v>10287866.218229473</v>
      </c>
      <c r="N18" s="3313">
        <v>10618203.619922591</v>
      </c>
      <c r="O18" s="3313">
        <v>10914397.270919647</v>
      </c>
      <c r="P18" s="3313">
        <v>11241829.189047238</v>
      </c>
      <c r="Q18" s="3313">
        <v>11579084.064718656</v>
      </c>
      <c r="R18" s="3313">
        <v>11950881.720596772</v>
      </c>
    </row>
    <row r="19" spans="1:18" ht="14.25" hidden="1" outlineLevel="1">
      <c r="A19" s="3314" t="s">
        <v>3506</v>
      </c>
      <c r="B19" s="3309"/>
      <c r="C19" s="3313">
        <v>1747756.64</v>
      </c>
      <c r="D19" s="3313">
        <v>1963787.5437653672</v>
      </c>
      <c r="E19" s="3313">
        <v>2315169.2279713424</v>
      </c>
      <c r="F19" s="3313">
        <v>2437587.7652311968</v>
      </c>
      <c r="G19" s="3313">
        <v>2552474.0738384048</v>
      </c>
      <c r="H19" s="3313">
        <v>2680097.7775303251</v>
      </c>
      <c r="I19" s="3313">
        <v>2814102.6664068415</v>
      </c>
      <c r="J19" s="3313">
        <v>2962903.1635620529</v>
      </c>
      <c r="K19" s="3313">
        <v>3073000.1117162709</v>
      </c>
      <c r="L19" s="3313">
        <v>3195920.116184921</v>
      </c>
      <c r="M19" s="3313">
        <v>3291797.7196704689</v>
      </c>
      <c r="N19" s="3313">
        <v>3399840.833866776</v>
      </c>
      <c r="O19" s="3313">
        <v>3492268.2007984007</v>
      </c>
      <c r="P19" s="3313">
        <v>3597036.2468223535</v>
      </c>
      <c r="Q19" s="3313">
        <v>3704947.3342270241</v>
      </c>
      <c r="R19" s="3313">
        <v>3826550.8111148039</v>
      </c>
    </row>
    <row r="20" spans="1:18" ht="14.25" hidden="1" outlineLevel="1">
      <c r="A20" s="3314" t="s">
        <v>3507</v>
      </c>
      <c r="B20" s="3309"/>
      <c r="C20" s="3313">
        <v>1287975</v>
      </c>
      <c r="D20" s="3313">
        <v>2414953.125</v>
      </c>
      <c r="E20" s="3313">
        <v>2535700.7812500009</v>
      </c>
      <c r="F20" s="3313">
        <v>2669585.7825000011</v>
      </c>
      <c r="G20" s="3313">
        <v>2795610.1113281264</v>
      </c>
      <c r="H20" s="3313">
        <v>2849389.5515566403</v>
      </c>
      <c r="I20" s="3313">
        <v>2985168.1295357873</v>
      </c>
      <c r="J20" s="3313">
        <v>3143014.0059742555</v>
      </c>
      <c r="K20" s="3313">
        <v>3259803.5974530801</v>
      </c>
      <c r="L20" s="3313">
        <v>3390195.741351204</v>
      </c>
      <c r="M20" s="3313">
        <v>3491901.6135917404</v>
      </c>
      <c r="N20" s="3313">
        <v>3602166.1811657036</v>
      </c>
      <c r="O20" s="3313">
        <v>3704558.4218594776</v>
      </c>
      <c r="P20" s="3313">
        <v>3815695.1745152622</v>
      </c>
      <c r="Q20" s="3313">
        <v>3930166.0297507197</v>
      </c>
      <c r="R20" s="3313">
        <v>4054269.7719860561</v>
      </c>
    </row>
    <row r="21" spans="1:18" ht="14.25" hidden="1" outlineLevel="1">
      <c r="A21" s="3314" t="s">
        <v>3508</v>
      </c>
      <c r="B21" s="3309"/>
      <c r="C21" s="3313">
        <v>1292499.0000000005</v>
      </c>
      <c r="D21" s="3313">
        <v>2423435.6250000009</v>
      </c>
      <c r="E21" s="3313">
        <v>2544607.4062500009</v>
      </c>
      <c r="F21" s="3313">
        <v>2678962.6773000015</v>
      </c>
      <c r="G21" s="3313">
        <v>2805429.6653906265</v>
      </c>
      <c r="H21" s="3313">
        <v>2859398.0053940541</v>
      </c>
      <c r="I21" s="3313">
        <v>2995653.5043435441</v>
      </c>
      <c r="J21" s="3313">
        <v>3154053.8129293812</v>
      </c>
      <c r="K21" s="3313">
        <v>3271253.6267431499</v>
      </c>
      <c r="L21" s="3313">
        <v>3402103.7718128767</v>
      </c>
      <c r="M21" s="3313">
        <v>3504166.8849672638</v>
      </c>
      <c r="N21" s="3313">
        <v>3616196.6048901118</v>
      </c>
      <c r="O21" s="3313">
        <v>3717570.6482617701</v>
      </c>
      <c r="P21" s="3313">
        <v>3829097.7677096236</v>
      </c>
      <c r="Q21" s="3313">
        <v>3943970.7007409111</v>
      </c>
      <c r="R21" s="3313">
        <v>4070061.1374959107</v>
      </c>
    </row>
    <row r="22" spans="1:18" ht="14.25" hidden="1" outlineLevel="1">
      <c r="A22" s="3314"/>
      <c r="B22" s="3309"/>
      <c r="C22" s="3313"/>
      <c r="D22" s="3313"/>
      <c r="E22" s="3313"/>
      <c r="F22" s="3313"/>
      <c r="G22" s="3313"/>
      <c r="H22" s="3313"/>
      <c r="I22" s="3313"/>
      <c r="J22" s="3313"/>
      <c r="K22" s="3313"/>
      <c r="L22" s="3313"/>
      <c r="M22" s="3313"/>
      <c r="N22" s="3313"/>
      <c r="O22" s="3313"/>
      <c r="P22" s="3313"/>
      <c r="Q22" s="3313"/>
      <c r="R22" s="3313"/>
    </row>
    <row r="23" spans="1:18" ht="14.25" collapsed="1">
      <c r="A23" s="3312" t="s">
        <v>3509</v>
      </c>
      <c r="B23" s="3309"/>
      <c r="C23" s="3313">
        <v>264000</v>
      </c>
      <c r="D23" s="3313">
        <v>264000</v>
      </c>
      <c r="E23" s="3313">
        <v>264000</v>
      </c>
      <c r="F23" s="3313">
        <v>264000</v>
      </c>
      <c r="G23" s="3313">
        <v>264000</v>
      </c>
      <c r="H23" s="3313">
        <v>264000</v>
      </c>
      <c r="I23" s="3313">
        <v>264000</v>
      </c>
      <c r="J23" s="3313">
        <v>264000</v>
      </c>
      <c r="K23" s="3313">
        <v>264000</v>
      </c>
      <c r="L23" s="3313">
        <v>264000</v>
      </c>
      <c r="M23" s="3313">
        <v>264000</v>
      </c>
      <c r="N23" s="3313">
        <v>264000</v>
      </c>
      <c r="O23" s="3313">
        <v>264000</v>
      </c>
      <c r="P23" s="3313">
        <v>264000</v>
      </c>
      <c r="Q23" s="3313">
        <v>264000</v>
      </c>
      <c r="R23" s="3313">
        <v>264000</v>
      </c>
    </row>
    <row r="24" spans="1:18" ht="14.25" hidden="1" outlineLevel="1">
      <c r="A24" s="3312" t="s">
        <v>3510</v>
      </c>
      <c r="B24" s="3309"/>
      <c r="C24" s="3313">
        <v>0</v>
      </c>
      <c r="D24" s="3313">
        <v>0</v>
      </c>
      <c r="E24" s="3313">
        <v>0</v>
      </c>
      <c r="F24" s="3313">
        <v>0</v>
      </c>
      <c r="G24" s="3313">
        <v>0</v>
      </c>
      <c r="H24" s="3313">
        <v>0</v>
      </c>
      <c r="I24" s="3313">
        <v>0</v>
      </c>
      <c r="J24" s="3313">
        <v>0</v>
      </c>
      <c r="K24" s="3313">
        <v>0</v>
      </c>
      <c r="L24" s="3313">
        <v>0</v>
      </c>
      <c r="M24" s="3313">
        <v>0</v>
      </c>
      <c r="N24" s="3313">
        <v>0</v>
      </c>
      <c r="O24" s="3313">
        <v>0</v>
      </c>
      <c r="P24" s="3313">
        <v>0</v>
      </c>
      <c r="Q24" s="3313">
        <v>0</v>
      </c>
      <c r="R24" s="3313">
        <v>0</v>
      </c>
    </row>
    <row r="25" spans="1:18" ht="14.25" hidden="1" outlineLevel="1">
      <c r="A25" s="3315" t="s">
        <v>3511</v>
      </c>
      <c r="B25" s="3309"/>
      <c r="C25" s="3313">
        <v>0</v>
      </c>
      <c r="D25" s="3313">
        <v>0</v>
      </c>
      <c r="E25" s="3313">
        <v>0</v>
      </c>
      <c r="F25" s="3313">
        <v>0</v>
      </c>
      <c r="G25" s="3313">
        <v>0</v>
      </c>
      <c r="H25" s="3313">
        <v>0</v>
      </c>
      <c r="I25" s="3313">
        <v>0</v>
      </c>
      <c r="J25" s="3313">
        <v>0</v>
      </c>
      <c r="K25" s="3313">
        <v>0</v>
      </c>
      <c r="L25" s="3313">
        <v>0</v>
      </c>
      <c r="M25" s="3313">
        <v>0</v>
      </c>
      <c r="N25" s="3313">
        <v>0</v>
      </c>
      <c r="O25" s="3313">
        <v>0</v>
      </c>
      <c r="P25" s="3313">
        <v>0</v>
      </c>
      <c r="Q25" s="3313">
        <v>0</v>
      </c>
      <c r="R25" s="3313">
        <v>0</v>
      </c>
    </row>
    <row r="26" spans="1:18" ht="14.25" hidden="1" outlineLevel="1">
      <c r="A26" s="3315" t="s">
        <v>3512</v>
      </c>
      <c r="B26" s="3309"/>
      <c r="C26" s="3313">
        <v>0</v>
      </c>
      <c r="D26" s="3313">
        <v>0</v>
      </c>
      <c r="E26" s="3313">
        <v>0</v>
      </c>
      <c r="F26" s="3313">
        <v>0</v>
      </c>
      <c r="G26" s="3313">
        <v>0</v>
      </c>
      <c r="H26" s="3313">
        <v>0</v>
      </c>
      <c r="I26" s="3313">
        <v>0</v>
      </c>
      <c r="J26" s="3313">
        <v>0</v>
      </c>
      <c r="K26" s="3313">
        <v>0</v>
      </c>
      <c r="L26" s="3313">
        <v>0</v>
      </c>
      <c r="M26" s="3313">
        <v>0</v>
      </c>
      <c r="N26" s="3313">
        <v>0</v>
      </c>
      <c r="O26" s="3313">
        <v>0</v>
      </c>
      <c r="P26" s="3313">
        <v>0</v>
      </c>
      <c r="Q26" s="3313">
        <v>0</v>
      </c>
      <c r="R26" s="3313">
        <v>0</v>
      </c>
    </row>
    <row r="27" spans="1:18" ht="14.25" hidden="1" outlineLevel="1">
      <c r="A27" s="3315" t="s">
        <v>3513</v>
      </c>
      <c r="B27" s="3309"/>
      <c r="C27" s="3313">
        <v>0</v>
      </c>
      <c r="D27" s="3313">
        <v>0</v>
      </c>
      <c r="E27" s="3313">
        <v>0</v>
      </c>
      <c r="F27" s="3313">
        <v>0</v>
      </c>
      <c r="G27" s="3313">
        <v>0</v>
      </c>
      <c r="H27" s="3313">
        <v>0</v>
      </c>
      <c r="I27" s="3313">
        <v>0</v>
      </c>
      <c r="J27" s="3313">
        <v>0</v>
      </c>
      <c r="K27" s="3313">
        <v>0</v>
      </c>
      <c r="L27" s="3313">
        <v>0</v>
      </c>
      <c r="M27" s="3313">
        <v>0</v>
      </c>
      <c r="N27" s="3313">
        <v>0</v>
      </c>
      <c r="O27" s="3313">
        <v>0</v>
      </c>
      <c r="P27" s="3313">
        <v>0</v>
      </c>
      <c r="Q27" s="3313">
        <v>0</v>
      </c>
      <c r="R27" s="3313">
        <v>0</v>
      </c>
    </row>
    <row r="28" spans="1:18" ht="14.25" collapsed="1">
      <c r="A28" s="3312" t="s">
        <v>3514</v>
      </c>
      <c r="B28" s="3309"/>
      <c r="C28" s="3313">
        <v>6522909.5</v>
      </c>
      <c r="D28" s="3313">
        <v>6890409.5</v>
      </c>
      <c r="E28" s="3313">
        <v>6974320.0404251339</v>
      </c>
      <c r="F28" s="3313">
        <v>7411781.0735927764</v>
      </c>
      <c r="G28" s="3313">
        <v>7761173.2420203043</v>
      </c>
      <c r="H28" s="3313">
        <v>8141508.5961493906</v>
      </c>
      <c r="I28" s="3313">
        <v>8564005.2884964868</v>
      </c>
      <c r="J28" s="3313">
        <v>9016841.7325183563</v>
      </c>
      <c r="K28" s="3313">
        <v>9351893.7750381641</v>
      </c>
      <c r="L28" s="3313">
        <v>9725969.5260396916</v>
      </c>
      <c r="M28" s="3313">
        <v>10017748.611820884</v>
      </c>
      <c r="N28" s="3313">
        <v>10346550.33338147</v>
      </c>
      <c r="O28" s="3313">
        <v>10627829.502280775</v>
      </c>
      <c r="P28" s="3313">
        <v>10946664.3873492</v>
      </c>
      <c r="Q28" s="3313">
        <v>11275064.318969678</v>
      </c>
      <c r="R28" s="3313">
        <v>11645133.553329285</v>
      </c>
    </row>
    <row r="29" spans="1:18" ht="14.25" hidden="1" outlineLevel="1">
      <c r="A29" s="3315" t="s">
        <v>3515</v>
      </c>
      <c r="B29" s="3309"/>
      <c r="C29" s="3313">
        <v>0</v>
      </c>
      <c r="D29" s="3313">
        <v>0</v>
      </c>
      <c r="E29" s="3313">
        <v>0</v>
      </c>
      <c r="F29" s="3313">
        <v>0</v>
      </c>
      <c r="G29" s="3313">
        <v>0</v>
      </c>
      <c r="H29" s="3313">
        <v>0</v>
      </c>
      <c r="I29" s="3313">
        <v>0</v>
      </c>
      <c r="J29" s="3313">
        <v>0</v>
      </c>
      <c r="K29" s="3313">
        <v>0</v>
      </c>
      <c r="L29" s="3313">
        <v>0</v>
      </c>
      <c r="M29" s="3313">
        <v>0</v>
      </c>
      <c r="N29" s="3313">
        <v>0</v>
      </c>
      <c r="O29" s="3313">
        <v>0</v>
      </c>
      <c r="P29" s="3313">
        <v>0</v>
      </c>
      <c r="Q29" s="3313">
        <v>0</v>
      </c>
      <c r="R29" s="3313">
        <v>0</v>
      </c>
    </row>
    <row r="30" spans="1:18" ht="14.25" hidden="1" outlineLevel="1">
      <c r="A30" s="3315" t="s">
        <v>3516</v>
      </c>
      <c r="B30" s="3309"/>
      <c r="C30" s="3313">
        <v>0</v>
      </c>
      <c r="D30" s="3313">
        <v>0</v>
      </c>
      <c r="E30" s="3313">
        <v>0</v>
      </c>
      <c r="F30" s="3313">
        <v>0</v>
      </c>
      <c r="G30" s="3313">
        <v>0</v>
      </c>
      <c r="H30" s="3313">
        <v>0</v>
      </c>
      <c r="I30" s="3313">
        <v>0</v>
      </c>
      <c r="J30" s="3313">
        <v>0</v>
      </c>
      <c r="K30" s="3313">
        <v>0</v>
      </c>
      <c r="L30" s="3313">
        <v>0</v>
      </c>
      <c r="M30" s="3313">
        <v>0</v>
      </c>
      <c r="N30" s="3313">
        <v>0</v>
      </c>
      <c r="O30" s="3313">
        <v>0</v>
      </c>
      <c r="P30" s="3313">
        <v>0</v>
      </c>
      <c r="Q30" s="3313">
        <v>0</v>
      </c>
      <c r="R30" s="3313">
        <v>0</v>
      </c>
    </row>
    <row r="31" spans="1:18" ht="14.25" hidden="1" outlineLevel="1">
      <c r="A31" s="3315" t="s">
        <v>3517</v>
      </c>
      <c r="B31" s="3309"/>
      <c r="C31" s="3313">
        <v>0</v>
      </c>
      <c r="D31" s="3313">
        <v>0</v>
      </c>
      <c r="E31" s="3313">
        <v>0</v>
      </c>
      <c r="F31" s="3313">
        <v>0</v>
      </c>
      <c r="G31" s="3313">
        <v>0</v>
      </c>
      <c r="H31" s="3313">
        <v>0</v>
      </c>
      <c r="I31" s="3313">
        <v>0</v>
      </c>
      <c r="J31" s="3313">
        <v>0</v>
      </c>
      <c r="K31" s="3313">
        <v>0</v>
      </c>
      <c r="L31" s="3313">
        <v>0</v>
      </c>
      <c r="M31" s="3313">
        <v>0</v>
      </c>
      <c r="N31" s="3313">
        <v>0</v>
      </c>
      <c r="O31" s="3313">
        <v>0</v>
      </c>
      <c r="P31" s="3313">
        <v>0</v>
      </c>
      <c r="Q31" s="3313">
        <v>0</v>
      </c>
      <c r="R31" s="3313">
        <v>0</v>
      </c>
    </row>
    <row r="32" spans="1:18" ht="14.25" hidden="1" outlineLevel="1">
      <c r="A32" s="3315" t="s">
        <v>3518</v>
      </c>
      <c r="B32" s="3309"/>
      <c r="C32" s="3313">
        <v>0</v>
      </c>
      <c r="D32" s="3313">
        <v>0</v>
      </c>
      <c r="E32" s="3313">
        <v>0</v>
      </c>
      <c r="F32" s="3313">
        <v>0</v>
      </c>
      <c r="G32" s="3313">
        <v>0</v>
      </c>
      <c r="H32" s="3313">
        <v>0</v>
      </c>
      <c r="I32" s="3313">
        <v>0</v>
      </c>
      <c r="J32" s="3313">
        <v>0</v>
      </c>
      <c r="K32" s="3313">
        <v>0</v>
      </c>
      <c r="L32" s="3313">
        <v>0</v>
      </c>
      <c r="M32" s="3313">
        <v>0</v>
      </c>
      <c r="N32" s="3313">
        <v>0</v>
      </c>
      <c r="O32" s="3313">
        <v>0</v>
      </c>
      <c r="P32" s="3313">
        <v>0</v>
      </c>
      <c r="Q32" s="3313">
        <v>0</v>
      </c>
      <c r="R32" s="3313">
        <v>0</v>
      </c>
    </row>
    <row r="33" spans="1:18" ht="14.25" hidden="1" outlineLevel="1">
      <c r="A33" s="3315" t="s">
        <v>3519</v>
      </c>
      <c r="B33" s="3309"/>
      <c r="C33" s="3313">
        <v>2676430</v>
      </c>
      <c r="D33" s="3313">
        <v>3043930</v>
      </c>
      <c r="E33" s="3313">
        <v>3125646.2230113074</v>
      </c>
      <c r="F33" s="3313">
        <v>3334709.9261045954</v>
      </c>
      <c r="G33" s="3313">
        <v>3491945.0527447704</v>
      </c>
      <c r="H33" s="3313">
        <v>3658818.997410079</v>
      </c>
      <c r="I33" s="3313">
        <v>3857181.2098202109</v>
      </c>
      <c r="J33" s="3313">
        <v>4061136.2710517989</v>
      </c>
      <c r="K33" s="3313">
        <v>4212041.8811236694</v>
      </c>
      <c r="L33" s="3313">
        <v>4380523.5563686173</v>
      </c>
      <c r="M33" s="3313">
        <v>4511939.2630596757</v>
      </c>
      <c r="N33" s="3313">
        <v>4660029.7627074979</v>
      </c>
      <c r="O33" s="3313">
        <v>4786716.3641800098</v>
      </c>
      <c r="P33" s="3313">
        <v>4930317.8551054113</v>
      </c>
      <c r="Q33" s="3313">
        <v>5078227.390758574</v>
      </c>
      <c r="R33" s="3313">
        <v>5244904.5527894991</v>
      </c>
    </row>
    <row r="34" spans="1:18" ht="14.25" hidden="1" outlineLevel="1">
      <c r="A34" s="3315" t="s">
        <v>3520</v>
      </c>
      <c r="B34" s="3309"/>
      <c r="C34" s="3313">
        <v>3846479.5</v>
      </c>
      <c r="D34" s="3313">
        <v>3846479.5</v>
      </c>
      <c r="E34" s="3313">
        <v>3848673.8174138265</v>
      </c>
      <c r="F34" s="3313">
        <v>4077071.1474881815</v>
      </c>
      <c r="G34" s="3313">
        <v>4269228.1892755339</v>
      </c>
      <c r="H34" s="3313">
        <v>4482689.5987393111</v>
      </c>
      <c r="I34" s="3313">
        <v>4706824.0786762768</v>
      </c>
      <c r="J34" s="3313">
        <v>4955705.4614665573</v>
      </c>
      <c r="K34" s="3313">
        <v>5139851.8939144947</v>
      </c>
      <c r="L34" s="3313">
        <v>5345445.9696710743</v>
      </c>
      <c r="M34" s="3313">
        <v>5505809.3487612084</v>
      </c>
      <c r="N34" s="3313">
        <v>5686520.5706739733</v>
      </c>
      <c r="O34" s="3313">
        <v>5841113.1381007647</v>
      </c>
      <c r="P34" s="3313">
        <v>6016346.5322437892</v>
      </c>
      <c r="Q34" s="3313">
        <v>6196836.9282111032</v>
      </c>
      <c r="R34" s="3313">
        <v>6400229.0005397853</v>
      </c>
    </row>
    <row r="35" spans="1:18" ht="14.25" hidden="1" outlineLevel="1">
      <c r="A35" s="3315" t="s">
        <v>3521</v>
      </c>
      <c r="B35" s="3309"/>
      <c r="C35" s="3313">
        <v>0</v>
      </c>
      <c r="D35" s="3313">
        <v>0</v>
      </c>
      <c r="E35" s="3313">
        <v>0</v>
      </c>
      <c r="F35" s="3313">
        <v>0</v>
      </c>
      <c r="G35" s="3313">
        <v>0</v>
      </c>
      <c r="H35" s="3313">
        <v>0</v>
      </c>
      <c r="I35" s="3313">
        <v>0</v>
      </c>
      <c r="J35" s="3313">
        <v>0</v>
      </c>
      <c r="K35" s="3313">
        <v>0</v>
      </c>
      <c r="L35" s="3313">
        <v>0</v>
      </c>
      <c r="M35" s="3313">
        <v>0</v>
      </c>
      <c r="N35" s="3313">
        <v>0</v>
      </c>
      <c r="O35" s="3313">
        <v>0</v>
      </c>
      <c r="P35" s="3313">
        <v>0</v>
      </c>
      <c r="Q35" s="3313">
        <v>0</v>
      </c>
      <c r="R35" s="3313">
        <v>0</v>
      </c>
    </row>
    <row r="36" spans="1:18" ht="14.25" hidden="1" outlineLevel="1">
      <c r="A36" s="3315" t="s">
        <v>3522</v>
      </c>
      <c r="B36" s="3309"/>
      <c r="C36" s="3313">
        <v>0</v>
      </c>
      <c r="D36" s="3313">
        <v>0</v>
      </c>
      <c r="E36" s="3313">
        <v>0</v>
      </c>
      <c r="F36" s="3313">
        <v>0</v>
      </c>
      <c r="G36" s="3313">
        <v>0</v>
      </c>
      <c r="H36" s="3313">
        <v>0</v>
      </c>
      <c r="I36" s="3313">
        <v>0</v>
      </c>
      <c r="J36" s="3313">
        <v>0</v>
      </c>
      <c r="K36" s="3313">
        <v>0</v>
      </c>
      <c r="L36" s="3313">
        <v>0</v>
      </c>
      <c r="M36" s="3313">
        <v>0</v>
      </c>
      <c r="N36" s="3313">
        <v>0</v>
      </c>
      <c r="O36" s="3313">
        <v>0</v>
      </c>
      <c r="P36" s="3313">
        <v>0</v>
      </c>
      <c r="Q36" s="3313">
        <v>0</v>
      </c>
      <c r="R36" s="3313">
        <v>0</v>
      </c>
    </row>
    <row r="37" spans="1:18" ht="14.25" hidden="1" outlineLevel="1">
      <c r="A37" s="3315" t="s">
        <v>3523</v>
      </c>
      <c r="B37" s="3309"/>
      <c r="C37" s="3313">
        <v>0</v>
      </c>
      <c r="D37" s="3313">
        <v>0</v>
      </c>
      <c r="E37" s="3313">
        <v>0</v>
      </c>
      <c r="F37" s="3313">
        <v>0</v>
      </c>
      <c r="G37" s="3313">
        <v>0</v>
      </c>
      <c r="H37" s="3313">
        <v>0</v>
      </c>
      <c r="I37" s="3313">
        <v>0</v>
      </c>
      <c r="J37" s="3313">
        <v>0</v>
      </c>
      <c r="K37" s="3313">
        <v>0</v>
      </c>
      <c r="L37" s="3313">
        <v>0</v>
      </c>
      <c r="M37" s="3313">
        <v>0</v>
      </c>
      <c r="N37" s="3313">
        <v>0</v>
      </c>
      <c r="O37" s="3313">
        <v>0</v>
      </c>
      <c r="P37" s="3313">
        <v>0</v>
      </c>
      <c r="Q37" s="3313">
        <v>0</v>
      </c>
      <c r="R37" s="3313">
        <v>0</v>
      </c>
    </row>
    <row r="38" spans="1:18" ht="14.25" hidden="1" outlineLevel="1">
      <c r="A38" s="3315" t="s">
        <v>3524</v>
      </c>
      <c r="B38" s="3309"/>
      <c r="C38" s="3313">
        <v>0</v>
      </c>
      <c r="D38" s="3313">
        <v>0</v>
      </c>
      <c r="E38" s="3313">
        <v>0</v>
      </c>
      <c r="F38" s="3313">
        <v>0</v>
      </c>
      <c r="G38" s="3313">
        <v>0</v>
      </c>
      <c r="H38" s="3313">
        <v>0</v>
      </c>
      <c r="I38" s="3313">
        <v>0</v>
      </c>
      <c r="J38" s="3313">
        <v>0</v>
      </c>
      <c r="K38" s="3313">
        <v>0</v>
      </c>
      <c r="L38" s="3313">
        <v>0</v>
      </c>
      <c r="M38" s="3313">
        <v>0</v>
      </c>
      <c r="N38" s="3313">
        <v>0</v>
      </c>
      <c r="O38" s="3313">
        <v>0</v>
      </c>
      <c r="P38" s="3313">
        <v>0</v>
      </c>
      <c r="Q38" s="3313">
        <v>0</v>
      </c>
      <c r="R38" s="3313">
        <v>0</v>
      </c>
    </row>
    <row r="39" spans="1:18" ht="14.25" hidden="1" outlineLevel="1">
      <c r="A39" s="3315" t="s">
        <v>3525</v>
      </c>
      <c r="B39" s="3309"/>
      <c r="C39" s="3313">
        <v>0</v>
      </c>
      <c r="D39" s="3313">
        <v>0</v>
      </c>
      <c r="E39" s="3313">
        <v>0</v>
      </c>
      <c r="F39" s="3313">
        <v>0</v>
      </c>
      <c r="G39" s="3313">
        <v>0</v>
      </c>
      <c r="H39" s="3313">
        <v>0</v>
      </c>
      <c r="I39" s="3313">
        <v>0</v>
      </c>
      <c r="J39" s="3313">
        <v>0</v>
      </c>
      <c r="K39" s="3313">
        <v>0</v>
      </c>
      <c r="L39" s="3313">
        <v>0</v>
      </c>
      <c r="M39" s="3313">
        <v>0</v>
      </c>
      <c r="N39" s="3313">
        <v>0</v>
      </c>
      <c r="O39" s="3313">
        <v>0</v>
      </c>
      <c r="P39" s="3313">
        <v>0</v>
      </c>
      <c r="Q39" s="3313">
        <v>0</v>
      </c>
      <c r="R39" s="3313">
        <v>0</v>
      </c>
    </row>
    <row r="40" spans="1:18" ht="14.25" hidden="1" outlineLevel="1">
      <c r="A40" s="3315" t="s">
        <v>3526</v>
      </c>
      <c r="B40" s="3309"/>
      <c r="C40" s="3313">
        <v>0</v>
      </c>
      <c r="D40" s="3313">
        <v>0</v>
      </c>
      <c r="E40" s="3313">
        <v>0</v>
      </c>
      <c r="F40" s="3313">
        <v>0</v>
      </c>
      <c r="G40" s="3313">
        <v>0</v>
      </c>
      <c r="H40" s="3313">
        <v>0</v>
      </c>
      <c r="I40" s="3313">
        <v>0</v>
      </c>
      <c r="J40" s="3313">
        <v>0</v>
      </c>
      <c r="K40" s="3313">
        <v>0</v>
      </c>
      <c r="L40" s="3313">
        <v>0</v>
      </c>
      <c r="M40" s="3313">
        <v>0</v>
      </c>
      <c r="N40" s="3313">
        <v>0</v>
      </c>
      <c r="O40" s="3313">
        <v>0</v>
      </c>
      <c r="P40" s="3313">
        <v>0</v>
      </c>
      <c r="Q40" s="3313">
        <v>0</v>
      </c>
      <c r="R40" s="3313">
        <v>0</v>
      </c>
    </row>
    <row r="41" spans="1:18" ht="14.25" hidden="1" outlineLevel="1">
      <c r="A41" s="3314" t="s">
        <v>3527</v>
      </c>
      <c r="B41" s="3309"/>
      <c r="C41" s="3316">
        <v>0.95</v>
      </c>
      <c r="D41" s="3316">
        <v>0.95</v>
      </c>
      <c r="E41" s="3316">
        <v>0.95</v>
      </c>
      <c r="F41" s="3316">
        <v>0.95</v>
      </c>
      <c r="G41" s="3316">
        <v>0.95</v>
      </c>
      <c r="H41" s="3316">
        <v>0.95</v>
      </c>
      <c r="I41" s="3316">
        <v>0.95</v>
      </c>
      <c r="J41" s="3316">
        <v>0.95</v>
      </c>
      <c r="K41" s="3316">
        <v>0.95</v>
      </c>
      <c r="L41" s="3316">
        <v>0.95</v>
      </c>
      <c r="M41" s="3316">
        <v>0.95</v>
      </c>
      <c r="N41" s="3316">
        <v>0.95</v>
      </c>
      <c r="O41" s="3316">
        <v>0.95</v>
      </c>
      <c r="P41" s="3316">
        <v>0.95</v>
      </c>
      <c r="Q41" s="3316">
        <v>0.95</v>
      </c>
      <c r="R41" s="3316">
        <v>0.95</v>
      </c>
    </row>
    <row r="42" spans="1:18" ht="14.25" hidden="1" outlineLevel="1">
      <c r="A42" s="3317"/>
      <c r="B42" s="3309"/>
      <c r="C42" s="3313"/>
      <c r="D42" s="3313"/>
      <c r="E42" s="3313"/>
      <c r="F42" s="3313"/>
      <c r="G42" s="3313"/>
      <c r="H42" s="3313"/>
      <c r="I42" s="3313"/>
      <c r="J42" s="3313"/>
      <c r="K42" s="3313"/>
      <c r="L42" s="3313"/>
      <c r="M42" s="3313"/>
      <c r="N42" s="3313"/>
      <c r="O42" s="3313"/>
      <c r="P42" s="3313"/>
      <c r="Q42" s="3313"/>
      <c r="R42" s="3313"/>
    </row>
    <row r="43" spans="1:18" ht="14.25" hidden="1" outlineLevel="1">
      <c r="A43" s="3312" t="s">
        <v>3496</v>
      </c>
      <c r="B43" s="3309"/>
      <c r="C43" s="3313">
        <v>0</v>
      </c>
      <c r="D43" s="3313">
        <v>0</v>
      </c>
      <c r="E43" s="3313">
        <v>0</v>
      </c>
      <c r="F43" s="3313">
        <v>0</v>
      </c>
      <c r="G43" s="3313">
        <v>0</v>
      </c>
      <c r="H43" s="3313">
        <v>0</v>
      </c>
      <c r="I43" s="3313">
        <v>0</v>
      </c>
      <c r="J43" s="3313">
        <v>0</v>
      </c>
      <c r="K43" s="3313">
        <v>0</v>
      </c>
      <c r="L43" s="3313">
        <v>0</v>
      </c>
      <c r="M43" s="3313">
        <v>0</v>
      </c>
      <c r="N43" s="3313">
        <v>0</v>
      </c>
      <c r="O43" s="3313">
        <v>0</v>
      </c>
      <c r="P43" s="3313">
        <v>0</v>
      </c>
      <c r="Q43" s="3313">
        <v>0</v>
      </c>
      <c r="R43" s="3313">
        <v>0</v>
      </c>
    </row>
    <row r="44" spans="1:18" ht="14.25" hidden="1" outlineLevel="1">
      <c r="A44" s="3314" t="s">
        <v>3497</v>
      </c>
      <c r="B44" s="3309"/>
      <c r="C44" s="3313">
        <v>0</v>
      </c>
      <c r="D44" s="3313">
        <v>0</v>
      </c>
      <c r="E44" s="3313">
        <v>0</v>
      </c>
      <c r="F44" s="3313">
        <v>0</v>
      </c>
      <c r="G44" s="3313">
        <v>0</v>
      </c>
      <c r="H44" s="3313">
        <v>0</v>
      </c>
      <c r="I44" s="3313">
        <v>0</v>
      </c>
      <c r="J44" s="3313">
        <v>0</v>
      </c>
      <c r="K44" s="3313">
        <v>0</v>
      </c>
      <c r="L44" s="3313">
        <v>0</v>
      </c>
      <c r="M44" s="3313">
        <v>0</v>
      </c>
      <c r="N44" s="3313">
        <v>0</v>
      </c>
      <c r="O44" s="3313">
        <v>0</v>
      </c>
      <c r="P44" s="3313">
        <v>0</v>
      </c>
      <c r="Q44" s="3313">
        <v>0</v>
      </c>
      <c r="R44" s="3313">
        <v>0</v>
      </c>
    </row>
    <row r="45" spans="1:18" ht="14.25" hidden="1" outlineLevel="1">
      <c r="A45" s="3314" t="s">
        <v>3501</v>
      </c>
      <c r="B45" s="3309"/>
      <c r="C45" s="3313">
        <v>0</v>
      </c>
      <c r="D45" s="3313">
        <v>0</v>
      </c>
      <c r="E45" s="3313">
        <v>0</v>
      </c>
      <c r="F45" s="3313">
        <v>0</v>
      </c>
      <c r="G45" s="3313">
        <v>0</v>
      </c>
      <c r="H45" s="3313">
        <v>0</v>
      </c>
      <c r="I45" s="3313">
        <v>0</v>
      </c>
      <c r="J45" s="3313">
        <v>0</v>
      </c>
      <c r="K45" s="3313">
        <v>0</v>
      </c>
      <c r="L45" s="3313">
        <v>0</v>
      </c>
      <c r="M45" s="3313">
        <v>0</v>
      </c>
      <c r="N45" s="3313">
        <v>0</v>
      </c>
      <c r="O45" s="3313">
        <v>0</v>
      </c>
      <c r="P45" s="3313">
        <v>0</v>
      </c>
      <c r="Q45" s="3313">
        <v>0</v>
      </c>
      <c r="R45" s="3313">
        <v>0</v>
      </c>
    </row>
    <row r="46" spans="1:18" ht="14.25" hidden="1" outlineLevel="1">
      <c r="A46" s="3314" t="s">
        <v>3505</v>
      </c>
      <c r="B46" s="3309"/>
      <c r="C46" s="3313">
        <v>0</v>
      </c>
      <c r="D46" s="3313">
        <v>0</v>
      </c>
      <c r="E46" s="3313">
        <v>0</v>
      </c>
      <c r="F46" s="3313">
        <v>0</v>
      </c>
      <c r="G46" s="3313">
        <v>0</v>
      </c>
      <c r="H46" s="3313">
        <v>0</v>
      </c>
      <c r="I46" s="3313">
        <v>0</v>
      </c>
      <c r="J46" s="3313">
        <v>0</v>
      </c>
      <c r="K46" s="3313">
        <v>0</v>
      </c>
      <c r="L46" s="3313">
        <v>0</v>
      </c>
      <c r="M46" s="3313">
        <v>0</v>
      </c>
      <c r="N46" s="3313">
        <v>0</v>
      </c>
      <c r="O46" s="3313">
        <v>0</v>
      </c>
      <c r="P46" s="3313">
        <v>0</v>
      </c>
      <c r="Q46" s="3313">
        <v>0</v>
      </c>
      <c r="R46" s="3313">
        <v>0</v>
      </c>
    </row>
    <row r="47" spans="1:18" ht="14.25" hidden="1" outlineLevel="1">
      <c r="A47" s="3314" t="s">
        <v>3527</v>
      </c>
      <c r="B47" s="3309"/>
      <c r="C47" s="3313">
        <v>0</v>
      </c>
      <c r="D47" s="3313">
        <v>0</v>
      </c>
      <c r="E47" s="3313">
        <v>0</v>
      </c>
      <c r="F47" s="3313">
        <v>0</v>
      </c>
      <c r="G47" s="3313">
        <v>0</v>
      </c>
      <c r="H47" s="3313">
        <v>0</v>
      </c>
      <c r="I47" s="3313">
        <v>0</v>
      </c>
      <c r="J47" s="3313">
        <v>0</v>
      </c>
      <c r="K47" s="3313">
        <v>0</v>
      </c>
      <c r="L47" s="3313">
        <v>0</v>
      </c>
      <c r="M47" s="3313">
        <v>0</v>
      </c>
      <c r="N47" s="3313">
        <v>0</v>
      </c>
      <c r="O47" s="3313">
        <v>0</v>
      </c>
      <c r="P47" s="3313">
        <v>0</v>
      </c>
      <c r="Q47" s="3313">
        <v>0</v>
      </c>
      <c r="R47" s="3313">
        <v>0</v>
      </c>
    </row>
    <row r="48" spans="1:18" ht="14.25" hidden="1" outlineLevel="1">
      <c r="A48" s="3317"/>
      <c r="B48" s="3309"/>
      <c r="C48" s="3313"/>
      <c r="D48" s="3313"/>
      <c r="E48" s="3313"/>
      <c r="F48" s="3313"/>
      <c r="G48" s="3313"/>
      <c r="H48" s="3313"/>
      <c r="I48" s="3313"/>
      <c r="J48" s="3313"/>
      <c r="K48" s="3313"/>
      <c r="L48" s="3313"/>
      <c r="M48" s="3313"/>
      <c r="N48" s="3313"/>
      <c r="O48" s="3313"/>
      <c r="P48" s="3313"/>
      <c r="Q48" s="3313"/>
      <c r="R48" s="3313"/>
    </row>
    <row r="49" spans="1:21" ht="14.25" hidden="1" outlineLevel="1">
      <c r="A49" s="3312" t="s">
        <v>3509</v>
      </c>
      <c r="B49" s="3309"/>
      <c r="C49" s="3313">
        <v>0</v>
      </c>
      <c r="D49" s="3313">
        <v>0</v>
      </c>
      <c r="E49" s="3313">
        <v>0</v>
      </c>
      <c r="F49" s="3313">
        <v>0</v>
      </c>
      <c r="G49" s="3313">
        <v>0</v>
      </c>
      <c r="H49" s="3313">
        <v>0</v>
      </c>
      <c r="I49" s="3313">
        <v>0</v>
      </c>
      <c r="J49" s="3313">
        <v>0</v>
      </c>
      <c r="K49" s="3313">
        <v>0</v>
      </c>
      <c r="L49" s="3313">
        <v>0</v>
      </c>
      <c r="M49" s="3313">
        <v>0</v>
      </c>
      <c r="N49" s="3313">
        <v>0</v>
      </c>
      <c r="O49" s="3313">
        <v>0</v>
      </c>
      <c r="P49" s="3313">
        <v>0</v>
      </c>
      <c r="Q49" s="3313">
        <v>0</v>
      </c>
      <c r="R49" s="3313">
        <v>0</v>
      </c>
    </row>
    <row r="50" spans="1:21" ht="14.25" hidden="1" outlineLevel="1">
      <c r="A50" s="3317"/>
      <c r="B50" s="3309"/>
      <c r="C50" s="3313"/>
      <c r="D50" s="3313"/>
      <c r="E50" s="3313"/>
      <c r="F50" s="3313"/>
      <c r="G50" s="3313"/>
      <c r="H50" s="3313"/>
      <c r="I50" s="3313"/>
      <c r="J50" s="3313"/>
      <c r="K50" s="3313"/>
      <c r="L50" s="3313"/>
      <c r="M50" s="3313"/>
      <c r="N50" s="3313"/>
      <c r="O50" s="3313"/>
      <c r="P50" s="3313"/>
      <c r="Q50" s="3313"/>
      <c r="R50" s="3313"/>
    </row>
    <row r="51" spans="1:21" ht="14.25" hidden="1" outlineLevel="1">
      <c r="A51" s="3312" t="s">
        <v>3528</v>
      </c>
      <c r="B51" s="3309"/>
      <c r="C51" s="3313">
        <v>0</v>
      </c>
      <c r="D51" s="3313">
        <v>0</v>
      </c>
      <c r="E51" s="3313">
        <v>0</v>
      </c>
      <c r="F51" s="3313">
        <v>0</v>
      </c>
      <c r="G51" s="3313">
        <v>0</v>
      </c>
      <c r="H51" s="3313">
        <v>0</v>
      </c>
      <c r="I51" s="3313">
        <v>0</v>
      </c>
      <c r="J51" s="3313">
        <v>0</v>
      </c>
      <c r="K51" s="3313">
        <v>0</v>
      </c>
      <c r="L51" s="3313">
        <v>0</v>
      </c>
      <c r="M51" s="3313">
        <v>0</v>
      </c>
      <c r="N51" s="3313">
        <v>0</v>
      </c>
      <c r="O51" s="3313">
        <v>0</v>
      </c>
      <c r="P51" s="3313">
        <v>0</v>
      </c>
      <c r="Q51" s="3313">
        <v>0</v>
      </c>
      <c r="R51" s="3313">
        <v>0</v>
      </c>
    </row>
    <row r="52" spans="1:21" ht="14.25" hidden="1" outlineLevel="1">
      <c r="A52" s="3317"/>
      <c r="B52" s="3309"/>
      <c r="C52" s="3313"/>
      <c r="D52" s="3313"/>
      <c r="E52" s="3313"/>
      <c r="F52" s="3313"/>
      <c r="G52" s="3313"/>
      <c r="H52" s="3313"/>
      <c r="I52" s="3313"/>
      <c r="J52" s="3313"/>
      <c r="K52" s="3313"/>
      <c r="L52" s="3313"/>
      <c r="M52" s="3313"/>
      <c r="N52" s="3313"/>
      <c r="O52" s="3313"/>
      <c r="P52" s="3313"/>
      <c r="Q52" s="3313"/>
      <c r="R52" s="3313"/>
    </row>
    <row r="53" spans="1:21" ht="14.25" hidden="1" outlineLevel="1">
      <c r="A53" s="3312" t="s">
        <v>3510</v>
      </c>
      <c r="B53" s="3309"/>
      <c r="C53" s="3313">
        <v>0</v>
      </c>
      <c r="D53" s="3313">
        <v>0</v>
      </c>
      <c r="E53" s="3313">
        <v>0</v>
      </c>
      <c r="F53" s="3313">
        <v>0</v>
      </c>
      <c r="G53" s="3313">
        <v>0</v>
      </c>
      <c r="H53" s="3313">
        <v>0</v>
      </c>
      <c r="I53" s="3313">
        <v>0</v>
      </c>
      <c r="J53" s="3313">
        <v>0</v>
      </c>
      <c r="K53" s="3313">
        <v>0</v>
      </c>
      <c r="L53" s="3313">
        <v>0</v>
      </c>
      <c r="M53" s="3313">
        <v>0</v>
      </c>
      <c r="N53" s="3313">
        <v>0</v>
      </c>
      <c r="O53" s="3313">
        <v>0</v>
      </c>
      <c r="P53" s="3313">
        <v>0</v>
      </c>
      <c r="Q53" s="3313">
        <v>0</v>
      </c>
      <c r="R53" s="3313">
        <v>0</v>
      </c>
    </row>
    <row r="54" spans="1:21" ht="14.25" hidden="1" outlineLevel="1">
      <c r="A54" s="3315" t="s">
        <v>3511</v>
      </c>
      <c r="B54" s="3309"/>
      <c r="C54" s="3313">
        <v>0</v>
      </c>
      <c r="D54" s="3313">
        <v>0</v>
      </c>
      <c r="E54" s="3313">
        <v>0</v>
      </c>
      <c r="F54" s="3313">
        <v>0</v>
      </c>
      <c r="G54" s="3313">
        <v>0</v>
      </c>
      <c r="H54" s="3313">
        <v>0</v>
      </c>
      <c r="I54" s="3313">
        <v>0</v>
      </c>
      <c r="J54" s="3313">
        <v>0</v>
      </c>
      <c r="K54" s="3313">
        <v>0</v>
      </c>
      <c r="L54" s="3313">
        <v>0</v>
      </c>
      <c r="M54" s="3313">
        <v>0</v>
      </c>
      <c r="N54" s="3313">
        <v>0</v>
      </c>
      <c r="O54" s="3313">
        <v>0</v>
      </c>
      <c r="P54" s="3313">
        <v>0</v>
      </c>
      <c r="Q54" s="3313">
        <v>0</v>
      </c>
      <c r="R54" s="3313">
        <v>0</v>
      </c>
    </row>
    <row r="55" spans="1:21" ht="14.25" hidden="1" outlineLevel="1">
      <c r="A55" s="3315" t="s">
        <v>3512</v>
      </c>
      <c r="B55" s="3309"/>
      <c r="C55" s="3313">
        <v>0</v>
      </c>
      <c r="D55" s="3313">
        <v>0</v>
      </c>
      <c r="E55" s="3313">
        <v>0</v>
      </c>
      <c r="F55" s="3313">
        <v>0</v>
      </c>
      <c r="G55" s="3313">
        <v>0</v>
      </c>
      <c r="H55" s="3313">
        <v>0</v>
      </c>
      <c r="I55" s="3313">
        <v>0</v>
      </c>
      <c r="J55" s="3313">
        <v>0</v>
      </c>
      <c r="K55" s="3313">
        <v>0</v>
      </c>
      <c r="L55" s="3313">
        <v>0</v>
      </c>
      <c r="M55" s="3313">
        <v>0</v>
      </c>
      <c r="N55" s="3313">
        <v>0</v>
      </c>
      <c r="O55" s="3313">
        <v>0</v>
      </c>
      <c r="P55" s="3313">
        <v>0</v>
      </c>
      <c r="Q55" s="3313">
        <v>0</v>
      </c>
      <c r="R55" s="3313">
        <v>0</v>
      </c>
    </row>
    <row r="56" spans="1:21" ht="14.25" hidden="1" outlineLevel="1">
      <c r="A56" s="3315" t="s">
        <v>3513</v>
      </c>
      <c r="B56" s="3309"/>
      <c r="C56" s="3313">
        <v>0</v>
      </c>
      <c r="D56" s="3313">
        <v>0</v>
      </c>
      <c r="E56" s="3313">
        <v>0</v>
      </c>
      <c r="F56" s="3313">
        <v>0</v>
      </c>
      <c r="G56" s="3313">
        <v>0</v>
      </c>
      <c r="H56" s="3313">
        <v>0</v>
      </c>
      <c r="I56" s="3313">
        <v>0</v>
      </c>
      <c r="J56" s="3313">
        <v>0</v>
      </c>
      <c r="K56" s="3313">
        <v>0</v>
      </c>
      <c r="L56" s="3313">
        <v>0</v>
      </c>
      <c r="M56" s="3313">
        <v>0</v>
      </c>
      <c r="N56" s="3313">
        <v>0</v>
      </c>
      <c r="O56" s="3313">
        <v>0</v>
      </c>
      <c r="P56" s="3313">
        <v>0</v>
      </c>
      <c r="Q56" s="3313">
        <v>0</v>
      </c>
      <c r="R56" s="3313">
        <v>0</v>
      </c>
    </row>
    <row r="57" spans="1:21" ht="14.25" collapsed="1">
      <c r="A57" s="3312" t="s">
        <v>3529</v>
      </c>
      <c r="B57" s="3309"/>
      <c r="C57" s="3313">
        <v>750000</v>
      </c>
      <c r="D57" s="3313">
        <v>750000</v>
      </c>
      <c r="E57" s="3313">
        <v>750000</v>
      </c>
      <c r="F57" s="3313">
        <v>750000</v>
      </c>
      <c r="G57" s="3313">
        <v>750000</v>
      </c>
      <c r="H57" s="3313">
        <v>750000</v>
      </c>
      <c r="I57" s="3313">
        <v>750000</v>
      </c>
      <c r="J57" s="3313">
        <v>750000</v>
      </c>
      <c r="K57" s="3313">
        <v>750000</v>
      </c>
      <c r="L57" s="3313">
        <v>750000</v>
      </c>
      <c r="M57" s="3313">
        <v>750000</v>
      </c>
      <c r="N57" s="3313">
        <v>750000</v>
      </c>
      <c r="O57" s="3313">
        <v>750000</v>
      </c>
      <c r="P57" s="3313">
        <v>750000</v>
      </c>
      <c r="Q57" s="3313">
        <v>750000</v>
      </c>
      <c r="R57" s="3313">
        <v>750000</v>
      </c>
    </row>
    <row r="58" spans="1:21" ht="14.25">
      <c r="A58" s="3308"/>
      <c r="B58" s="3309"/>
      <c r="C58" s="3318"/>
      <c r="D58" s="3318"/>
      <c r="E58" s="3318"/>
      <c r="F58" s="3318"/>
      <c r="G58" s="3318"/>
      <c r="H58" s="3318"/>
      <c r="I58" s="3318"/>
      <c r="J58" s="3318"/>
      <c r="K58" s="3318"/>
      <c r="L58" s="3318"/>
      <c r="M58" s="3318"/>
      <c r="N58" s="3318"/>
      <c r="O58" s="3318"/>
      <c r="P58" s="3318"/>
      <c r="Q58" s="3318"/>
      <c r="R58" s="3318"/>
    </row>
    <row r="59" spans="1:21" s="3319" customFormat="1" ht="14.25">
      <c r="A59" s="3308" t="s">
        <v>3530</v>
      </c>
      <c r="B59" s="3309"/>
      <c r="C59" s="3310">
        <f>SUM(C60,C64,C70)</f>
        <v>2967213.4252211303</v>
      </c>
      <c r="D59" s="3310">
        <f t="shared" ref="D59:M59" si="3">SUM(D60,D64,D70)</f>
        <v>3333732.5354362498</v>
      </c>
      <c r="E59" s="3310">
        <f t="shared" si="3"/>
        <v>3528100.6122067934</v>
      </c>
      <c r="F59" s="3310">
        <f t="shared" si="3"/>
        <v>3758172.8610518388</v>
      </c>
      <c r="G59" s="3310">
        <f t="shared" si="3"/>
        <v>3994612.5701183197</v>
      </c>
      <c r="H59" s="3310">
        <f t="shared" si="3"/>
        <v>5702985.0521645797</v>
      </c>
      <c r="I59" s="3310">
        <f t="shared" si="3"/>
        <v>8102600.4357313802</v>
      </c>
      <c r="J59" s="3310">
        <f t="shared" si="3"/>
        <v>8468541.3984606192</v>
      </c>
      <c r="K59" s="3310">
        <f t="shared" si="3"/>
        <v>8772595.1263245344</v>
      </c>
      <c r="L59" s="3310">
        <f t="shared" si="3"/>
        <v>9112062.17072789</v>
      </c>
      <c r="M59" s="3310">
        <f t="shared" si="3"/>
        <v>9353846.4653625097</v>
      </c>
      <c r="N59" s="3310">
        <f>SUM(N60,N64,N70)</f>
        <v>9654678.5557680335</v>
      </c>
      <c r="O59" s="3310">
        <f t="shared" ref="O59:R59" si="4">SUM(O60,O64,O70)</f>
        <v>9911656.9368537329</v>
      </c>
      <c r="P59" s="3310">
        <f t="shared" si="4"/>
        <v>10200993.884776939</v>
      </c>
      <c r="Q59" s="3310">
        <f t="shared" si="4"/>
        <v>10499010.941137839</v>
      </c>
      <c r="R59" s="3310">
        <f t="shared" si="4"/>
        <v>10832903.372391351</v>
      </c>
    </row>
    <row r="60" spans="1:21" s="3319" customFormat="1" ht="14.25">
      <c r="A60" s="3312" t="s">
        <v>3531</v>
      </c>
      <c r="B60" s="3309"/>
      <c r="C60" s="3313">
        <f>SUM(C61:C63)</f>
        <v>21486.832386671038</v>
      </c>
      <c r="D60" s="3313">
        <f t="shared" ref="D60:R60" si="5">SUM(D61:D63)</f>
        <v>24168.302640832964</v>
      </c>
      <c r="E60" s="3313">
        <f t="shared" si="5"/>
        <v>25584.636577366236</v>
      </c>
      <c r="F60" s="3313">
        <f t="shared" si="5"/>
        <v>27278.422828189781</v>
      </c>
      <c r="G60" s="3313">
        <f t="shared" si="5"/>
        <v>28519.960026054487</v>
      </c>
      <c r="H60" s="3313">
        <f t="shared" si="5"/>
        <v>1572881.9005307639</v>
      </c>
      <c r="I60" s="3313">
        <f t="shared" si="5"/>
        <v>3778400.1872847266</v>
      </c>
      <c r="J60" s="3313">
        <f t="shared" si="5"/>
        <v>3974076.0667622392</v>
      </c>
      <c r="K60" s="3313">
        <f t="shared" si="5"/>
        <v>4118855.9402823877</v>
      </c>
      <c r="L60" s="3313">
        <f t="shared" si="5"/>
        <v>4280498.4108360596</v>
      </c>
      <c r="M60" s="3313">
        <f t="shared" si="5"/>
        <v>4406579.5378679233</v>
      </c>
      <c r="N60" s="3313">
        <f t="shared" si="5"/>
        <v>4547838.3967058342</v>
      </c>
      <c r="O60" s="3313">
        <f t="shared" si="5"/>
        <v>4670202.5663788486</v>
      </c>
      <c r="P60" s="3313">
        <f t="shared" si="5"/>
        <v>4807974.8180769971</v>
      </c>
      <c r="Q60" s="3313">
        <f t="shared" si="5"/>
        <v>4949880.2373260893</v>
      </c>
      <c r="R60" s="3313">
        <f t="shared" si="5"/>
        <v>5108868.3274387047</v>
      </c>
      <c r="S60" s="3320">
        <v>4547838.3967058351</v>
      </c>
      <c r="T60" s="3320">
        <v>4670202.5663788486</v>
      </c>
      <c r="U60" s="3320">
        <v>4807974.8180769971</v>
      </c>
    </row>
    <row r="61" spans="1:21" s="3319" customFormat="1" ht="14.25" outlineLevel="1">
      <c r="A61" s="3321" t="s">
        <v>3532</v>
      </c>
      <c r="B61" s="3309"/>
      <c r="C61" s="3318"/>
      <c r="D61" s="3318"/>
      <c r="E61" s="3318"/>
      <c r="F61" s="3318"/>
      <c r="G61" s="3318"/>
      <c r="H61" s="3318">
        <v>1377808.7466981709</v>
      </c>
      <c r="I61" s="3318">
        <v>3345733.8723444878</v>
      </c>
      <c r="J61" s="3318">
        <v>3519017.144629084</v>
      </c>
      <c r="K61" s="3318">
        <v>3647228.809303904</v>
      </c>
      <c r="L61" s="3318">
        <v>3790373.3619820257</v>
      </c>
      <c r="M61" s="3318">
        <v>3902026.1130709616</v>
      </c>
      <c r="N61" s="3318">
        <v>4027119.6117176558</v>
      </c>
      <c r="O61" s="3318">
        <v>4135480.850322817</v>
      </c>
      <c r="P61" s="3318">
        <v>4257486.8260619771</v>
      </c>
      <c r="Q61" s="3318">
        <v>4383152.9810733115</v>
      </c>
      <c r="R61" s="3318">
        <v>4523946.8158738883</v>
      </c>
    </row>
    <row r="62" spans="1:21" s="3319" customFormat="1" ht="14.25" outlineLevel="1">
      <c r="A62" s="3321" t="s">
        <v>3533</v>
      </c>
      <c r="B62" s="3309" t="s">
        <v>3534</v>
      </c>
      <c r="C62" s="3318"/>
      <c r="D62" s="3318"/>
      <c r="E62" s="3318"/>
      <c r="F62" s="3318"/>
      <c r="G62" s="3318"/>
      <c r="H62" s="3318">
        <f>H61*12%</f>
        <v>165337.0496037805</v>
      </c>
      <c r="I62" s="3318">
        <f>I61*12%</f>
        <v>401488.0646813385</v>
      </c>
      <c r="J62" s="3318">
        <v>422282.05735549011</v>
      </c>
      <c r="K62" s="3318">
        <v>437667.45711646846</v>
      </c>
      <c r="L62" s="3318">
        <v>454844.80343784305</v>
      </c>
      <c r="M62" s="3318">
        <v>468243.13356851542</v>
      </c>
      <c r="N62" s="3318">
        <v>483254.35340611869</v>
      </c>
      <c r="O62" s="3318">
        <v>496257.70203873806</v>
      </c>
      <c r="P62" s="3318">
        <v>510898.41912743723</v>
      </c>
      <c r="Q62" s="3318">
        <v>525978.35772879748</v>
      </c>
      <c r="R62" s="3318">
        <v>542873.61790486658</v>
      </c>
    </row>
    <row r="63" spans="1:21" s="3319" customFormat="1" ht="14.25" outlineLevel="1">
      <c r="A63" s="3321" t="s">
        <v>3535</v>
      </c>
      <c r="B63" s="3309"/>
      <c r="C63" s="3318">
        <v>21486.832386671038</v>
      </c>
      <c r="D63" s="3318">
        <v>24168.302640832964</v>
      </c>
      <c r="E63" s="3318">
        <v>25584.636577366236</v>
      </c>
      <c r="F63" s="3318">
        <v>27278.422828189781</v>
      </c>
      <c r="G63" s="3318">
        <v>28519.960026054487</v>
      </c>
      <c r="H63" s="3318">
        <v>29736.104228812561</v>
      </c>
      <c r="I63" s="3318">
        <v>31178.250258900458</v>
      </c>
      <c r="J63" s="3318">
        <v>32776.864777665251</v>
      </c>
      <c r="K63" s="3318">
        <v>33959.673862015574</v>
      </c>
      <c r="L63" s="3318">
        <v>35280.245416190228</v>
      </c>
      <c r="M63" s="3318">
        <v>36310.291228446462</v>
      </c>
      <c r="N63" s="3318">
        <v>37464.431582059988</v>
      </c>
      <c r="O63" s="3318">
        <v>38464.014017293019</v>
      </c>
      <c r="P63" s="3318">
        <v>39589.572887582341</v>
      </c>
      <c r="Q63" s="3318">
        <v>40748.898523980337</v>
      </c>
      <c r="R63" s="3318">
        <v>42047.893659948866</v>
      </c>
    </row>
    <row r="64" spans="1:21" s="3319" customFormat="1" ht="14.25">
      <c r="A64" s="3312" t="s">
        <v>3536</v>
      </c>
      <c r="B64" s="3309"/>
      <c r="C64" s="3313">
        <f>SUM(C65:C69)</f>
        <v>340384.03357500001</v>
      </c>
      <c r="D64" s="3313">
        <f t="shared" ref="D64:M64" si="6">SUM(D65:D69)</f>
        <v>384715.51330679609</v>
      </c>
      <c r="E64" s="3313">
        <f t="shared" si="6"/>
        <v>408225.55002971063</v>
      </c>
      <c r="F64" s="3313">
        <f t="shared" si="6"/>
        <v>436052.12450606469</v>
      </c>
      <c r="G64" s="3313">
        <f t="shared" si="6"/>
        <v>456424.23984900268</v>
      </c>
      <c r="H64" s="3313">
        <f t="shared" si="6"/>
        <v>476347.03909281397</v>
      </c>
      <c r="I64" s="3313">
        <f t="shared" si="6"/>
        <v>499996.63047176565</v>
      </c>
      <c r="J64" s="3313">
        <f t="shared" si="6"/>
        <v>526225.41668575222</v>
      </c>
      <c r="K64" s="3313">
        <f t="shared" si="6"/>
        <v>545632.00047516823</v>
      </c>
      <c r="L64" s="3313">
        <f t="shared" si="6"/>
        <v>567298.8804941749</v>
      </c>
      <c r="M64" s="3313">
        <f t="shared" si="6"/>
        <v>584199.04690900014</v>
      </c>
      <c r="N64" s="3313">
        <f>SUM(N65:N69)</f>
        <v>603133.65374961344</v>
      </c>
      <c r="O64" s="3313">
        <f t="shared" ref="O64:R64" si="7">SUM(O65:O69)</f>
        <v>619535.60486575821</v>
      </c>
      <c r="P64" s="3313">
        <f t="shared" si="7"/>
        <v>638002.87301173108</v>
      </c>
      <c r="Q64" s="3313">
        <f t="shared" si="7"/>
        <v>657024.15920208313</v>
      </c>
      <c r="R64" s="3313">
        <f t="shared" si="7"/>
        <v>678335.22601507942</v>
      </c>
      <c r="S64" s="3320">
        <v>603133.65374961332</v>
      </c>
      <c r="T64" s="3320">
        <v>619535.60486575821</v>
      </c>
      <c r="U64" s="3320">
        <v>638002.87301173108</v>
      </c>
    </row>
    <row r="65" spans="1:23" s="3319" customFormat="1" ht="14.25" outlineLevel="1">
      <c r="A65" s="3315" t="s">
        <v>3537</v>
      </c>
      <c r="B65" s="3309"/>
      <c r="C65" s="3318">
        <v>113461.34452500001</v>
      </c>
      <c r="D65" s="3318">
        <v>128238.5044355987</v>
      </c>
      <c r="E65" s="3318">
        <v>136075.18334323689</v>
      </c>
      <c r="F65" s="3318">
        <v>145350.70816868823</v>
      </c>
      <c r="G65" s="3318">
        <v>152141.4132830009</v>
      </c>
      <c r="H65" s="3318">
        <v>158782.34636427133</v>
      </c>
      <c r="I65" s="3318">
        <v>166665.54349058855</v>
      </c>
      <c r="J65" s="3318">
        <v>175408.47222858408</v>
      </c>
      <c r="K65" s="3318">
        <v>181877.33349172273</v>
      </c>
      <c r="L65" s="3318">
        <v>189099.62683139162</v>
      </c>
      <c r="M65" s="3318">
        <v>194733.01563633338</v>
      </c>
      <c r="N65" s="3318">
        <v>201044.55124987115</v>
      </c>
      <c r="O65" s="3318">
        <v>206511.86828858609</v>
      </c>
      <c r="P65" s="3318">
        <v>212667.62433724367</v>
      </c>
      <c r="Q65" s="3318">
        <v>219008.05306736103</v>
      </c>
      <c r="R65" s="3318">
        <v>226111.74200502646</v>
      </c>
    </row>
    <row r="66" spans="1:23" s="3319" customFormat="1" ht="14.25" outlineLevel="1">
      <c r="A66" s="3315" t="s">
        <v>3538</v>
      </c>
      <c r="B66" s="3309"/>
      <c r="C66" s="3318">
        <v>113461.34452500001</v>
      </c>
      <c r="D66" s="3318">
        <v>128238.5044355987</v>
      </c>
      <c r="E66" s="3318">
        <v>136075.18334323689</v>
      </c>
      <c r="F66" s="3318">
        <v>145350.70816868823</v>
      </c>
      <c r="G66" s="3318">
        <v>152141.4132830009</v>
      </c>
      <c r="H66" s="3318">
        <v>158782.34636427133</v>
      </c>
      <c r="I66" s="3318">
        <v>166665.54349058855</v>
      </c>
      <c r="J66" s="3318">
        <v>175408.47222858408</v>
      </c>
      <c r="K66" s="3318">
        <v>181877.33349172273</v>
      </c>
      <c r="L66" s="3318">
        <v>189099.62683139162</v>
      </c>
      <c r="M66" s="3318">
        <v>194733.01563633338</v>
      </c>
      <c r="N66" s="3318">
        <v>201044.55124987115</v>
      </c>
      <c r="O66" s="3318">
        <v>206511.86828858609</v>
      </c>
      <c r="P66" s="3318">
        <v>212667.62433724367</v>
      </c>
      <c r="Q66" s="3318">
        <v>219008.05306736103</v>
      </c>
      <c r="R66" s="3318">
        <v>226111.74200502646</v>
      </c>
    </row>
    <row r="67" spans="1:23" s="3319" customFormat="1" ht="14.25" outlineLevel="1">
      <c r="A67" s="3315" t="s">
        <v>3539</v>
      </c>
      <c r="B67" s="3309"/>
      <c r="C67" s="3318">
        <v>0</v>
      </c>
      <c r="D67" s="3318">
        <v>0</v>
      </c>
      <c r="E67" s="3318">
        <v>0</v>
      </c>
      <c r="F67" s="3318">
        <v>0</v>
      </c>
      <c r="G67" s="3318">
        <v>0</v>
      </c>
      <c r="H67" s="3318">
        <v>0</v>
      </c>
      <c r="I67" s="3318">
        <v>0</v>
      </c>
      <c r="J67" s="3318">
        <v>0</v>
      </c>
      <c r="K67" s="3318">
        <v>0</v>
      </c>
      <c r="L67" s="3318">
        <v>0</v>
      </c>
      <c r="M67" s="3318">
        <v>0</v>
      </c>
      <c r="N67" s="3318">
        <v>0</v>
      </c>
      <c r="O67" s="3318">
        <v>0</v>
      </c>
      <c r="P67" s="3318">
        <v>0</v>
      </c>
      <c r="Q67" s="3318">
        <v>0</v>
      </c>
      <c r="R67" s="3318">
        <v>0</v>
      </c>
    </row>
    <row r="68" spans="1:23" s="3319" customFormat="1" ht="14.25" outlineLevel="1">
      <c r="A68" s="3315" t="s">
        <v>3540</v>
      </c>
      <c r="B68" s="3309"/>
      <c r="C68" s="3318">
        <v>113461.34452500001</v>
      </c>
      <c r="D68" s="3318">
        <v>128238.5044355987</v>
      </c>
      <c r="E68" s="3318">
        <v>136075.18334323689</v>
      </c>
      <c r="F68" s="3318">
        <v>145350.70816868823</v>
      </c>
      <c r="G68" s="3318">
        <v>152141.4132830009</v>
      </c>
      <c r="H68" s="3318">
        <v>158782.34636427133</v>
      </c>
      <c r="I68" s="3318">
        <v>166665.54349058855</v>
      </c>
      <c r="J68" s="3318">
        <v>175408.47222858408</v>
      </c>
      <c r="K68" s="3318">
        <v>181877.33349172273</v>
      </c>
      <c r="L68" s="3318">
        <v>189099.62683139162</v>
      </c>
      <c r="M68" s="3318">
        <v>194733.01563633338</v>
      </c>
      <c r="N68" s="3318">
        <v>201044.55124987115</v>
      </c>
      <c r="O68" s="3318">
        <v>206511.86828858609</v>
      </c>
      <c r="P68" s="3318">
        <v>212667.62433724367</v>
      </c>
      <c r="Q68" s="3318">
        <v>219008.05306736103</v>
      </c>
      <c r="R68" s="3318">
        <v>226111.74200502646</v>
      </c>
    </row>
    <row r="69" spans="1:23" s="3319" customFormat="1" ht="14.25" outlineLevel="1">
      <c r="A69" s="3315" t="s">
        <v>3541</v>
      </c>
      <c r="B69" s="3309"/>
      <c r="C69" s="3318">
        <v>0</v>
      </c>
      <c r="D69" s="3318">
        <v>0</v>
      </c>
      <c r="E69" s="3318">
        <v>0</v>
      </c>
      <c r="F69" s="3318">
        <v>0</v>
      </c>
      <c r="G69" s="3318">
        <v>0</v>
      </c>
      <c r="H69" s="3318">
        <v>0</v>
      </c>
      <c r="I69" s="3318">
        <v>0</v>
      </c>
      <c r="J69" s="3318">
        <v>0</v>
      </c>
      <c r="K69" s="3318">
        <v>0</v>
      </c>
      <c r="L69" s="3318">
        <v>0</v>
      </c>
      <c r="M69" s="3318">
        <v>0</v>
      </c>
      <c r="N69" s="3318">
        <v>0</v>
      </c>
      <c r="O69" s="3318">
        <v>0</v>
      </c>
      <c r="P69" s="3318">
        <v>0</v>
      </c>
      <c r="Q69" s="3318">
        <v>0</v>
      </c>
      <c r="R69" s="3318">
        <v>0</v>
      </c>
    </row>
    <row r="70" spans="1:23" s="3319" customFormat="1" ht="14.25">
      <c r="A70" s="3312" t="s">
        <v>3542</v>
      </c>
      <c r="B70" s="3309"/>
      <c r="C70" s="3313">
        <f>SUM(C71:C74)</f>
        <v>2605342.5592594594</v>
      </c>
      <c r="D70" s="3313">
        <f t="shared" ref="D70:O70" si="8">SUM(D71:D74)</f>
        <v>2924848.7194886208</v>
      </c>
      <c r="E70" s="3313">
        <f t="shared" si="8"/>
        <v>3094290.4255997166</v>
      </c>
      <c r="F70" s="3313">
        <f t="shared" si="8"/>
        <v>3294842.3137175841</v>
      </c>
      <c r="G70" s="3313">
        <f t="shared" si="8"/>
        <v>3509668.3702432625</v>
      </c>
      <c r="H70" s="3313">
        <f t="shared" si="8"/>
        <v>3653756.1125410018</v>
      </c>
      <c r="I70" s="3313">
        <f t="shared" si="8"/>
        <v>3824203.6179748876</v>
      </c>
      <c r="J70" s="3313">
        <f t="shared" si="8"/>
        <v>3968239.9150126288</v>
      </c>
      <c r="K70" s="3313">
        <f t="shared" si="8"/>
        <v>4108107.1855669785</v>
      </c>
      <c r="L70" s="3313">
        <f t="shared" si="8"/>
        <v>4264264.8793976568</v>
      </c>
      <c r="M70" s="3313">
        <f t="shared" si="8"/>
        <v>4363067.8805855867</v>
      </c>
      <c r="N70" s="3313">
        <f t="shared" si="8"/>
        <v>4503706.5053125862</v>
      </c>
      <c r="O70" s="3313">
        <f t="shared" si="8"/>
        <v>4621918.7656091265</v>
      </c>
      <c r="P70" s="3313">
        <f>SUM(P71:P74)</f>
        <v>4755016.1936882101</v>
      </c>
      <c r="Q70" s="3313">
        <f t="shared" ref="Q70:R70" si="9">SUM(Q71:Q74)</f>
        <v>4892106.5446096659</v>
      </c>
      <c r="R70" s="3313">
        <f t="shared" si="9"/>
        <v>5045699.8189375671</v>
      </c>
      <c r="S70" s="3320">
        <v>4503706.5053125871</v>
      </c>
      <c r="T70" s="3320">
        <v>4621918.7656091265</v>
      </c>
      <c r="U70" s="3320">
        <v>4755016.1936882101</v>
      </c>
    </row>
    <row r="71" spans="1:23" s="3319" customFormat="1" ht="14.25" outlineLevel="1">
      <c r="A71" s="3315" t="s">
        <v>3543</v>
      </c>
      <c r="B71" s="3322" t="s">
        <v>3544</v>
      </c>
      <c r="C71" s="3313">
        <v>76318</v>
      </c>
      <c r="D71" s="3313">
        <v>76318</v>
      </c>
      <c r="E71" s="3313">
        <v>76318</v>
      </c>
      <c r="F71" s="3313">
        <v>76318</v>
      </c>
      <c r="G71" s="3313">
        <v>144318.00000000003</v>
      </c>
      <c r="H71" s="3313">
        <v>144818.00000000003</v>
      </c>
      <c r="I71" s="3313">
        <v>144818.00000000003</v>
      </c>
      <c r="J71" s="3313">
        <v>99818</v>
      </c>
      <c r="K71" s="3313">
        <v>99818</v>
      </c>
      <c r="L71" s="3313">
        <v>99818</v>
      </c>
      <c r="M71" s="3313">
        <v>76818</v>
      </c>
      <c r="N71" s="3313">
        <v>80990.989839697606</v>
      </c>
      <c r="O71" s="3313">
        <v>80990.989839697606</v>
      </c>
      <c r="P71" s="3313">
        <v>80990.989839697606</v>
      </c>
      <c r="Q71" s="3313">
        <v>80990.989839697606</v>
      </c>
      <c r="R71" s="3313">
        <v>80990.989839697606</v>
      </c>
    </row>
    <row r="72" spans="1:23" s="3319" customFormat="1" ht="14.25" outlineLevel="1">
      <c r="A72" s="3315" t="s">
        <v>3545</v>
      </c>
      <c r="B72" s="3323" t="s">
        <v>3546</v>
      </c>
      <c r="C72" s="3313">
        <v>86941.379799999995</v>
      </c>
      <c r="D72" s="3313">
        <v>86941.379799999995</v>
      </c>
      <c r="E72" s="3313">
        <v>86941.379799999995</v>
      </c>
      <c r="F72" s="3313">
        <v>86941.379799999995</v>
      </c>
      <c r="G72" s="3313">
        <v>86941.379799999995</v>
      </c>
      <c r="H72" s="3313">
        <v>86941.379799999995</v>
      </c>
      <c r="I72" s="3313">
        <v>86941.379799999995</v>
      </c>
      <c r="J72" s="3313">
        <v>86941.379799999995</v>
      </c>
      <c r="K72" s="3313">
        <v>86941.379799999995</v>
      </c>
      <c r="L72" s="3313">
        <v>86941.379799999995</v>
      </c>
      <c r="M72" s="3313">
        <v>86941.379799999995</v>
      </c>
      <c r="N72" s="3313">
        <v>86941.379799999995</v>
      </c>
      <c r="O72" s="3313">
        <v>86941.379799999995</v>
      </c>
      <c r="P72" s="3313">
        <v>86941.379799999995</v>
      </c>
      <c r="Q72" s="3313">
        <v>86941.379799999995</v>
      </c>
      <c r="R72" s="3313">
        <v>86941.379799999995</v>
      </c>
    </row>
    <row r="73" spans="1:23" s="3319" customFormat="1" ht="14.25" outlineLevel="1">
      <c r="A73" s="3315" t="s">
        <v>3547</v>
      </c>
      <c r="B73" s="3322">
        <v>0.12</v>
      </c>
      <c r="C73" s="3313">
        <v>2424677.7194594597</v>
      </c>
      <c r="D73" s="3313">
        <v>2744183.8796886206</v>
      </c>
      <c r="E73" s="3313">
        <v>2913625.5857997164</v>
      </c>
      <c r="F73" s="3313">
        <v>3114177.4739175839</v>
      </c>
      <c r="G73" s="3313">
        <v>3261003.5304432623</v>
      </c>
      <c r="H73" s="3313">
        <v>3404591.2727410016</v>
      </c>
      <c r="I73" s="3313">
        <v>3575038.7781748874</v>
      </c>
      <c r="J73" s="3313">
        <v>3764075.0752126286</v>
      </c>
      <c r="K73" s="3313">
        <v>3903942.3457669783</v>
      </c>
      <c r="L73" s="3313">
        <v>4060100.0395976566</v>
      </c>
      <c r="M73" s="3313">
        <v>4181903.0407855865</v>
      </c>
      <c r="N73" s="3313">
        <v>4318368.6756728888</v>
      </c>
      <c r="O73" s="3313">
        <v>4436580.9359694291</v>
      </c>
      <c r="P73" s="3313">
        <v>4569678.3640485127</v>
      </c>
      <c r="Q73" s="3313">
        <v>4706768.7149699684</v>
      </c>
      <c r="R73" s="3313">
        <v>4860361.9892978696</v>
      </c>
    </row>
    <row r="74" spans="1:23" s="3319" customFormat="1" ht="14.25" outlineLevel="1">
      <c r="A74" s="3315" t="s">
        <v>3548</v>
      </c>
      <c r="B74" s="3309">
        <v>18</v>
      </c>
      <c r="C74" s="3313">
        <v>17405.46</v>
      </c>
      <c r="D74" s="3313">
        <v>17405.46</v>
      </c>
      <c r="E74" s="3313">
        <v>17405.46</v>
      </c>
      <c r="F74" s="3313">
        <v>17405.46</v>
      </c>
      <c r="G74" s="3313">
        <v>17405.46</v>
      </c>
      <c r="H74" s="3313">
        <v>17405.46</v>
      </c>
      <c r="I74" s="3313">
        <v>17405.46</v>
      </c>
      <c r="J74" s="3313">
        <v>17405.46</v>
      </c>
      <c r="K74" s="3313">
        <v>17405.46</v>
      </c>
      <c r="L74" s="3313">
        <v>17405.46</v>
      </c>
      <c r="M74" s="3313">
        <v>17405.46</v>
      </c>
      <c r="N74" s="3313">
        <v>17405.46</v>
      </c>
      <c r="O74" s="3313">
        <v>17405.46</v>
      </c>
      <c r="P74" s="3313">
        <v>17405.46</v>
      </c>
      <c r="Q74" s="3313">
        <v>17405.46</v>
      </c>
      <c r="R74" s="3313">
        <v>17405.46</v>
      </c>
    </row>
    <row r="75" spans="1:23" ht="14.25">
      <c r="A75" s="3312"/>
      <c r="B75" s="3324"/>
      <c r="C75" s="3318"/>
      <c r="D75" s="3318"/>
      <c r="E75" s="3318"/>
      <c r="F75" s="3318"/>
      <c r="G75" s="3318"/>
      <c r="H75" s="3318"/>
      <c r="I75" s="3318"/>
      <c r="J75" s="3318"/>
      <c r="K75" s="3318"/>
      <c r="L75" s="3318"/>
      <c r="M75" s="3318"/>
      <c r="N75" s="3318"/>
      <c r="O75" s="3318"/>
      <c r="P75" s="3318"/>
      <c r="Q75" s="3318"/>
      <c r="R75" s="3318"/>
    </row>
    <row r="76" spans="1:23" ht="14.25">
      <c r="A76" s="3308" t="s">
        <v>3549</v>
      </c>
      <c r="B76" s="3324"/>
      <c r="C76" s="3325">
        <f>C6-C59</f>
        <v>20475055.479778871</v>
      </c>
      <c r="D76" s="3325">
        <f t="shared" ref="D76:R76" si="10">D6-D59</f>
        <v>23063968.35168349</v>
      </c>
      <c r="E76" s="3325">
        <f t="shared" si="10"/>
        <v>24436936.056440581</v>
      </c>
      <c r="F76" s="3325">
        <f t="shared" si="10"/>
        <v>26061968.772685807</v>
      </c>
      <c r="G76" s="3325">
        <f t="shared" si="10"/>
        <v>27183670.086481862</v>
      </c>
      <c r="H76" s="3325">
        <f t="shared" si="10"/>
        <v>26803484.220689688</v>
      </c>
      <c r="I76" s="3325">
        <f t="shared" si="10"/>
        <v>25980508.262386329</v>
      </c>
      <c r="J76" s="3325">
        <f t="shared" si="10"/>
        <v>27363153.047256194</v>
      </c>
      <c r="K76" s="3325">
        <f t="shared" si="10"/>
        <v>28352871.572020009</v>
      </c>
      <c r="L76" s="3325">
        <f t="shared" si="10"/>
        <v>29457863.195550431</v>
      </c>
      <c r="M76" s="3325">
        <f t="shared" si="10"/>
        <v>30342756.661904164</v>
      </c>
      <c r="N76" s="3325">
        <f>N6-N59</f>
        <v>31304231.694206186</v>
      </c>
      <c r="O76" s="3325">
        <f t="shared" ref="O76" si="11">O6-O59</f>
        <v>32140716.72086348</v>
      </c>
      <c r="P76" s="3325">
        <f t="shared" si="10"/>
        <v>33082530.982671794</v>
      </c>
      <c r="Q76" s="3325">
        <f t="shared" si="10"/>
        <v>34052599.672334373</v>
      </c>
      <c r="R76" s="3325">
        <f t="shared" si="10"/>
        <v>35139445.028613947</v>
      </c>
      <c r="S76" s="3311">
        <v>31304231.694206193</v>
      </c>
      <c r="T76" s="3311">
        <v>32140716.72086348</v>
      </c>
      <c r="U76" s="3311">
        <v>33082530.982671801</v>
      </c>
      <c r="V76" s="3311">
        <v>34052599.672334366</v>
      </c>
      <c r="W76" s="3311">
        <v>35139445.02861394</v>
      </c>
    </row>
    <row r="77" spans="1:23" ht="14.25">
      <c r="A77" s="3326"/>
      <c r="B77" s="3324"/>
      <c r="C77" s="3327"/>
      <c r="D77" s="3327"/>
      <c r="E77" s="3327"/>
      <c r="F77" s="3327"/>
      <c r="G77" s="3327"/>
      <c r="H77" s="3327"/>
      <c r="I77" s="3327"/>
      <c r="J77" s="3327"/>
      <c r="K77" s="3327"/>
      <c r="L77" s="3327"/>
      <c r="M77" s="3327"/>
      <c r="N77" s="3327"/>
      <c r="O77" s="3327"/>
      <c r="P77" s="3327"/>
      <c r="Q77" s="3327"/>
      <c r="R77" s="3327"/>
    </row>
    <row r="79" spans="1:23">
      <c r="A79" s="3328" t="s">
        <v>3550</v>
      </c>
      <c r="B79" s="3329">
        <v>0.06</v>
      </c>
    </row>
    <row r="80" spans="1:23">
      <c r="A80" s="3328" t="s">
        <v>3551</v>
      </c>
      <c r="B80" s="3329"/>
      <c r="D80" s="3298">
        <v>0.5</v>
      </c>
      <c r="E80" s="3298">
        <v>1</v>
      </c>
      <c r="F80" s="3298">
        <v>1</v>
      </c>
      <c r="G80" s="3298">
        <v>1</v>
      </c>
      <c r="H80" s="3298">
        <v>1</v>
      </c>
      <c r="I80" s="3298">
        <v>1</v>
      </c>
      <c r="J80" s="3298">
        <v>1</v>
      </c>
      <c r="K80" s="3298">
        <v>1</v>
      </c>
      <c r="L80" s="3298">
        <v>1</v>
      </c>
      <c r="M80" s="3298">
        <v>1</v>
      </c>
      <c r="N80" s="3298">
        <v>1</v>
      </c>
      <c r="O80" s="3298">
        <v>1</v>
      </c>
      <c r="P80" s="3298">
        <v>1</v>
      </c>
      <c r="Q80" s="3298">
        <v>1</v>
      </c>
      <c r="R80" s="3298">
        <v>1</v>
      </c>
    </row>
    <row r="81" spans="4:18">
      <c r="D81" s="3330">
        <f>D76/10000/(1+$B$79)^SUM($D$80:D80)</f>
        <v>2240.1706389845549</v>
      </c>
      <c r="E81" s="3330">
        <f>E76/10000/(1+$B$79)^SUM($D$80:E80)</f>
        <v>2239.1745765046426</v>
      </c>
      <c r="F81" s="3330">
        <f>F76/10000/(1+$B$79)^SUM($D$80:F80)</f>
        <v>2252.9033298421341</v>
      </c>
      <c r="G81" s="3330">
        <f>G76/10000/(1+$B$79)^SUM($D$80:G80)</f>
        <v>2216.8564017598333</v>
      </c>
      <c r="H81" s="3330">
        <f>H76/10000/(1+$B$79)^SUM($D$80:H80)</f>
        <v>2062.1243880341308</v>
      </c>
      <c r="I81" s="3330">
        <f>I76/10000/(1+$B$79)^SUM($D$80:I80)</f>
        <v>1885.6686641252197</v>
      </c>
      <c r="J81" s="3330">
        <f>J76/10000/(1+$B$79)^SUM($D$80:J80)</f>
        <v>1873.6049077301116</v>
      </c>
      <c r="K81" s="3330">
        <f>K76/10000/(1+$B$79)^SUM($D$80:K80)</f>
        <v>1831.4837141949563</v>
      </c>
      <c r="L81" s="3330">
        <f>L76/10000/(1+$B$79)^SUM($D$80:L80)</f>
        <v>1795.1526569127118</v>
      </c>
      <c r="M81" s="3330">
        <f>M76/10000/(1+$B$79)^SUM($D$80:M80)</f>
        <v>1744.4129986709845</v>
      </c>
      <c r="N81" s="3330">
        <f>N76/10000/(1+$B$79)^SUM($D$80:N80)</f>
        <v>1697.8192916815171</v>
      </c>
      <c r="O81" s="3330">
        <f>O76/10000/(1+$B$79)^SUM($D$80:O80)</f>
        <v>1644.5160125064106</v>
      </c>
      <c r="P81" s="3330">
        <f>P76/10000/(1+$B$79)^SUM($D$80:P80)</f>
        <v>1596.8915105567953</v>
      </c>
      <c r="Q81" s="3330">
        <f>Q76/10000/(1+$B$79)^SUM($D$80:Q80)</f>
        <v>1550.6760942813371</v>
      </c>
      <c r="R81" s="3330">
        <f>R76/10000/(1+$B$79)^SUM($D$80:R80)</f>
        <v>1509.592925453758</v>
      </c>
    </row>
  </sheetData>
  <phoneticPr fontId="144" type="noConversion"/>
  <conditionalFormatting sqref="C3:M3">
    <cfRule type="notContainsBlanks" dxfId="57" priority="12">
      <formula>LEN(TRIM(C3))&gt;0</formula>
    </cfRule>
  </conditionalFormatting>
  <conditionalFormatting sqref="C4:M4">
    <cfRule type="notContainsBlanks" dxfId="56" priority="11">
      <formula>LEN(TRIM(C4))&gt;0</formula>
    </cfRule>
  </conditionalFormatting>
  <conditionalFormatting sqref="R4">
    <cfRule type="notContainsBlanks" dxfId="55" priority="10">
      <formula>LEN(TRIM(R4))&gt;0</formula>
    </cfRule>
  </conditionalFormatting>
  <conditionalFormatting sqref="Q3">
    <cfRule type="notContainsBlanks" dxfId="54" priority="9">
      <formula>LEN(TRIM(Q3))&gt;0</formula>
    </cfRule>
  </conditionalFormatting>
  <conditionalFormatting sqref="Q4">
    <cfRule type="notContainsBlanks" dxfId="53" priority="8">
      <formula>LEN(TRIM(Q4))&gt;0</formula>
    </cfRule>
  </conditionalFormatting>
  <conditionalFormatting sqref="P3">
    <cfRule type="notContainsBlanks" dxfId="52" priority="7">
      <formula>LEN(TRIM(P3))&gt;0</formula>
    </cfRule>
  </conditionalFormatting>
  <conditionalFormatting sqref="P4">
    <cfRule type="notContainsBlanks" dxfId="51" priority="6">
      <formula>LEN(TRIM(P4))&gt;0</formula>
    </cfRule>
  </conditionalFormatting>
  <conditionalFormatting sqref="O3">
    <cfRule type="notContainsBlanks" dxfId="50" priority="5">
      <formula>LEN(TRIM(O3))&gt;0</formula>
    </cfRule>
  </conditionalFormatting>
  <conditionalFormatting sqref="O4">
    <cfRule type="notContainsBlanks" dxfId="49" priority="4">
      <formula>LEN(TRIM(O4))&gt;0</formula>
    </cfRule>
  </conditionalFormatting>
  <conditionalFormatting sqref="N3">
    <cfRule type="notContainsBlanks" dxfId="48" priority="3">
      <formula>LEN(TRIM(N3))&gt;0</formula>
    </cfRule>
  </conditionalFormatting>
  <conditionalFormatting sqref="N4">
    <cfRule type="notContainsBlanks" dxfId="47" priority="2">
      <formula>LEN(TRIM(N4))&gt;0</formula>
    </cfRule>
  </conditionalFormatting>
  <conditionalFormatting sqref="R3">
    <cfRule type="notContainsBlanks" dxfId="46" priority="1">
      <formula>LEN(TRIM(R3))&gt;0</formula>
    </cfRule>
  </conditionalFormatting>
  <pageMargins left="0.7" right="0.7" top="0.75" bottom="0.75" header="0.3" footer="0.3"/>
  <pageSetup paperSize="9" scale="6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D22" sqref="D22"/>
    </sheetView>
  </sheetViews>
  <sheetFormatPr defaultColWidth="8.875" defaultRowHeight="13.5"/>
  <cols>
    <col min="1" max="1" width="5.875" style="3336" customWidth="1"/>
    <col min="2" max="2" width="6.625" style="3336" customWidth="1"/>
    <col min="3" max="3" width="13.5" style="3336" customWidth="1"/>
    <col min="4" max="4" width="36.125" style="3336" customWidth="1"/>
    <col min="5" max="6" width="11.5" style="3336" customWidth="1"/>
    <col min="7" max="7" width="6" style="3336" customWidth="1"/>
    <col min="8" max="8" width="16.875" style="3352" customWidth="1"/>
    <col min="9" max="9" width="10.125" style="3336" bestFit="1" customWidth="1"/>
    <col min="10" max="34" width="8.875" style="3336"/>
    <col min="35" max="16384" width="8.875" style="3294"/>
  </cols>
  <sheetData>
    <row r="1" spans="1:34" ht="21" customHeight="1">
      <c r="A1" s="3332" t="s">
        <v>3552</v>
      </c>
      <c r="B1" s="3332" t="s">
        <v>3553</v>
      </c>
      <c r="C1" s="3332" t="s">
        <v>3554</v>
      </c>
      <c r="D1" s="3332" t="s">
        <v>3555</v>
      </c>
      <c r="E1" s="3333" t="s">
        <v>3556</v>
      </c>
      <c r="F1" s="3333"/>
      <c r="G1" s="3333" t="s">
        <v>3557</v>
      </c>
      <c r="H1" s="3334" t="s">
        <v>3558</v>
      </c>
      <c r="I1" s="3335"/>
    </row>
    <row r="2" spans="1:34" ht="21" customHeight="1">
      <c r="A2" s="3332"/>
      <c r="B2" s="3332"/>
      <c r="C2" s="3332"/>
      <c r="D2" s="3332"/>
      <c r="E2" s="3337" t="s">
        <v>3559</v>
      </c>
      <c r="F2" s="3337" t="s">
        <v>3560</v>
      </c>
      <c r="G2" s="3333"/>
      <c r="H2" s="3334"/>
    </row>
    <row r="3" spans="1:34" ht="30.75" customHeight="1">
      <c r="A3" s="3336">
        <v>1</v>
      </c>
      <c r="B3" s="3336">
        <v>1</v>
      </c>
      <c r="C3" s="3336">
        <v>562</v>
      </c>
      <c r="D3" s="3338" t="s">
        <v>3561</v>
      </c>
      <c r="E3" s="3339">
        <v>41456</v>
      </c>
      <c r="F3" s="3339">
        <v>43646</v>
      </c>
      <c r="G3" s="3336">
        <v>11</v>
      </c>
      <c r="H3" s="3338" t="s">
        <v>3562</v>
      </c>
      <c r="J3" s="3336">
        <f>G3*C3</f>
        <v>6182</v>
      </c>
    </row>
    <row r="4" spans="1:34" s="3345" customFormat="1" ht="30.75" customHeight="1">
      <c r="A4" s="3340">
        <v>2</v>
      </c>
      <c r="B4" s="3341">
        <v>1</v>
      </c>
      <c r="C4" s="3340">
        <v>226.9</v>
      </c>
      <c r="D4" s="3342" t="s">
        <v>3563</v>
      </c>
      <c r="E4" s="3343">
        <v>42901</v>
      </c>
      <c r="F4" s="3343">
        <v>44726</v>
      </c>
      <c r="G4" s="3340">
        <v>10.5</v>
      </c>
      <c r="H4" s="3344" t="s">
        <v>3564</v>
      </c>
      <c r="I4" s="3341"/>
      <c r="J4" s="3341">
        <f>G4*C4</f>
        <v>2382.4500000000003</v>
      </c>
      <c r="K4" s="3341"/>
      <c r="L4" s="3341"/>
      <c r="M4" s="3341"/>
      <c r="N4" s="3341"/>
      <c r="O4" s="3341"/>
      <c r="P4" s="3341"/>
      <c r="Q4" s="3341"/>
      <c r="R4" s="3341"/>
      <c r="S4" s="3341"/>
      <c r="T4" s="3341"/>
      <c r="U4" s="3341"/>
      <c r="V4" s="3341"/>
      <c r="W4" s="3341"/>
      <c r="X4" s="3341"/>
      <c r="Y4" s="3341"/>
      <c r="Z4" s="3341"/>
      <c r="AA4" s="3341"/>
      <c r="AB4" s="3341"/>
      <c r="AC4" s="3341"/>
      <c r="AD4" s="3341"/>
      <c r="AE4" s="3341"/>
      <c r="AF4" s="3341"/>
      <c r="AG4" s="3341"/>
      <c r="AH4" s="3341"/>
    </row>
    <row r="5" spans="1:34" s="3345" customFormat="1" ht="30.75" customHeight="1">
      <c r="A5" s="3340"/>
      <c r="B5" s="3341">
        <v>2</v>
      </c>
      <c r="C5" s="3340"/>
      <c r="D5" s="3340"/>
      <c r="E5" s="3343"/>
      <c r="F5" s="3343"/>
      <c r="G5" s="3340"/>
      <c r="H5" s="3344"/>
      <c r="I5" s="3341"/>
      <c r="J5" s="3341"/>
      <c r="K5" s="3341"/>
      <c r="L5" s="3341"/>
      <c r="M5" s="3341"/>
      <c r="N5" s="3341"/>
      <c r="O5" s="3341"/>
      <c r="P5" s="3341"/>
      <c r="Q5" s="3341"/>
      <c r="R5" s="3341"/>
      <c r="S5" s="3341"/>
      <c r="T5" s="3341"/>
      <c r="U5" s="3341"/>
      <c r="V5" s="3341"/>
      <c r="W5" s="3341"/>
      <c r="X5" s="3341"/>
      <c r="Y5" s="3341"/>
      <c r="Z5" s="3341"/>
      <c r="AA5" s="3341"/>
      <c r="AB5" s="3341"/>
      <c r="AC5" s="3341"/>
      <c r="AD5" s="3341"/>
      <c r="AE5" s="3341"/>
      <c r="AF5" s="3341"/>
      <c r="AG5" s="3341"/>
      <c r="AH5" s="3341"/>
    </row>
    <row r="6" spans="1:34" ht="30.75" customHeight="1">
      <c r="A6" s="3346">
        <v>3</v>
      </c>
      <c r="B6" s="3347">
        <v>2</v>
      </c>
      <c r="C6" s="3336">
        <v>1239.8</v>
      </c>
      <c r="D6" s="3332" t="s">
        <v>3565</v>
      </c>
      <c r="E6" s="3348">
        <v>42705</v>
      </c>
      <c r="F6" s="3349">
        <v>43799</v>
      </c>
      <c r="G6" s="3336">
        <v>8.5</v>
      </c>
      <c r="H6" s="3350" t="s">
        <v>3566</v>
      </c>
      <c r="J6" s="3336">
        <f>G6*C6</f>
        <v>10538.3</v>
      </c>
      <c r="K6" s="3336">
        <f>(J6+J4+J3)/([1]抵押物清单!I2+[1]抵押物清单!I3)</f>
        <v>9.0780025566818257</v>
      </c>
    </row>
    <row r="7" spans="1:34" ht="30.75" customHeight="1">
      <c r="A7" s="3346"/>
      <c r="B7" s="3336">
        <v>6</v>
      </c>
      <c r="C7" s="3336">
        <v>931.91</v>
      </c>
      <c r="D7" s="3332"/>
      <c r="E7" s="3348"/>
      <c r="F7" s="3349"/>
      <c r="G7" s="3336">
        <v>6.1</v>
      </c>
      <c r="H7" s="3350"/>
      <c r="J7" s="3336">
        <f>C7*G7</f>
        <v>5684.6509999999998</v>
      </c>
    </row>
    <row r="8" spans="1:34" ht="30.75" customHeight="1">
      <c r="A8" s="3346"/>
      <c r="B8" s="3336">
        <v>7</v>
      </c>
      <c r="C8" s="3336">
        <v>931.91</v>
      </c>
      <c r="D8" s="3332"/>
      <c r="E8" s="3348"/>
      <c r="F8" s="3349"/>
      <c r="G8" s="3336">
        <v>6.1</v>
      </c>
      <c r="H8" s="3350"/>
      <c r="J8" s="3336">
        <f t="shared" ref="J8:J9" si="0">C8*G8</f>
        <v>5684.6509999999998</v>
      </c>
      <c r="K8" s="3336">
        <f>SUM(J7:J14)/([1]抵押物清单!I104-SUM([1]抵押物清单!I71:I81))</f>
        <v>5.8705431700819002</v>
      </c>
    </row>
    <row r="9" spans="1:34" ht="30.75" customHeight="1">
      <c r="A9" s="3346"/>
      <c r="B9" s="3336">
        <v>8</v>
      </c>
      <c r="C9" s="3336">
        <v>931.91</v>
      </c>
      <c r="D9" s="3332"/>
      <c r="E9" s="3348"/>
      <c r="F9" s="3349"/>
      <c r="G9" s="3336">
        <v>6.1</v>
      </c>
      <c r="H9" s="3350"/>
      <c r="J9" s="3336">
        <f t="shared" si="0"/>
        <v>5684.6509999999998</v>
      </c>
    </row>
    <row r="10" spans="1:34" ht="30.75" customHeight="1">
      <c r="A10" s="3346">
        <v>4</v>
      </c>
      <c r="B10" s="3336">
        <v>3</v>
      </c>
      <c r="C10" s="3346">
        <v>2820.04</v>
      </c>
      <c r="D10" s="3332" t="s">
        <v>3567</v>
      </c>
      <c r="E10" s="3348">
        <v>41214</v>
      </c>
      <c r="F10" s="3348">
        <v>43404</v>
      </c>
      <c r="G10" s="3336">
        <v>5.2</v>
      </c>
      <c r="H10" s="3351" t="s">
        <v>3568</v>
      </c>
      <c r="J10" s="3336">
        <f>C10*G10</f>
        <v>14664.208000000001</v>
      </c>
    </row>
    <row r="11" spans="1:34" ht="30.75" customHeight="1">
      <c r="A11" s="3346"/>
      <c r="B11" s="3336">
        <v>4</v>
      </c>
      <c r="C11" s="3346"/>
      <c r="D11" s="3346"/>
      <c r="E11" s="3346"/>
      <c r="F11" s="3346"/>
      <c r="G11" s="3336">
        <v>5.2</v>
      </c>
      <c r="H11" s="3351"/>
    </row>
    <row r="12" spans="1:34" ht="30.75" customHeight="1">
      <c r="A12" s="3346"/>
      <c r="B12" s="3336">
        <v>5</v>
      </c>
      <c r="C12" s="3346"/>
      <c r="D12" s="3346"/>
      <c r="E12" s="3346"/>
      <c r="F12" s="3346"/>
      <c r="G12" s="3336">
        <v>5.2</v>
      </c>
      <c r="H12" s="3351"/>
    </row>
    <row r="13" spans="1:34" ht="30.75" customHeight="1">
      <c r="A13" s="3336">
        <v>5</v>
      </c>
      <c r="B13" s="3336">
        <v>9</v>
      </c>
    </row>
    <row r="14" spans="1:34" ht="30.75" customHeight="1">
      <c r="A14" s="3346">
        <v>6</v>
      </c>
      <c r="B14" s="3336">
        <v>10</v>
      </c>
      <c r="C14" s="3346">
        <v>1984.98</v>
      </c>
      <c r="D14" s="3332" t="s">
        <v>3569</v>
      </c>
      <c r="E14" s="3348">
        <v>42901</v>
      </c>
      <c r="F14" s="3348">
        <v>44726</v>
      </c>
      <c r="G14" s="3346">
        <v>6.5</v>
      </c>
      <c r="H14" s="3351" t="s">
        <v>3570</v>
      </c>
      <c r="J14" s="3336">
        <f>C14*G14</f>
        <v>12902.37</v>
      </c>
    </row>
    <row r="15" spans="1:34" ht="30.75" customHeight="1">
      <c r="A15" s="3346"/>
      <c r="B15" s="3336">
        <v>11</v>
      </c>
      <c r="C15" s="3346"/>
      <c r="D15" s="3346"/>
      <c r="E15" s="3346"/>
      <c r="F15" s="3346"/>
      <c r="G15" s="3346"/>
      <c r="H15" s="3351"/>
    </row>
    <row r="16" spans="1:34" ht="30.75" customHeight="1">
      <c r="A16" s="3336">
        <v>7</v>
      </c>
      <c r="B16" s="3336">
        <v>-1</v>
      </c>
    </row>
    <row r="17" spans="1:8" ht="30.75" customHeight="1">
      <c r="A17" s="3336">
        <v>8</v>
      </c>
      <c r="B17" s="3336">
        <v>-1</v>
      </c>
      <c r="C17" s="3347" t="s">
        <v>3571</v>
      </c>
      <c r="D17" s="3347" t="s">
        <v>3569</v>
      </c>
      <c r="E17" s="3339">
        <v>42901</v>
      </c>
      <c r="F17" s="3339">
        <v>44726</v>
      </c>
      <c r="G17" s="3336">
        <v>1000</v>
      </c>
      <c r="H17" s="3338" t="s">
        <v>3572</v>
      </c>
    </row>
  </sheetData>
  <mergeCells count="32">
    <mergeCell ref="H10:H12"/>
    <mergeCell ref="A14:A15"/>
    <mergeCell ref="C14:C15"/>
    <mergeCell ref="D14:D15"/>
    <mergeCell ref="E14:E15"/>
    <mergeCell ref="F14:F15"/>
    <mergeCell ref="G14:G15"/>
    <mergeCell ref="H14:H15"/>
    <mergeCell ref="A6:A9"/>
    <mergeCell ref="D6:D9"/>
    <mergeCell ref="E6:E9"/>
    <mergeCell ref="F6:F9"/>
    <mergeCell ref="H6:H9"/>
    <mergeCell ref="A10:A12"/>
    <mergeCell ref="C10:C12"/>
    <mergeCell ref="D10:D12"/>
    <mergeCell ref="E10:E12"/>
    <mergeCell ref="F10:F12"/>
    <mergeCell ref="H1:H2"/>
    <mergeCell ref="A4:A5"/>
    <mergeCell ref="C4:C5"/>
    <mergeCell ref="D4:D5"/>
    <mergeCell ref="E4:E5"/>
    <mergeCell ref="F4:F5"/>
    <mergeCell ref="G4:G5"/>
    <mergeCell ref="H4:H5"/>
    <mergeCell ref="A1:A2"/>
    <mergeCell ref="B1:B2"/>
    <mergeCell ref="C1:C2"/>
    <mergeCell ref="D1:D2"/>
    <mergeCell ref="E1:F1"/>
    <mergeCell ref="G1:G2"/>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67" t="s">
        <v>2693</v>
      </c>
      <c r="C1" s="1618" t="s">
        <v>2521</v>
      </c>
      <c r="D1" s="1619"/>
      <c r="E1" s="1628"/>
      <c r="F1" s="2582"/>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6" t="e">
        <f ca="1">IF(C2="——",ROUND(C43*D3/10000,0),ROUND(C43*D3/10000,0)-D2)</f>
        <v>#DIV/0!</v>
      </c>
      <c r="C2" s="2584"/>
      <c r="D2" s="1122" t="e">
        <f ca="1">SUMIF(INDIRECT("'"&amp;F2&amp;"'"&amp;"!A:A"),"承租人权益价值",INDIRECT("'"&amp;F2&amp;"'"&amp;"!c:c"))</f>
        <v>#REF!</v>
      </c>
      <c r="E2" s="2585" t="s">
        <v>2319</v>
      </c>
      <c r="F2" s="2586"/>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11628.210000000001</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29" ht="15">
      <c r="A5" s="404"/>
      <c r="B5" s="405"/>
      <c r="C5" s="3185" t="s">
        <v>2533</v>
      </c>
      <c r="D5" s="3186"/>
      <c r="E5" s="3183" t="s">
        <v>2534</v>
      </c>
      <c r="F5" s="3184"/>
      <c r="G5" s="3185" t="s">
        <v>2535</v>
      </c>
      <c r="H5" s="3186"/>
      <c r="I5" s="3185" t="s">
        <v>2536</v>
      </c>
      <c r="J5" s="3186"/>
      <c r="K5" s="610"/>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77" t="s">
        <v>2540</v>
      </c>
      <c r="Q7" s="3205"/>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77" t="s">
        <v>2543</v>
      </c>
      <c r="Q8" s="3178"/>
      <c r="R8" s="770" t="s">
        <v>17</v>
      </c>
      <c r="S8" s="771">
        <f t="shared" si="0"/>
        <v>0</v>
      </c>
      <c r="T8" s="770" t="s">
        <v>17</v>
      </c>
      <c r="U8" s="771">
        <f t="shared" si="1"/>
        <v>0</v>
      </c>
      <c r="V8" s="770" t="s">
        <v>17</v>
      </c>
      <c r="W8" s="771">
        <f t="shared" si="2"/>
        <v>0</v>
      </c>
      <c r="X8" s="772"/>
      <c r="Y8" s="3177" t="s">
        <v>2543</v>
      </c>
      <c r="Z8" s="317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09"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09"/>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09"/>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20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20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209"/>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2550</v>
      </c>
      <c r="B15" s="69" t="s">
        <v>2694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1" t="s">
        <v>2551</v>
      </c>
      <c r="Q15" s="1808" t="str">
        <f t="shared" si="6"/>
        <v>产业集聚程度</v>
      </c>
      <c r="R15" s="774" t="s">
        <v>17</v>
      </c>
      <c r="S15" s="775">
        <f t="shared" si="0"/>
        <v>100</v>
      </c>
      <c r="T15" s="774" t="s">
        <v>17</v>
      </c>
      <c r="U15" s="775">
        <f t="shared" si="1"/>
        <v>100</v>
      </c>
      <c r="V15" s="774" t="s">
        <v>17</v>
      </c>
      <c r="W15" s="775">
        <f t="shared" si="2"/>
        <v>100</v>
      </c>
      <c r="X15" s="1811"/>
      <c r="Y15" s="3211"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12"/>
      <c r="Q16" s="1808"/>
      <c r="R16" s="774"/>
      <c r="S16" s="775"/>
      <c r="T16" s="774"/>
      <c r="U16" s="775"/>
      <c r="V16" s="774"/>
      <c r="W16" s="775"/>
      <c r="X16" s="1811"/>
      <c r="Y16" s="3212"/>
      <c r="Z16" s="1812"/>
      <c r="AA16" s="1809">
        <v>1</v>
      </c>
      <c r="AB16" s="1809">
        <v>1</v>
      </c>
      <c r="AC16" s="1809">
        <v>1</v>
      </c>
    </row>
    <row r="17" spans="1:29" ht="85.5">
      <c r="A17" s="428"/>
      <c r="B17" s="451" t="s">
        <v>2089</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2"/>
      <c r="Q17" s="1808" t="str">
        <f>B17</f>
        <v>交通便捷度</v>
      </c>
      <c r="R17" s="774" t="s">
        <v>17</v>
      </c>
      <c r="S17" s="775">
        <f>F17</f>
        <v>100</v>
      </c>
      <c r="T17" s="774" t="s">
        <v>17</v>
      </c>
      <c r="U17" s="775">
        <f>H17</f>
        <v>100</v>
      </c>
      <c r="V17" s="774" t="s">
        <v>17</v>
      </c>
      <c r="W17" s="775">
        <f>J17</f>
        <v>100</v>
      </c>
      <c r="X17" s="1811"/>
      <c r="Y17" s="3212"/>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8"/>
      <c r="M18" s="1129"/>
      <c r="N18" s="1129"/>
      <c r="O18" s="1137"/>
      <c r="P18" s="3212"/>
      <c r="Q18" s="1808"/>
      <c r="R18" s="774"/>
      <c r="S18" s="775"/>
      <c r="T18" s="774"/>
      <c r="U18" s="775"/>
      <c r="V18" s="774"/>
      <c r="W18" s="775"/>
      <c r="X18" s="1811"/>
      <c r="Y18" s="3212"/>
      <c r="Z18" s="1812"/>
      <c r="AA18" s="1809">
        <v>1</v>
      </c>
      <c r="AB18" s="1809">
        <v>1</v>
      </c>
      <c r="AC18" s="1809">
        <v>1</v>
      </c>
    </row>
    <row r="19" spans="1:29" ht="42.75">
      <c r="A19" s="428"/>
      <c r="B19" s="451" t="s">
        <v>2679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2"/>
      <c r="Q19" s="1808" t="str">
        <f>B19</f>
        <v>公共配套设施</v>
      </c>
      <c r="R19" s="774" t="s">
        <v>17</v>
      </c>
      <c r="S19" s="775">
        <f>F19</f>
        <v>100</v>
      </c>
      <c r="T19" s="774" t="s">
        <v>17</v>
      </c>
      <c r="U19" s="775">
        <f>H19</f>
        <v>100</v>
      </c>
      <c r="V19" s="774" t="s">
        <v>17</v>
      </c>
      <c r="W19" s="775">
        <f>J19</f>
        <v>100</v>
      </c>
      <c r="X19" s="1811"/>
      <c r="Y19" s="3212"/>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8"/>
      <c r="M20" s="1129"/>
      <c r="N20" s="1129"/>
      <c r="O20" s="1137"/>
      <c r="P20" s="3212"/>
      <c r="Q20" s="1808"/>
      <c r="R20" s="774"/>
      <c r="S20" s="775"/>
      <c r="T20" s="774"/>
      <c r="U20" s="775"/>
      <c r="V20" s="774"/>
      <c r="W20" s="775"/>
      <c r="X20" s="1811"/>
      <c r="Y20" s="3212"/>
      <c r="Z20" s="1812"/>
      <c r="AA20" s="1809">
        <v>1</v>
      </c>
      <c r="AB20" s="1809">
        <v>1</v>
      </c>
      <c r="AC20" s="1809">
        <v>1</v>
      </c>
    </row>
    <row r="21" spans="1:29" ht="28.5">
      <c r="A21" s="428"/>
      <c r="B21" s="1382" t="s">
        <v>2680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2"/>
      <c r="Q21" s="1808" t="str">
        <f>B21</f>
        <v>基础设施水平</v>
      </c>
      <c r="R21" s="774" t="s">
        <v>17</v>
      </c>
      <c r="S21" s="775">
        <f>F21</f>
        <v>100</v>
      </c>
      <c r="T21" s="774" t="s">
        <v>17</v>
      </c>
      <c r="U21" s="775">
        <f>H21</f>
        <v>100</v>
      </c>
      <c r="V21" s="774" t="s">
        <v>17</v>
      </c>
      <c r="W21" s="775">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9"/>
      <c r="G22" s="447"/>
      <c r="H22" s="448"/>
      <c r="I22" s="447"/>
      <c r="J22" s="448"/>
      <c r="K22" s="1381"/>
      <c r="L22" s="1138"/>
      <c r="M22" s="1129"/>
      <c r="N22" s="1129"/>
      <c r="O22" s="1137"/>
      <c r="P22" s="3212"/>
      <c r="Q22" s="1808"/>
      <c r="R22" s="774"/>
      <c r="S22" s="775"/>
      <c r="T22" s="774"/>
      <c r="U22" s="775"/>
      <c r="V22" s="774"/>
      <c r="W22" s="775"/>
      <c r="X22" s="1811"/>
      <c r="Y22" s="3212"/>
      <c r="Z22" s="1812"/>
      <c r="AA22" s="1809">
        <v>1</v>
      </c>
      <c r="AB22" s="1809">
        <v>1</v>
      </c>
      <c r="AC22" s="1809">
        <v>1</v>
      </c>
    </row>
    <row r="23" spans="1:29" ht="71.25">
      <c r="A23" s="428"/>
      <c r="B23" s="451" t="s">
        <v>2681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2"/>
      <c r="Q23" s="1808" t="str">
        <f>B23</f>
        <v>环境质量</v>
      </c>
      <c r="R23" s="774" t="s">
        <v>17</v>
      </c>
      <c r="S23" s="775">
        <f>F23</f>
        <v>100</v>
      </c>
      <c r="T23" s="774" t="s">
        <v>17</v>
      </c>
      <c r="U23" s="775">
        <f>H23</f>
        <v>100</v>
      </c>
      <c r="V23" s="774" t="s">
        <v>17</v>
      </c>
      <c r="W23" s="775">
        <f>J23</f>
        <v>100</v>
      </c>
      <c r="X23" s="1811"/>
      <c r="Y23" s="3212"/>
      <c r="Z23" s="1812" t="str">
        <f>Q23</f>
        <v>环境质量</v>
      </c>
      <c r="AA23" s="1809">
        <f t="shared" si="3"/>
        <v>1</v>
      </c>
      <c r="AB23" s="1809">
        <f t="shared" si="4"/>
        <v>1</v>
      </c>
      <c r="AC23" s="1809">
        <f t="shared" si="5"/>
        <v>1</v>
      </c>
    </row>
    <row r="24" spans="1:29" ht="15">
      <c r="A24" s="428"/>
      <c r="B24" s="1382"/>
      <c r="C24" s="447"/>
      <c r="D24" s="448"/>
      <c r="E24" s="2603"/>
      <c r="F24" s="449"/>
      <c r="G24" s="2602"/>
      <c r="H24" s="448"/>
      <c r="I24" s="2603"/>
      <c r="J24" s="448"/>
      <c r="K24" s="615"/>
      <c r="L24" s="1138"/>
      <c r="M24" s="1129"/>
      <c r="N24" s="1129"/>
      <c r="O24" s="1137"/>
      <c r="P24" s="3212"/>
      <c r="Q24" s="1808"/>
      <c r="R24" s="774"/>
      <c r="S24" s="775"/>
      <c r="T24" s="774"/>
      <c r="U24" s="775"/>
      <c r="V24" s="774"/>
      <c r="W24" s="775"/>
      <c r="X24" s="1811"/>
      <c r="Y24" s="3212"/>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2"/>
      <c r="Q25" s="1808">
        <f>B25</f>
        <v>111</v>
      </c>
      <c r="R25" s="774" t="s">
        <v>17</v>
      </c>
      <c r="S25" s="775">
        <f>F25</f>
        <v>100</v>
      </c>
      <c r="T25" s="774" t="s">
        <v>17</v>
      </c>
      <c r="U25" s="775">
        <f>H25</f>
        <v>100</v>
      </c>
      <c r="V25" s="774" t="s">
        <v>17</v>
      </c>
      <c r="W25" s="775">
        <f>J25</f>
        <v>100</v>
      </c>
      <c r="X25" s="1811"/>
      <c r="Y25" s="3212"/>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2"/>
      <c r="Q26" s="1808">
        <f t="shared" ref="Q26:Q40" si="11">B26</f>
        <v>111</v>
      </c>
      <c r="R26" s="774" t="s">
        <v>17</v>
      </c>
      <c r="S26" s="775">
        <f>F26</f>
        <v>100</v>
      </c>
      <c r="T26" s="774" t="s">
        <v>17</v>
      </c>
      <c r="U26" s="775">
        <f>H26</f>
        <v>100</v>
      </c>
      <c r="V26" s="774" t="s">
        <v>17</v>
      </c>
      <c r="W26" s="775">
        <f>J26</f>
        <v>100</v>
      </c>
      <c r="X26" s="1811"/>
      <c r="Y26" s="3212"/>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2"/>
      <c r="Q27" s="1793">
        <f t="shared" si="11"/>
        <v>111</v>
      </c>
      <c r="R27" s="770" t="s">
        <v>17</v>
      </c>
      <c r="S27" s="771">
        <f>F27</f>
        <v>100</v>
      </c>
      <c r="T27" s="770" t="s">
        <v>17</v>
      </c>
      <c r="U27" s="771">
        <f>H27</f>
        <v>100</v>
      </c>
      <c r="V27" s="770" t="s">
        <v>17</v>
      </c>
      <c r="W27" s="771">
        <f>J27</f>
        <v>100</v>
      </c>
      <c r="X27" s="772"/>
      <c r="Y27" s="3212"/>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2"/>
      <c r="Q28" s="1808">
        <f t="shared" si="11"/>
        <v>111</v>
      </c>
      <c r="R28" s="774" t="s">
        <v>17</v>
      </c>
      <c r="S28" s="775">
        <f t="shared" ref="S28:S40" si="12">F28</f>
        <v>100</v>
      </c>
      <c r="T28" s="774" t="s">
        <v>17</v>
      </c>
      <c r="U28" s="775">
        <f t="shared" ref="U28:U40" si="13">H28</f>
        <v>100</v>
      </c>
      <c r="V28" s="774" t="s">
        <v>17</v>
      </c>
      <c r="W28" s="775">
        <f t="shared" ref="W28:W40" si="14">J28</f>
        <v>100</v>
      </c>
      <c r="X28" s="1811"/>
      <c r="Y28" s="3212"/>
      <c r="Z28" s="1812">
        <f t="shared" ref="Z28:Z40" si="15">Q28</f>
        <v>111</v>
      </c>
      <c r="AA28" s="1809">
        <f t="shared" si="3"/>
        <v>1</v>
      </c>
      <c r="AB28" s="1809">
        <f t="shared" si="4"/>
        <v>1</v>
      </c>
      <c r="AC28" s="1809">
        <f t="shared" si="5"/>
        <v>1</v>
      </c>
    </row>
    <row r="29" spans="1:29" ht="15">
      <c r="A29" s="466" t="s">
        <v>2554</v>
      </c>
      <c r="B29" s="71" t="s">
        <v>2684</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35" t="s">
        <v>2556</v>
      </c>
      <c r="Q29" s="1808" t="str">
        <f t="shared" si="11"/>
        <v>建筑类型</v>
      </c>
      <c r="R29" s="774" t="s">
        <v>17</v>
      </c>
      <c r="S29" s="775">
        <f t="shared" si="12"/>
        <v>100</v>
      </c>
      <c r="T29" s="774" t="s">
        <v>17</v>
      </c>
      <c r="U29" s="775">
        <f t="shared" si="13"/>
        <v>100</v>
      </c>
      <c r="V29" s="774" t="s">
        <v>17</v>
      </c>
      <c r="W29" s="775">
        <f t="shared" si="14"/>
        <v>100</v>
      </c>
      <c r="X29" s="1811"/>
      <c r="Y29" s="3216"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16"/>
      <c r="Q31" s="1808" t="str">
        <f t="shared" si="11"/>
        <v>建筑结构</v>
      </c>
      <c r="R31" s="774" t="s">
        <v>17</v>
      </c>
      <c r="S31" s="775">
        <f t="shared" si="12"/>
        <v>100</v>
      </c>
      <c r="T31" s="774" t="s">
        <v>17</v>
      </c>
      <c r="U31" s="775">
        <f t="shared" si="13"/>
        <v>100</v>
      </c>
      <c r="V31" s="774" t="s">
        <v>17</v>
      </c>
      <c r="W31" s="775">
        <f t="shared" si="14"/>
        <v>100</v>
      </c>
      <c r="X31" s="1811"/>
      <c r="Y31" s="3216"/>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16"/>
      <c r="Q32" s="1808" t="str">
        <f t="shared" si="11"/>
        <v>公共部分装修</v>
      </c>
      <c r="R32" s="774" t="s">
        <v>17</v>
      </c>
      <c r="S32" s="775">
        <f t="shared" si="12"/>
        <v>100</v>
      </c>
      <c r="T32" s="774" t="s">
        <v>17</v>
      </c>
      <c r="U32" s="775">
        <f t="shared" si="13"/>
        <v>100</v>
      </c>
      <c r="V32" s="774" t="s">
        <v>17</v>
      </c>
      <c r="W32" s="775">
        <f t="shared" si="14"/>
        <v>100</v>
      </c>
      <c r="X32" s="1811"/>
      <c r="Y32" s="3216"/>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16"/>
      <c r="Q33" s="1808" t="str">
        <f t="shared" si="11"/>
        <v>成新度</v>
      </c>
      <c r="R33" s="774" t="s">
        <v>17</v>
      </c>
      <c r="S33" s="775" t="e">
        <f t="shared" si="12"/>
        <v>#N/A</v>
      </c>
      <c r="T33" s="774" t="s">
        <v>17</v>
      </c>
      <c r="U33" s="775" t="e">
        <f t="shared" si="13"/>
        <v>#N/A</v>
      </c>
      <c r="V33" s="774" t="s">
        <v>17</v>
      </c>
      <c r="W33" s="775" t="e">
        <f t="shared" si="14"/>
        <v>#N/A</v>
      </c>
      <c r="X33" s="1811"/>
      <c r="Y33" s="3216"/>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16"/>
      <c r="Q34" s="1793"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16" t="s">
        <v>2556</v>
      </c>
      <c r="Q35" s="1808" t="str">
        <f t="shared" si="11"/>
        <v>市政基础设施</v>
      </c>
      <c r="R35" s="774" t="s">
        <v>17</v>
      </c>
      <c r="S35" s="775">
        <f t="shared" si="12"/>
        <v>100</v>
      </c>
      <c r="T35" s="774" t="s">
        <v>17</v>
      </c>
      <c r="U35" s="775">
        <f t="shared" si="13"/>
        <v>100</v>
      </c>
      <c r="V35" s="774" t="s">
        <v>17</v>
      </c>
      <c r="W35" s="775">
        <f t="shared" si="14"/>
        <v>100</v>
      </c>
      <c r="X35" s="1811"/>
      <c r="Y35" s="3216"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16"/>
      <c r="Q36" s="1808" t="str">
        <f t="shared" si="11"/>
        <v>内部装修</v>
      </c>
      <c r="R36" s="774" t="s">
        <v>17</v>
      </c>
      <c r="S36" s="775">
        <f t="shared" si="12"/>
        <v>100</v>
      </c>
      <c r="T36" s="774" t="s">
        <v>17</v>
      </c>
      <c r="U36" s="775">
        <f t="shared" si="13"/>
        <v>100</v>
      </c>
      <c r="V36" s="774" t="s">
        <v>17</v>
      </c>
      <c r="W36" s="775">
        <f t="shared" si="14"/>
        <v>100</v>
      </c>
      <c r="X36" s="1811"/>
      <c r="Y36" s="3216"/>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16"/>
      <c r="Q37" s="1808" t="str">
        <f t="shared" si="11"/>
        <v>内部装修状况</v>
      </c>
      <c r="R37" s="774" t="s">
        <v>17</v>
      </c>
      <c r="S37" s="775">
        <f t="shared" si="12"/>
        <v>100</v>
      </c>
      <c r="T37" s="774" t="s">
        <v>17</v>
      </c>
      <c r="U37" s="775">
        <f t="shared" si="13"/>
        <v>100</v>
      </c>
      <c r="V37" s="774" t="s">
        <v>17</v>
      </c>
      <c r="W37" s="775">
        <f t="shared" si="14"/>
        <v>100</v>
      </c>
      <c r="X37" s="1811"/>
      <c r="Y37" s="3216"/>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16"/>
      <c r="Q39" s="1808">
        <f t="shared" si="11"/>
        <v>111</v>
      </c>
      <c r="R39" s="774" t="s">
        <v>17</v>
      </c>
      <c r="S39" s="775">
        <f t="shared" si="12"/>
        <v>100</v>
      </c>
      <c r="T39" s="774" t="s">
        <v>17</v>
      </c>
      <c r="U39" s="775">
        <f t="shared" si="13"/>
        <v>100</v>
      </c>
      <c r="V39" s="774" t="s">
        <v>17</v>
      </c>
      <c r="W39" s="775">
        <f t="shared" si="14"/>
        <v>100</v>
      </c>
      <c r="X39" s="1811"/>
      <c r="Y39" s="3216"/>
      <c r="Z39" s="1812">
        <f t="shared" si="15"/>
        <v>111</v>
      </c>
      <c r="AA39" s="1809">
        <f t="shared" si="3"/>
        <v>1</v>
      </c>
      <c r="AB39" s="1809">
        <f t="shared" si="4"/>
        <v>1</v>
      </c>
      <c r="AC39" s="1809">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7"/>
      <c r="Q40" s="1808">
        <f t="shared" si="11"/>
        <v>111</v>
      </c>
      <c r="R40" s="774" t="s">
        <v>17</v>
      </c>
      <c r="S40" s="775">
        <f t="shared" si="12"/>
        <v>100</v>
      </c>
      <c r="T40" s="774" t="s">
        <v>17</v>
      </c>
      <c r="U40" s="775">
        <f t="shared" si="13"/>
        <v>100</v>
      </c>
      <c r="V40" s="774" t="s">
        <v>17</v>
      </c>
      <c r="W40" s="775">
        <f t="shared" si="14"/>
        <v>100</v>
      </c>
      <c r="X40" s="1811"/>
      <c r="Y40" s="3217"/>
      <c r="Z40" s="1812">
        <f t="shared" si="15"/>
        <v>111</v>
      </c>
      <c r="AA40" s="1809">
        <f t="shared" si="3"/>
        <v>1</v>
      </c>
      <c r="AB40" s="1809">
        <f t="shared" si="4"/>
        <v>1</v>
      </c>
      <c r="AC40" s="1809">
        <f t="shared" si="5"/>
        <v>1</v>
      </c>
    </row>
    <row r="41" spans="1:29" ht="15">
      <c r="A41" s="479" t="s">
        <v>2568</v>
      </c>
      <c r="B41" s="480"/>
      <c r="C41" s="1405" t="s">
        <v>1</v>
      </c>
      <c r="D41" s="1406"/>
      <c r="E41" s="1407"/>
      <c r="F41" s="1408"/>
      <c r="G41" s="1409"/>
      <c r="H41" s="1410"/>
      <c r="I41" s="1407"/>
      <c r="J41" s="1410"/>
      <c r="K41" s="783"/>
      <c r="L41" s="1141"/>
      <c r="M41" s="1142"/>
      <c r="N41" s="1129"/>
      <c r="O41" s="1142"/>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2660</v>
      </c>
      <c r="B42" s="487"/>
      <c r="C42" s="1411" t="e">
        <f>R43</f>
        <v>#DIV/0!</v>
      </c>
      <c r="D42" s="1412"/>
      <c r="E42" s="1413" t="e">
        <f>R42</f>
        <v>#DIV/0!</v>
      </c>
      <c r="F42" s="1413"/>
      <c r="G42" s="1411" t="e">
        <f>T42</f>
        <v>#DIV/0!</v>
      </c>
      <c r="H42" s="1412"/>
      <c r="I42" s="1413" t="e">
        <f>V42</f>
        <v>#DIV/0!</v>
      </c>
      <c r="J42" s="1412"/>
      <c r="K42" s="784"/>
      <c r="L42" s="1141"/>
      <c r="M42" s="1142"/>
      <c r="N42" s="1129"/>
      <c r="O42" s="1142"/>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2661</v>
      </c>
      <c r="B43" s="493"/>
      <c r="C43" s="1415" t="e">
        <f>R43</f>
        <v>#DIV/0!</v>
      </c>
      <c r="D43" s="1415"/>
      <c r="E43" s="1415"/>
      <c r="F43" s="1415"/>
      <c r="G43" s="1415"/>
      <c r="H43" s="1415"/>
      <c r="I43" s="1415"/>
      <c r="J43" s="1415"/>
      <c r="K43" s="785"/>
      <c r="L43" s="1141"/>
      <c r="M43" s="1142"/>
      <c r="N43" s="1142"/>
      <c r="O43" s="1142"/>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2665</v>
      </c>
      <c r="B51" s="759"/>
      <c r="C51" s="764"/>
      <c r="D51" s="764"/>
      <c r="E51" s="764"/>
      <c r="F51" s="765"/>
      <c r="G51" s="765"/>
      <c r="H51" s="764"/>
      <c r="I51" s="764"/>
      <c r="J51" s="764"/>
      <c r="K51" s="1158"/>
      <c r="L51" s="1159"/>
      <c r="M51" s="1157"/>
      <c r="N51" s="1157"/>
      <c r="O51" s="1157"/>
      <c r="P51" s="503"/>
      <c r="Q51" s="504"/>
    </row>
    <row r="52" spans="1:17" s="508" customFormat="1" ht="15">
      <c r="A52" s="505" t="s">
        <v>2539</v>
      </c>
      <c r="B52" s="506"/>
      <c r="C52" s="1572" t="str">
        <f>YEAR(C7)&amp;"-"&amp;MONTH(C7)</f>
        <v>2018-3</v>
      </c>
      <c r="D52" s="1573">
        <f>EDATE(C52,-1)</f>
        <v>43132</v>
      </c>
      <c r="E52" s="1573">
        <f t="shared" ref="E52:O52" si="16">EDATE(D52,-1)</f>
        <v>43101</v>
      </c>
      <c r="F52" s="1573">
        <f t="shared" si="16"/>
        <v>43070</v>
      </c>
      <c r="G52" s="1573">
        <f t="shared" si="16"/>
        <v>43040</v>
      </c>
      <c r="H52" s="1573">
        <f t="shared" si="16"/>
        <v>43009</v>
      </c>
      <c r="I52" s="1573">
        <f t="shared" si="16"/>
        <v>42979</v>
      </c>
      <c r="J52" s="1573">
        <f t="shared" si="16"/>
        <v>42948</v>
      </c>
      <c r="K52" s="1573">
        <f t="shared" si="16"/>
        <v>42917</v>
      </c>
      <c r="L52" s="1573">
        <f t="shared" si="16"/>
        <v>42887</v>
      </c>
      <c r="M52" s="1573">
        <f t="shared" si="16"/>
        <v>42856</v>
      </c>
      <c r="N52" s="1573">
        <f t="shared" si="16"/>
        <v>42826</v>
      </c>
      <c r="O52" s="1573">
        <f t="shared" si="16"/>
        <v>42795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2579</v>
      </c>
      <c r="B57" s="528" t="s">
        <v>2545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4"/>
      <c r="B87" s="569"/>
      <c r="C87" s="570"/>
      <c r="D87" s="570"/>
      <c r="E87" s="570"/>
      <c r="F87" s="570"/>
      <c r="G87" s="591"/>
      <c r="H87" s="591"/>
      <c r="I87" s="591"/>
      <c r="J87" s="591"/>
      <c r="K87" s="591"/>
      <c r="L87" s="591"/>
      <c r="M87" s="592"/>
      <c r="N87" s="1151"/>
      <c r="O87" s="1151"/>
      <c r="P87" s="45"/>
      <c r="Q87" s="504"/>
    </row>
    <row r="88" spans="1:17">
      <c r="A88" s="527" t="s">
        <v>2554</v>
      </c>
      <c r="B88" s="528" t="s">
        <v>2603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2608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2609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4"/>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34" priority="16" stopIfTrue="1" operator="containsText" text="超过">
      <formula>NOT(ISERROR(SEARCH("超过",F46)))</formula>
    </cfRule>
  </conditionalFormatting>
  <conditionalFormatting sqref="H48">
    <cfRule type="containsText" dxfId="133" priority="15" stopIfTrue="1" operator="containsText" text="超过">
      <formula>NOT(ISERROR(SEARCH("超过",H48)))</formula>
    </cfRule>
  </conditionalFormatting>
  <conditionalFormatting sqref="F48">
    <cfRule type="containsText" dxfId="132" priority="14" stopIfTrue="1" operator="containsText" text="超过">
      <formula>NOT(ISERROR(SEARCH("超过",F48)))</formula>
    </cfRule>
  </conditionalFormatting>
  <conditionalFormatting sqref="F47 H47">
    <cfRule type="containsText" dxfId="131" priority="13" stopIfTrue="1" operator="containsText" text="超过">
      <formula>NOT(ISERROR(SEARCH("超过",F47)))</formula>
    </cfRule>
  </conditionalFormatting>
  <conditionalFormatting sqref="E46">
    <cfRule type="expression" dxfId="130" priority="12" stopIfTrue="1">
      <formula>$F$46="超过30%"</formula>
    </cfRule>
  </conditionalFormatting>
  <conditionalFormatting sqref="E47">
    <cfRule type="expression" dxfId="129" priority="11" stopIfTrue="1">
      <formula>$F$47="超过20%"</formula>
    </cfRule>
  </conditionalFormatting>
  <conditionalFormatting sqref="E48">
    <cfRule type="expression" dxfId="128" priority="10" stopIfTrue="1">
      <formula>$F$48="超过30%"</formula>
    </cfRule>
  </conditionalFormatting>
  <conditionalFormatting sqref="G48">
    <cfRule type="expression" dxfId="127" priority="9" stopIfTrue="1">
      <formula>$H$48="超过30%"</formula>
    </cfRule>
  </conditionalFormatting>
  <conditionalFormatting sqref="G46">
    <cfRule type="expression" dxfId="126" priority="8" stopIfTrue="1">
      <formula>$H$46="超过30%"</formula>
    </cfRule>
  </conditionalFormatting>
  <conditionalFormatting sqref="G47">
    <cfRule type="expression" dxfId="125" priority="7" stopIfTrue="1">
      <formula>$H$47="超过20%"</formula>
    </cfRule>
  </conditionalFormatting>
  <conditionalFormatting sqref="J46">
    <cfRule type="containsText" dxfId="124" priority="6" stopIfTrue="1" operator="containsText" text="超过">
      <formula>NOT(ISERROR(SEARCH("超过",J46)))</formula>
    </cfRule>
  </conditionalFormatting>
  <conditionalFormatting sqref="J48">
    <cfRule type="containsText" dxfId="123" priority="5" stopIfTrue="1" operator="containsText" text="超过">
      <formula>NOT(ISERROR(SEARCH("超过",J48)))</formula>
    </cfRule>
  </conditionalFormatting>
  <conditionalFormatting sqref="J47">
    <cfRule type="containsText" dxfId="122" priority="4" stopIfTrue="1" operator="containsText" text="超过">
      <formula>NOT(ISERROR(SEARCH("超过",J47)))</formula>
    </cfRule>
  </conditionalFormatting>
  <conditionalFormatting sqref="I46">
    <cfRule type="expression" dxfId="121" priority="3" stopIfTrue="1">
      <formula>$J$46="超过30%"</formula>
    </cfRule>
  </conditionalFormatting>
  <conditionalFormatting sqref="I47">
    <cfRule type="expression" dxfId="120" priority="2" stopIfTrue="1">
      <formula>$J$47="超过20%"</formula>
    </cfRule>
  </conditionalFormatting>
  <conditionalFormatting sqref="I48">
    <cfRule type="expression" dxfId="11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59"/>
      <c r="B4" s="2963" t="s">
        <v>1630</v>
      </c>
      <c r="C4" s="2963"/>
      <c r="D4" s="2963"/>
      <c r="E4" s="1959"/>
    </row>
    <row r="5" spans="1:5" ht="16.5" thickTop="1">
      <c r="A5" s="1957"/>
      <c r="B5" s="2961" t="s">
        <v>1622</v>
      </c>
      <c r="C5" s="1960" t="s">
        <v>1623</v>
      </c>
      <c r="D5" s="1038">
        <f ca="1">'结果表（办公）'!H101</f>
        <v>43077</v>
      </c>
      <c r="E5" s="1957"/>
    </row>
    <row r="6" spans="1:5" ht="15.75">
      <c r="A6" s="1957"/>
      <c r="B6" s="2961"/>
      <c r="C6" s="1960" t="s">
        <v>1624</v>
      </c>
      <c r="D6" s="1038" t="str">
        <f ca="1">NUMBERSTRING(INT(D5*10000),2)&amp;"元整"</f>
        <v>肆亿叁仟零柒拾柒万元整</v>
      </c>
      <c r="E6" s="1957"/>
    </row>
    <row r="7" spans="1:5" ht="15.75">
      <c r="A7" s="1957"/>
      <c r="B7" s="2966"/>
      <c r="C7" s="1961" t="s">
        <v>1625</v>
      </c>
      <c r="D7" s="1039">
        <f ca="1">'结果表（办公）'!H102</f>
        <v>37045</v>
      </c>
      <c r="E7" s="1957"/>
    </row>
    <row r="8" spans="1:5" ht="15.75">
      <c r="A8" s="1957"/>
      <c r="B8" s="2967" t="str">
        <f>'结果表（办公）'!E103</f>
        <v>2.估价师知悉的法定优先受偿款</v>
      </c>
      <c r="C8" s="1962" t="s">
        <v>1626</v>
      </c>
      <c r="D8" s="1039">
        <f>'结果表（办公）'!H103</f>
        <v>0</v>
      </c>
      <c r="E8" s="1957"/>
    </row>
    <row r="9" spans="1:5" ht="15.75">
      <c r="A9" s="1957"/>
      <c r="B9" s="2969"/>
      <c r="C9" s="1960" t="s">
        <v>1624</v>
      </c>
      <c r="D9" s="1038" t="str">
        <f>NUMBERSTRING(INT(D8*10000),2)&amp;"元整"</f>
        <v>零元整</v>
      </c>
      <c r="E9" s="1957"/>
    </row>
    <row r="10" spans="1:5" ht="15">
      <c r="A10" s="1957"/>
      <c r="B10" s="1963" t="s">
        <v>1629</v>
      </c>
      <c r="C10" s="1964" t="s">
        <v>1627</v>
      </c>
      <c r="D10" s="1040">
        <f>'结果表（办公）'!H104</f>
        <v>0</v>
      </c>
      <c r="E10" s="1957"/>
    </row>
    <row r="11" spans="1:5" ht="15">
      <c r="A11" s="1957"/>
      <c r="B11" s="1963" t="s">
        <v>1631</v>
      </c>
      <c r="C11" s="1964" t="s">
        <v>1632</v>
      </c>
      <c r="D11" s="1040">
        <f>'结果表（办公）'!H105</f>
        <v>0</v>
      </c>
      <c r="E11" s="1957"/>
    </row>
    <row r="12" spans="1:5" ht="15">
      <c r="A12" s="1957"/>
      <c r="B12" s="1963" t="s">
        <v>1633</v>
      </c>
      <c r="C12" s="1964" t="s">
        <v>1632</v>
      </c>
      <c r="D12" s="1040">
        <f>'结果表（办公）'!H106</f>
        <v>0</v>
      </c>
      <c r="E12" s="1957"/>
    </row>
    <row r="13" spans="1:5" ht="15.75">
      <c r="A13" s="1957"/>
      <c r="B13" s="2960" t="str">
        <f>'结果表（办公）'!E107</f>
        <v>3.房地产抵押价值</v>
      </c>
      <c r="C13" s="1965" t="s">
        <v>1623</v>
      </c>
      <c r="D13" s="1041">
        <f ca="1">'结果表（办公）'!H107</f>
        <v>43077</v>
      </c>
      <c r="E13" s="1957"/>
    </row>
    <row r="14" spans="1:5" ht="15.75">
      <c r="A14" s="1957"/>
      <c r="B14" s="2961"/>
      <c r="C14" s="1960" t="s">
        <v>1624</v>
      </c>
      <c r="D14" s="1038" t="str">
        <f ca="1">NUMBERSTRING(INT(D13*10000),2)&amp;"元整"</f>
        <v>肆亿叁仟零柒拾柒万元整</v>
      </c>
      <c r="E14" s="1957"/>
    </row>
    <row r="15" spans="1:5" ht="15">
      <c r="A15" s="1957"/>
      <c r="B15" s="2966"/>
      <c r="C15" s="1961" t="s">
        <v>1634</v>
      </c>
      <c r="D15" s="1050">
        <f ca="1">'结果表（办公）'!H108</f>
        <v>37045</v>
      </c>
      <c r="E15" s="1957"/>
    </row>
    <row r="16" spans="1:5" ht="15">
      <c r="A16" s="1957"/>
      <c r="B16" s="2967" t="str">
        <f>'结果表（办公）'!E109</f>
        <v>——</v>
      </c>
      <c r="C16" s="1965" t="s">
        <v>1635</v>
      </c>
      <c r="D16" s="1966" t="str">
        <f>'结果表（办公）'!H109</f>
        <v>——</v>
      </c>
      <c r="E16" s="1957"/>
    </row>
    <row r="17" spans="1:5" ht="15.75">
      <c r="A17" s="1957"/>
      <c r="B17" s="2968"/>
      <c r="C17" s="1960" t="s">
        <v>1636</v>
      </c>
      <c r="D17" s="1038" t="e">
        <f>NUMBERSTRING(INT(D16*10000),2)&amp;"元整"</f>
        <v>#VALUE!</v>
      </c>
      <c r="E17" s="1957"/>
    </row>
    <row r="18" spans="1:5" ht="15">
      <c r="A18" s="1957"/>
      <c r="B18" s="2969"/>
      <c r="C18" s="1961" t="s">
        <v>1625</v>
      </c>
      <c r="D18" s="1050" t="str">
        <f>'结果表（办公）'!H110</f>
        <v>——</v>
      </c>
      <c r="E18" s="1957"/>
    </row>
    <row r="19" spans="1:5" ht="15.75">
      <c r="A19" s="1957"/>
      <c r="B19" s="2960" t="str">
        <f>'结果表（办公）'!E111</f>
        <v>——</v>
      </c>
      <c r="C19" s="1965" t="s">
        <v>1623</v>
      </c>
      <c r="D19" s="1039" t="str">
        <f>'结果表（办公）'!H111</f>
        <v>——</v>
      </c>
      <c r="E19" s="1957"/>
    </row>
    <row r="20" spans="1:5" ht="15.75">
      <c r="A20" s="1957"/>
      <c r="B20" s="2961"/>
      <c r="C20" s="1960" t="s">
        <v>1636</v>
      </c>
      <c r="D20" s="1038" t="e">
        <f>NUMBERSTRING(INT(D19*10000),2)&amp;"元整"</f>
        <v>#VALUE!</v>
      </c>
      <c r="E20" s="1957"/>
    </row>
    <row r="21" spans="1:5" ht="15.75" thickBot="1">
      <c r="A21" s="1957"/>
      <c r="B21" s="2962"/>
      <c r="C21" s="1967" t="s">
        <v>1634</v>
      </c>
      <c r="D21" s="1051" t="str">
        <f>'结果表（办公）'!H112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8"/>
      <c r="F1" s="2582"/>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6" t="e">
        <f ca="1">IF(C2="——",ROUND(C37*D3/10000,0),ROUND(C37*D3/10000,0)-D2)</f>
        <v>#DIV/0!</v>
      </c>
      <c r="C2" s="2584"/>
      <c r="D2" s="1122" t="e">
        <f ca="1">SUMIF(INDIRECT("'"&amp;F2&amp;"'"&amp;"!A:A"),"承租人权益价值",INDIRECT("'"&amp;F2&amp;"'"&amp;"!c:c"))</f>
        <v>#REF!</v>
      </c>
      <c r="E2" s="2585" t="s">
        <v>2319</v>
      </c>
      <c r="F2" s="2586"/>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29" ht="15">
      <c r="A5" s="404"/>
      <c r="B5" s="405"/>
      <c r="C5" s="3185" t="s">
        <v>2533</v>
      </c>
      <c r="D5" s="3186"/>
      <c r="E5" s="3183" t="s">
        <v>2534</v>
      </c>
      <c r="F5" s="3184"/>
      <c r="G5" s="3185" t="s">
        <v>2535</v>
      </c>
      <c r="H5" s="3186"/>
      <c r="I5" s="3185" t="s">
        <v>2536</v>
      </c>
      <c r="J5" s="3186"/>
      <c r="K5" s="610"/>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177" t="s">
        <v>2540</v>
      </c>
      <c r="Q7" s="3205"/>
      <c r="R7" s="770" t="s">
        <v>17</v>
      </c>
      <c r="S7" s="771">
        <f t="shared" ref="S7:S14" si="0">F7</f>
        <v>0</v>
      </c>
      <c r="T7" s="770" t="s">
        <v>17</v>
      </c>
      <c r="U7" s="771">
        <f t="shared" ref="U7:U14" si="1">H7</f>
        <v>0</v>
      </c>
      <c r="V7" s="770" t="s">
        <v>17</v>
      </c>
      <c r="W7" s="771">
        <f t="shared" ref="W7:W14" si="2">J7</f>
        <v>0</v>
      </c>
      <c r="X7" s="772"/>
      <c r="Y7" s="3177" t="s">
        <v>2540</v>
      </c>
      <c r="Z7" s="317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77" t="s">
        <v>2543</v>
      </c>
      <c r="Q8" s="3178"/>
      <c r="R8" s="770" t="s">
        <v>17</v>
      </c>
      <c r="S8" s="771">
        <f t="shared" si="0"/>
        <v>0</v>
      </c>
      <c r="T8" s="770" t="s">
        <v>17</v>
      </c>
      <c r="U8" s="771">
        <f t="shared" si="1"/>
        <v>0</v>
      </c>
      <c r="V8" s="770" t="s">
        <v>17</v>
      </c>
      <c r="W8" s="771">
        <f t="shared" si="2"/>
        <v>0</v>
      </c>
      <c r="X8" s="772"/>
      <c r="Y8" s="3177" t="s">
        <v>2543</v>
      </c>
      <c r="Z8" s="317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09" t="s">
        <v>2546</v>
      </c>
      <c r="Q9" s="1793" t="str">
        <f t="shared" ref="Q9:Q14" si="6">B9</f>
        <v>用途</v>
      </c>
      <c r="R9" s="770" t="s">
        <v>17</v>
      </c>
      <c r="S9" s="771">
        <f t="shared" si="0"/>
        <v>100</v>
      </c>
      <c r="T9" s="770" t="s">
        <v>17</v>
      </c>
      <c r="U9" s="771">
        <f t="shared" si="1"/>
        <v>100</v>
      </c>
      <c r="V9" s="770" t="s">
        <v>17</v>
      </c>
      <c r="W9" s="771">
        <f t="shared" si="2"/>
        <v>100</v>
      </c>
      <c r="X9" s="772"/>
      <c r="Y9" s="3024"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09"/>
      <c r="Q10" s="1793"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09"/>
      <c r="Q11" s="1793">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0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20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2550</v>
      </c>
      <c r="B14" s="69" t="s">
        <v>2700</v>
      </c>
      <c r="C14" s="2690"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1" t="s">
        <v>2551</v>
      </c>
      <c r="Q14" s="1808" t="str">
        <f t="shared" si="6"/>
        <v>交通便捷度</v>
      </c>
      <c r="R14" s="774" t="s">
        <v>17</v>
      </c>
      <c r="S14" s="775">
        <f t="shared" si="0"/>
        <v>100</v>
      </c>
      <c r="T14" s="774" t="s">
        <v>17</v>
      </c>
      <c r="U14" s="775">
        <f t="shared" si="1"/>
        <v>100</v>
      </c>
      <c r="V14" s="774" t="s">
        <v>17</v>
      </c>
      <c r="W14" s="775">
        <f t="shared" si="2"/>
        <v>100</v>
      </c>
      <c r="X14" s="1811"/>
      <c r="Y14" s="3211"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12"/>
      <c r="Q15" s="1808"/>
      <c r="R15" s="774"/>
      <c r="S15" s="775"/>
      <c r="T15" s="774"/>
      <c r="U15" s="775"/>
      <c r="V15" s="774"/>
      <c r="W15" s="775"/>
      <c r="X15" s="1811"/>
      <c r="Y15" s="3212"/>
      <c r="Z15" s="1812"/>
      <c r="AA15" s="1809">
        <v>1</v>
      </c>
      <c r="AB15" s="1809">
        <v>1</v>
      </c>
      <c r="AC15" s="1809">
        <v>1</v>
      </c>
    </row>
    <row r="16" spans="1:29" ht="42.75">
      <c r="A16" s="428"/>
      <c r="B16" s="451" t="s">
        <v>2679</v>
      </c>
      <c r="C16" s="2605"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2"/>
      <c r="Q16" s="1808" t="str">
        <f>B16</f>
        <v>公共配套设施</v>
      </c>
      <c r="R16" s="774" t="s">
        <v>17</v>
      </c>
      <c r="S16" s="775">
        <f>F16</f>
        <v>100</v>
      </c>
      <c r="T16" s="774" t="s">
        <v>17</v>
      </c>
      <c r="U16" s="775">
        <f>H16</f>
        <v>100</v>
      </c>
      <c r="V16" s="774" t="s">
        <v>17</v>
      </c>
      <c r="W16" s="775">
        <f>J16</f>
        <v>100</v>
      </c>
      <c r="X16" s="1811"/>
      <c r="Y16" s="3212"/>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38"/>
      <c r="M17" s="1129"/>
      <c r="N17" s="1129"/>
      <c r="O17" s="1137"/>
      <c r="P17" s="3212"/>
      <c r="Q17" s="1808"/>
      <c r="R17" s="774"/>
      <c r="S17" s="775"/>
      <c r="T17" s="774"/>
      <c r="U17" s="775"/>
      <c r="V17" s="774"/>
      <c r="W17" s="775"/>
      <c r="X17" s="1811"/>
      <c r="Y17" s="3212"/>
      <c r="Z17" s="1812"/>
      <c r="AA17" s="1809">
        <v>1</v>
      </c>
      <c r="AB17" s="1809">
        <v>1</v>
      </c>
      <c r="AC17" s="1809">
        <v>1</v>
      </c>
    </row>
    <row r="18" spans="1:29" ht="28.5">
      <c r="A18" s="428"/>
      <c r="B18" s="1382" t="s">
        <v>2680</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2"/>
      <c r="Q18" s="1808" t="str">
        <f>B18</f>
        <v>基础设施水平</v>
      </c>
      <c r="R18" s="774" t="s">
        <v>17</v>
      </c>
      <c r="S18" s="775">
        <f>F18</f>
        <v>100</v>
      </c>
      <c r="T18" s="774" t="s">
        <v>17</v>
      </c>
      <c r="U18" s="775">
        <f>H18</f>
        <v>100</v>
      </c>
      <c r="V18" s="774" t="s">
        <v>17</v>
      </c>
      <c r="W18" s="775">
        <f>J18</f>
        <v>100</v>
      </c>
      <c r="X18" s="1811"/>
      <c r="Y18" s="3212"/>
      <c r="Z18" s="1812" t="str">
        <f>Q18</f>
        <v>基础设施水平</v>
      </c>
      <c r="AA18" s="1809">
        <f t="shared" ref="AA18" si="8">D18/F18</f>
        <v>1</v>
      </c>
      <c r="AB18" s="1809">
        <f t="shared" ref="AB18" si="9">D18/H18</f>
        <v>1</v>
      </c>
      <c r="AC18" s="1809">
        <f t="shared" ref="AC18" si="10">D18/J18</f>
        <v>1</v>
      </c>
    </row>
    <row r="19" spans="1:29" ht="15">
      <c r="A19" s="428"/>
      <c r="B19" s="1382"/>
      <c r="C19" s="2606"/>
      <c r="D19" s="450"/>
      <c r="E19" s="2606"/>
      <c r="F19" s="453"/>
      <c r="G19" s="2606"/>
      <c r="H19" s="448"/>
      <c r="I19" s="447"/>
      <c r="J19" s="448"/>
      <c r="K19" s="1381"/>
      <c r="L19" s="1138"/>
      <c r="M19" s="1129"/>
      <c r="N19" s="1129"/>
      <c r="O19" s="1137"/>
      <c r="P19" s="3212"/>
      <c r="Q19" s="1808"/>
      <c r="R19" s="774"/>
      <c r="S19" s="775"/>
      <c r="T19" s="774"/>
      <c r="U19" s="775"/>
      <c r="V19" s="774"/>
      <c r="W19" s="775"/>
      <c r="X19" s="1811"/>
      <c r="Y19" s="3212"/>
      <c r="Z19" s="1812"/>
      <c r="AA19" s="1809">
        <v>1</v>
      </c>
      <c r="AB19" s="1809">
        <v>1</v>
      </c>
      <c r="AC19" s="1809">
        <v>1</v>
      </c>
    </row>
    <row r="20" spans="1:29" ht="57">
      <c r="A20" s="428"/>
      <c r="B20" s="451" t="s">
        <v>2701</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2"/>
      <c r="Q20" s="1808" t="str">
        <f>B20</f>
        <v>自然及人文环境</v>
      </c>
      <c r="R20" s="774" t="s">
        <v>17</v>
      </c>
      <c r="S20" s="775">
        <f>F20</f>
        <v>100</v>
      </c>
      <c r="T20" s="774" t="s">
        <v>17</v>
      </c>
      <c r="U20" s="775">
        <f>H20</f>
        <v>100</v>
      </c>
      <c r="V20" s="774" t="s">
        <v>17</v>
      </c>
      <c r="W20" s="775">
        <f>J20</f>
        <v>100</v>
      </c>
      <c r="X20" s="1811"/>
      <c r="Y20" s="321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12"/>
      <c r="Q21" s="1808"/>
      <c r="R21" s="774"/>
      <c r="S21" s="775"/>
      <c r="T21" s="774"/>
      <c r="U21" s="775"/>
      <c r="V21" s="774"/>
      <c r="W21" s="775"/>
      <c r="X21" s="1811"/>
      <c r="Y21" s="3212"/>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2"/>
      <c r="Q22" s="1808" t="str">
        <f>B22</f>
        <v>楼层</v>
      </c>
      <c r="R22" s="774" t="s">
        <v>17</v>
      </c>
      <c r="S22" s="775">
        <f>F22</f>
        <v>100</v>
      </c>
      <c r="T22" s="774" t="s">
        <v>17</v>
      </c>
      <c r="U22" s="775">
        <f>H22</f>
        <v>100</v>
      </c>
      <c r="V22" s="774" t="s">
        <v>17</v>
      </c>
      <c r="W22" s="775">
        <f>J22</f>
        <v>100</v>
      </c>
      <c r="X22" s="1811"/>
      <c r="Y22" s="3212"/>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2"/>
      <c r="Q23" s="1808">
        <f>B23</f>
        <v>111</v>
      </c>
      <c r="R23" s="774" t="s">
        <v>17</v>
      </c>
      <c r="S23" s="775">
        <f>F23</f>
        <v>100</v>
      </c>
      <c r="T23" s="774" t="s">
        <v>17</v>
      </c>
      <c r="U23" s="775">
        <f>H23</f>
        <v>100</v>
      </c>
      <c r="V23" s="774" t="s">
        <v>17</v>
      </c>
      <c r="W23" s="775">
        <f>J23</f>
        <v>100</v>
      </c>
      <c r="X23" s="1811"/>
      <c r="Y23" s="3212"/>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2"/>
      <c r="Q24" s="1808">
        <f t="shared" ref="Q24:Q34" si="11">B24</f>
        <v>111</v>
      </c>
      <c r="R24" s="774" t="s">
        <v>17</v>
      </c>
      <c r="S24" s="775">
        <f>F24</f>
        <v>100</v>
      </c>
      <c r="T24" s="774" t="s">
        <v>17</v>
      </c>
      <c r="U24" s="775">
        <f>H24</f>
        <v>100</v>
      </c>
      <c r="V24" s="774" t="s">
        <v>17</v>
      </c>
      <c r="W24" s="775">
        <f>J24</f>
        <v>100</v>
      </c>
      <c r="X24" s="1811"/>
      <c r="Y24" s="3212"/>
      <c r="Z24" s="1812">
        <f>Q24</f>
        <v>111</v>
      </c>
      <c r="AA24" s="1809">
        <f t="shared" si="3"/>
        <v>1</v>
      </c>
      <c r="AB24" s="1809">
        <f t="shared" si="4"/>
        <v>1</v>
      </c>
      <c r="AC24" s="1809">
        <f t="shared" si="5"/>
        <v>1</v>
      </c>
    </row>
    <row r="25" spans="1:29" s="117" customFormat="1" ht="15.75" thickBot="1">
      <c r="A25" s="431"/>
      <c r="B25" s="2598">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212"/>
      <c r="Q25" s="1793">
        <f t="shared" si="11"/>
        <v>111</v>
      </c>
      <c r="R25" s="770" t="s">
        <v>17</v>
      </c>
      <c r="S25" s="771">
        <f>F25</f>
        <v>100</v>
      </c>
      <c r="T25" s="770" t="s">
        <v>17</v>
      </c>
      <c r="U25" s="771">
        <f>H25</f>
        <v>100</v>
      </c>
      <c r="V25" s="770" t="s">
        <v>17</v>
      </c>
      <c r="W25" s="771">
        <f>J25</f>
        <v>100</v>
      </c>
      <c r="X25" s="772"/>
      <c r="Y25" s="3212"/>
      <c r="Z25" s="55">
        <f>Q25</f>
        <v>111</v>
      </c>
      <c r="AA25" s="1809">
        <f>D25/F25</f>
        <v>1</v>
      </c>
      <c r="AB25" s="1809">
        <f>D25/H25</f>
        <v>1</v>
      </c>
      <c r="AC25" s="1809">
        <f>D25/J25</f>
        <v>1</v>
      </c>
    </row>
    <row r="26" spans="1:29" ht="15">
      <c r="A26" s="466" t="s">
        <v>2554</v>
      </c>
      <c r="B26" s="71" t="s">
        <v>2705</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35" t="s">
        <v>2556</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16"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16"/>
      <c r="Q28" s="1808" t="str">
        <f t="shared" si="11"/>
        <v>物业等级</v>
      </c>
      <c r="R28" s="774" t="s">
        <v>17</v>
      </c>
      <c r="S28" s="775">
        <f t="shared" si="12"/>
        <v>100</v>
      </c>
      <c r="T28" s="774" t="s">
        <v>17</v>
      </c>
      <c r="U28" s="775">
        <f t="shared" si="13"/>
        <v>100</v>
      </c>
      <c r="V28" s="774" t="s">
        <v>17</v>
      </c>
      <c r="W28" s="775">
        <f t="shared" si="14"/>
        <v>100</v>
      </c>
      <c r="X28" s="1811"/>
      <c r="Y28" s="3216"/>
      <c r="Z28" s="1812" t="str">
        <f t="shared" si="15"/>
        <v>物业等级</v>
      </c>
      <c r="AA28" s="1809">
        <f t="shared" si="3"/>
        <v>1</v>
      </c>
      <c r="AB28" s="1809">
        <f t="shared" si="4"/>
        <v>1</v>
      </c>
      <c r="AC28" s="1809">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16"/>
      <c r="Q29" s="1808" t="str">
        <f t="shared" si="11"/>
        <v>有无电梯</v>
      </c>
      <c r="R29" s="774" t="s">
        <v>17</v>
      </c>
      <c r="S29" s="775">
        <f t="shared" si="12"/>
        <v>100</v>
      </c>
      <c r="T29" s="774" t="s">
        <v>17</v>
      </c>
      <c r="U29" s="775">
        <f t="shared" si="13"/>
        <v>100</v>
      </c>
      <c r="V29" s="774" t="s">
        <v>17</v>
      </c>
      <c r="W29" s="775">
        <f t="shared" si="14"/>
        <v>100</v>
      </c>
      <c r="X29" s="1811"/>
      <c r="Y29" s="3216"/>
      <c r="Z29" s="1812" t="str">
        <f t="shared" si="15"/>
        <v>有无电梯</v>
      </c>
      <c r="AA29" s="1809">
        <f t="shared" si="3"/>
        <v>1</v>
      </c>
      <c r="AB29" s="1809">
        <f t="shared" si="4"/>
        <v>1</v>
      </c>
      <c r="AC29" s="1809">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16"/>
      <c r="Q30" s="1808" t="str">
        <f t="shared" si="11"/>
        <v>建筑面积</v>
      </c>
      <c r="R30" s="774" t="s">
        <v>17</v>
      </c>
      <c r="S30" s="775" t="e">
        <f t="shared" si="12"/>
        <v>#N/A</v>
      </c>
      <c r="T30" s="774" t="s">
        <v>17</v>
      </c>
      <c r="U30" s="775" t="e">
        <f t="shared" si="13"/>
        <v>#N/A</v>
      </c>
      <c r="V30" s="774" t="s">
        <v>17</v>
      </c>
      <c r="W30" s="775" t="e">
        <f t="shared" si="14"/>
        <v>#N/A</v>
      </c>
      <c r="X30" s="1811"/>
      <c r="Y30" s="3216"/>
      <c r="Z30" s="1812" t="str">
        <f t="shared" si="15"/>
        <v>建筑面积</v>
      </c>
      <c r="AA30" s="1809" t="e">
        <f t="shared" si="3"/>
        <v>#N/A</v>
      </c>
      <c r="AB30" s="1809" t="e">
        <f t="shared" si="4"/>
        <v>#N/A</v>
      </c>
      <c r="AC30" s="1809"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16"/>
      <c r="Q31" s="1793"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16" t="s">
        <v>2556</v>
      </c>
      <c r="Q32" s="1808">
        <f t="shared" si="11"/>
        <v>111</v>
      </c>
      <c r="R32" s="774" t="s">
        <v>17</v>
      </c>
      <c r="S32" s="775">
        <f t="shared" si="12"/>
        <v>100</v>
      </c>
      <c r="T32" s="774" t="s">
        <v>17</v>
      </c>
      <c r="U32" s="775">
        <f t="shared" si="13"/>
        <v>100</v>
      </c>
      <c r="V32" s="774" t="s">
        <v>17</v>
      </c>
      <c r="W32" s="775">
        <f t="shared" si="14"/>
        <v>100</v>
      </c>
      <c r="X32" s="1811"/>
      <c r="Y32" s="3216" t="s">
        <v>2556</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16"/>
      <c r="Q33" s="1808">
        <f t="shared" si="11"/>
        <v>111</v>
      </c>
      <c r="R33" s="774" t="s">
        <v>17</v>
      </c>
      <c r="S33" s="775">
        <f t="shared" si="12"/>
        <v>100</v>
      </c>
      <c r="T33" s="774" t="s">
        <v>17</v>
      </c>
      <c r="U33" s="775">
        <f t="shared" si="13"/>
        <v>100</v>
      </c>
      <c r="V33" s="774" t="s">
        <v>17</v>
      </c>
      <c r="W33" s="775">
        <f t="shared" si="14"/>
        <v>100</v>
      </c>
      <c r="X33" s="1811"/>
      <c r="Y33" s="3216"/>
      <c r="Z33" s="1812">
        <f t="shared" si="15"/>
        <v>111</v>
      </c>
      <c r="AA33" s="1809">
        <f t="shared" si="3"/>
        <v>1</v>
      </c>
      <c r="AB33" s="1809">
        <f t="shared" si="4"/>
        <v>1</v>
      </c>
      <c r="AC33" s="1809">
        <f t="shared" si="5"/>
        <v>1</v>
      </c>
    </row>
    <row r="34" spans="1:29" ht="15.75" thickBot="1">
      <c r="A34" s="478"/>
      <c r="B34" s="2600">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216"/>
      <c r="Q34" s="1808">
        <f t="shared" si="11"/>
        <v>111</v>
      </c>
      <c r="R34" s="774" t="s">
        <v>17</v>
      </c>
      <c r="S34" s="775">
        <f t="shared" si="12"/>
        <v>100</v>
      </c>
      <c r="T34" s="774" t="s">
        <v>17</v>
      </c>
      <c r="U34" s="775">
        <f t="shared" si="13"/>
        <v>100</v>
      </c>
      <c r="V34" s="774" t="s">
        <v>17</v>
      </c>
      <c r="W34" s="775">
        <f t="shared" si="14"/>
        <v>100</v>
      </c>
      <c r="X34" s="1811"/>
      <c r="Y34" s="3216"/>
      <c r="Z34" s="1812">
        <f t="shared" si="15"/>
        <v>111</v>
      </c>
      <c r="AA34" s="1809">
        <f t="shared" si="3"/>
        <v>1</v>
      </c>
      <c r="AB34" s="1809">
        <f t="shared" si="4"/>
        <v>1</v>
      </c>
      <c r="AC34" s="1809">
        <f t="shared" si="5"/>
        <v>1</v>
      </c>
    </row>
    <row r="35" spans="1:29" ht="15">
      <c r="A35" s="479" t="s">
        <v>2568</v>
      </c>
      <c r="B35" s="480"/>
      <c r="C35" s="1405" t="s">
        <v>1</v>
      </c>
      <c r="D35" s="1406"/>
      <c r="E35" s="1407"/>
      <c r="F35" s="1408"/>
      <c r="G35" s="1409"/>
      <c r="H35" s="1410"/>
      <c r="I35" s="1407"/>
      <c r="J35" s="1410"/>
      <c r="K35" s="783"/>
      <c r="L35" s="1141"/>
      <c r="M35" s="1142"/>
      <c r="N35" s="1129"/>
      <c r="O35" s="1142"/>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2660</v>
      </c>
      <c r="B36" s="487"/>
      <c r="C36" s="1411" t="e">
        <f>R37</f>
        <v>#DIV/0!</v>
      </c>
      <c r="D36" s="1412"/>
      <c r="E36" s="1413" t="e">
        <f>R36</f>
        <v>#DIV/0!</v>
      </c>
      <c r="F36" s="1413"/>
      <c r="G36" s="1411" t="e">
        <f>T36</f>
        <v>#DIV/0!</v>
      </c>
      <c r="H36" s="1412"/>
      <c r="I36" s="1413" t="e">
        <f>V36</f>
        <v>#DIV/0!</v>
      </c>
      <c r="J36" s="1412"/>
      <c r="K36" s="784"/>
      <c r="L36" s="1141"/>
      <c r="M36" s="1142"/>
      <c r="N36" s="1129"/>
      <c r="O36" s="1142"/>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2661</v>
      </c>
      <c r="B37" s="493"/>
      <c r="C37" s="1415" t="e">
        <f>R37</f>
        <v>#DIV/0!</v>
      </c>
      <c r="D37" s="1415"/>
      <c r="E37" s="1415"/>
      <c r="F37" s="1415"/>
      <c r="G37" s="1415"/>
      <c r="H37" s="1415"/>
      <c r="I37" s="1415"/>
      <c r="J37" s="1415"/>
      <c r="K37" s="785"/>
      <c r="L37" s="1141"/>
      <c r="M37" s="1142"/>
      <c r="N37" s="1142"/>
      <c r="O37" s="1142"/>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2" t="str">
        <f>YEAR(C7)&amp;"-"&amp;MONTH(C7)</f>
        <v>2018-3</v>
      </c>
      <c r="D46" s="1573">
        <f>EDATE(C46,-1)</f>
        <v>43132</v>
      </c>
      <c r="E46" s="1573">
        <f t="shared" ref="E46:O46" si="16">EDATE(D46,-1)</f>
        <v>43101</v>
      </c>
      <c r="F46" s="1573">
        <f t="shared" si="16"/>
        <v>43070</v>
      </c>
      <c r="G46" s="1573">
        <f t="shared" si="16"/>
        <v>43040</v>
      </c>
      <c r="H46" s="1573">
        <f t="shared" si="16"/>
        <v>43009</v>
      </c>
      <c r="I46" s="1573">
        <f t="shared" si="16"/>
        <v>42979</v>
      </c>
      <c r="J46" s="1573">
        <f t="shared" si="16"/>
        <v>42948</v>
      </c>
      <c r="K46" s="1573">
        <f t="shared" si="16"/>
        <v>42917</v>
      </c>
      <c r="L46" s="1573">
        <f t="shared" si="16"/>
        <v>42887</v>
      </c>
      <c r="M46" s="1573">
        <f t="shared" si="16"/>
        <v>42856</v>
      </c>
      <c r="N46" s="1573">
        <f t="shared" si="16"/>
        <v>42826</v>
      </c>
      <c r="O46" s="1573">
        <f t="shared" si="16"/>
        <v>42795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2579</v>
      </c>
      <c r="B51" s="528" t="s">
        <v>2545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2730</v>
      </c>
      <c r="C63" s="578" t="s">
        <v>2588</v>
      </c>
      <c r="D63" s="578" t="s">
        <v>2589</v>
      </c>
      <c r="E63" s="578" t="s">
        <v>2590</v>
      </c>
      <c r="F63" s="578" t="s">
        <v>2591</v>
      </c>
      <c r="G63" s="578" t="s">
        <v>2592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2719</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2554</v>
      </c>
      <c r="B77" s="528" t="s">
        <v>2607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2723</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2731</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2733</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04" priority="14" stopIfTrue="1" operator="containsText" text="超过">
      <formula>NOT(ISERROR(SEARCH("超过",F40)))</formula>
    </cfRule>
  </conditionalFormatting>
  <conditionalFormatting sqref="J42">
    <cfRule type="containsText" dxfId="103" priority="13" stopIfTrue="1" operator="containsText" text="超过">
      <formula>NOT(ISERROR(SEARCH("超过",J42)))</formula>
    </cfRule>
  </conditionalFormatting>
  <conditionalFormatting sqref="H42">
    <cfRule type="containsText" dxfId="102" priority="12" stopIfTrue="1" operator="containsText" text="超过">
      <formula>NOT(ISERROR(SEARCH("超过",H42)))</formula>
    </cfRule>
  </conditionalFormatting>
  <conditionalFormatting sqref="F42">
    <cfRule type="containsText" dxfId="101" priority="11" stopIfTrue="1" operator="containsText" text="超过">
      <formula>NOT(ISERROR(SEARCH("超过",F42)))</formula>
    </cfRule>
  </conditionalFormatting>
  <conditionalFormatting sqref="F41 H41 J41">
    <cfRule type="containsText" dxfId="100" priority="10" stopIfTrue="1" operator="containsText" text="超过">
      <formula>NOT(ISERROR(SEARCH("超过",F41)))</formula>
    </cfRule>
  </conditionalFormatting>
  <conditionalFormatting sqref="E40">
    <cfRule type="expression" dxfId="99" priority="9" stopIfTrue="1">
      <formula>$F$40="超过30%"</formula>
    </cfRule>
  </conditionalFormatting>
  <conditionalFormatting sqref="G42">
    <cfRule type="expression" dxfId="98" priority="8" stopIfTrue="1">
      <formula>$H$54+$H$42="超过30%"</formula>
    </cfRule>
  </conditionalFormatting>
  <conditionalFormatting sqref="E41">
    <cfRule type="expression" dxfId="97" priority="7" stopIfTrue="1">
      <formula>$F$41="超过20%"</formula>
    </cfRule>
  </conditionalFormatting>
  <conditionalFormatting sqref="E42">
    <cfRule type="expression" dxfId="96" priority="6" stopIfTrue="1">
      <formula>$F$42="超过30%"</formula>
    </cfRule>
  </conditionalFormatting>
  <conditionalFormatting sqref="G40">
    <cfRule type="expression" dxfId="95" priority="5" stopIfTrue="1">
      <formula>$H$52+$H$40="超过30%"</formula>
    </cfRule>
  </conditionalFormatting>
  <conditionalFormatting sqref="G41">
    <cfRule type="expression" dxfId="94" priority="4" stopIfTrue="1">
      <formula>$H$53+$H$41="超过20%"</formula>
    </cfRule>
  </conditionalFormatting>
  <conditionalFormatting sqref="I40">
    <cfRule type="expression" dxfId="93" priority="3" stopIfTrue="1">
      <formula>$J$40="超过30%"</formula>
    </cfRule>
  </conditionalFormatting>
  <conditionalFormatting sqref="I41">
    <cfRule type="expression" dxfId="92" priority="2" stopIfTrue="1">
      <formula>$J$41="超过20%"</formula>
    </cfRule>
  </conditionalFormatting>
  <conditionalFormatting sqref="I42">
    <cfRule type="expression" dxfId="9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2736</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30" ht="15">
      <c r="A5" s="404"/>
      <c r="B5" s="405"/>
      <c r="C5" s="3185" t="s">
        <v>2533</v>
      </c>
      <c r="D5" s="3186"/>
      <c r="E5" s="3183" t="s">
        <v>2534</v>
      </c>
      <c r="F5" s="3184"/>
      <c r="G5" s="3185" t="s">
        <v>2535</v>
      </c>
      <c r="H5" s="3186"/>
      <c r="I5" s="3185" t="s">
        <v>2536</v>
      </c>
      <c r="J5" s="3186"/>
      <c r="K5" s="610"/>
      <c r="L5" s="1128"/>
      <c r="M5" s="1129"/>
      <c r="N5" s="1129"/>
      <c r="O5" s="1129"/>
      <c r="P5" s="3198"/>
      <c r="Q5" s="3199"/>
      <c r="R5" s="3181"/>
      <c r="S5" s="3182"/>
      <c r="T5" s="3181"/>
      <c r="U5" s="3182"/>
      <c r="V5" s="3204"/>
      <c r="W5" s="3204"/>
      <c r="X5" s="1811"/>
      <c r="Y5" s="3181"/>
      <c r="Z5" s="3182"/>
      <c r="AA5" s="3175"/>
      <c r="AB5" s="3175"/>
      <c r="AC5" s="3175"/>
    </row>
    <row r="6" spans="1:30" ht="15.75" thickBot="1">
      <c r="A6" s="406"/>
      <c r="B6" s="407"/>
      <c r="C6" s="3187" t="s">
        <v>2537</v>
      </c>
      <c r="D6" s="3188"/>
      <c r="E6" s="3189" t="s">
        <v>2537</v>
      </c>
      <c r="F6" s="3190"/>
      <c r="G6" s="3187" t="s">
        <v>2537</v>
      </c>
      <c r="H6" s="3188"/>
      <c r="I6" s="3187" t="s">
        <v>2537</v>
      </c>
      <c r="J6" s="3188"/>
      <c r="K6" s="610" t="s">
        <v>2538</v>
      </c>
      <c r="L6" s="1128"/>
      <c r="M6" s="1129"/>
      <c r="N6" s="1129"/>
      <c r="O6" s="1129"/>
      <c r="P6" s="3200"/>
      <c r="Q6" s="3201"/>
      <c r="R6" s="3181"/>
      <c r="S6" s="3182"/>
      <c r="T6" s="3202"/>
      <c r="U6" s="3203"/>
      <c r="V6" s="3204"/>
      <c r="W6" s="3204"/>
      <c r="X6" s="1811"/>
      <c r="Y6" s="3202"/>
      <c r="Z6" s="3203"/>
      <c r="AA6" s="3176"/>
      <c r="AB6" s="3176"/>
      <c r="AC6" s="3176"/>
    </row>
    <row r="7" spans="1:30" s="117" customFormat="1" ht="15.75" thickBot="1">
      <c r="A7" s="408" t="s">
        <v>2539</v>
      </c>
      <c r="B7" s="409"/>
      <c r="C7" s="410">
        <f>'数据-取费表'!B2</f>
        <v>43185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177" t="s">
        <v>2540</v>
      </c>
      <c r="Q7" s="3205"/>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77" t="s">
        <v>2543</v>
      </c>
      <c r="Q8" s="3178"/>
      <c r="R8" s="770" t="s">
        <v>17</v>
      </c>
      <c r="S8" s="771">
        <f t="shared" si="0"/>
        <v>0</v>
      </c>
      <c r="T8" s="770" t="s">
        <v>17</v>
      </c>
      <c r="U8" s="771">
        <f t="shared" si="1"/>
        <v>0</v>
      </c>
      <c r="V8" s="770" t="s">
        <v>17</v>
      </c>
      <c r="W8" s="771">
        <f t="shared" si="2"/>
        <v>0</v>
      </c>
      <c r="X8" s="772"/>
      <c r="Y8" s="3177" t="s">
        <v>2543</v>
      </c>
      <c r="Z8" s="3178"/>
      <c r="AA8" s="773" t="e">
        <f t="shared" ref="AA8:AA45" si="3">D8/F8</f>
        <v>#DIV/0!</v>
      </c>
      <c r="AB8" s="773" t="e">
        <f t="shared" ref="AB8:AB45" si="4">D8/H8</f>
        <v>#DIV/0!</v>
      </c>
      <c r="AC8" s="773" t="e">
        <f t="shared" ref="AC8:AC45" si="5">D8/J8</f>
        <v>#DIV/0!</v>
      </c>
    </row>
    <row r="9" spans="1:30" s="117" customFormat="1">
      <c r="A9" s="415" t="s">
        <v>2544</v>
      </c>
      <c r="B9" s="71" t="s">
        <v>2545</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209"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106</v>
      </c>
      <c r="G10" s="463"/>
      <c r="H10" s="136">
        <f>ROUND(100/'数据-取费表'!G16,0)</f>
        <v>106</v>
      </c>
      <c r="I10" s="463"/>
      <c r="J10" s="136">
        <f>ROUND(100/'数据-取费表'!G16,0)</f>
        <v>106</v>
      </c>
      <c r="K10" s="672"/>
      <c r="L10" s="1133"/>
      <c r="M10" s="1134"/>
      <c r="N10" s="1134"/>
      <c r="O10" s="1135"/>
      <c r="P10" s="3209"/>
      <c r="Q10" s="1793" t="str">
        <f t="shared" si="6"/>
        <v>土地使用年限（年）</v>
      </c>
      <c r="R10" s="770" t="s">
        <v>17</v>
      </c>
      <c r="S10" s="771">
        <f t="shared" si="0"/>
        <v>106</v>
      </c>
      <c r="T10" s="770" t="s">
        <v>17</v>
      </c>
      <c r="U10" s="771">
        <f t="shared" si="1"/>
        <v>106</v>
      </c>
      <c r="V10" s="770" t="s">
        <v>17</v>
      </c>
      <c r="W10" s="771">
        <f t="shared" si="2"/>
        <v>106</v>
      </c>
      <c r="X10" s="772"/>
      <c r="Y10" s="3024"/>
      <c r="Z10" s="55" t="str">
        <f t="shared" si="7"/>
        <v>土地使用年限（年）</v>
      </c>
      <c r="AA10" s="773">
        <f t="shared" si="3"/>
        <v>0.94339622641509435</v>
      </c>
      <c r="AB10" s="773">
        <f t="shared" si="4"/>
        <v>0.94339622641509435</v>
      </c>
      <c r="AC10" s="773">
        <f t="shared" si="5"/>
        <v>0.94339622641509435</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09"/>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598" t="s">
        <v>2737</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09"/>
      <c r="Q12" s="1793"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09"/>
      <c r="Q13" s="1793">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09"/>
      <c r="Q14" s="1793">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2550</v>
      </c>
      <c r="B15" s="69" t="s">
        <v>2083</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1" t="s">
        <v>2551</v>
      </c>
      <c r="Q15" s="1808" t="str">
        <f t="shared" si="6"/>
        <v>居住社区成熟度</v>
      </c>
      <c r="R15" s="774" t="s">
        <v>17</v>
      </c>
      <c r="S15" s="775">
        <f t="shared" si="0"/>
        <v>100</v>
      </c>
      <c r="T15" s="774" t="s">
        <v>17</v>
      </c>
      <c r="U15" s="775">
        <f t="shared" si="1"/>
        <v>100</v>
      </c>
      <c r="V15" s="774" t="s">
        <v>17</v>
      </c>
      <c r="W15" s="775">
        <f t="shared" si="2"/>
        <v>100</v>
      </c>
      <c r="X15" s="1811"/>
      <c r="Y15" s="3211" t="s">
        <v>2551</v>
      </c>
      <c r="Z15" s="1812" t="str">
        <f t="shared" si="7"/>
        <v>居住社区成熟度</v>
      </c>
      <c r="AA15" s="1809">
        <f t="shared" si="3"/>
        <v>1</v>
      </c>
      <c r="AB15" s="1809">
        <f t="shared" si="4"/>
        <v>1</v>
      </c>
      <c r="AC15" s="1809">
        <f t="shared" si="5"/>
        <v>1</v>
      </c>
    </row>
    <row r="16" spans="1:30" ht="15">
      <c r="A16" s="428"/>
      <c r="B16" s="446"/>
      <c r="C16" s="447"/>
      <c r="D16" s="448"/>
      <c r="E16" s="2603"/>
      <c r="F16" s="448"/>
      <c r="G16" s="2603"/>
      <c r="H16" s="450"/>
      <c r="I16" s="2602"/>
      <c r="J16" s="448"/>
      <c r="K16" s="672"/>
      <c r="L16" s="1138"/>
      <c r="M16" s="1129"/>
      <c r="N16" s="1129"/>
      <c r="O16" s="1137"/>
      <c r="P16" s="3212"/>
      <c r="Q16" s="1808"/>
      <c r="R16" s="774"/>
      <c r="S16" s="775"/>
      <c r="T16" s="774"/>
      <c r="U16" s="775"/>
      <c r="V16" s="774"/>
      <c r="W16" s="775"/>
      <c r="X16" s="1811"/>
      <c r="Y16" s="3212"/>
      <c r="Z16" s="1812"/>
      <c r="AA16" s="1809">
        <v>1</v>
      </c>
      <c r="AB16" s="1809">
        <v>1</v>
      </c>
      <c r="AC16" s="1809">
        <v>1</v>
      </c>
    </row>
    <row r="17" spans="1:29" ht="71.25">
      <c r="A17" s="428"/>
      <c r="B17" s="451" t="s">
        <v>2644</v>
      </c>
      <c r="C17" s="2662"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2"/>
      <c r="Q17" s="1808" t="str">
        <f>B17</f>
        <v>商业繁华度</v>
      </c>
      <c r="R17" s="774" t="s">
        <v>17</v>
      </c>
      <c r="S17" s="775">
        <f>F17</f>
        <v>100</v>
      </c>
      <c r="T17" s="774" t="s">
        <v>17</v>
      </c>
      <c r="U17" s="775">
        <f>H17</f>
        <v>100</v>
      </c>
      <c r="V17" s="774" t="s">
        <v>17</v>
      </c>
      <c r="W17" s="775">
        <f>J17</f>
        <v>100</v>
      </c>
      <c r="X17" s="1811"/>
      <c r="Y17" s="3212"/>
      <c r="Z17" s="1812" t="str">
        <f>Q17</f>
        <v>商业繁华度</v>
      </c>
      <c r="AA17" s="1809">
        <f t="shared" si="3"/>
        <v>1</v>
      </c>
      <c r="AB17" s="1809">
        <f t="shared" si="4"/>
        <v>1</v>
      </c>
      <c r="AC17" s="1809">
        <f t="shared" si="5"/>
        <v>1</v>
      </c>
    </row>
    <row r="18" spans="1:29" ht="15">
      <c r="A18" s="428"/>
      <c r="B18" s="456"/>
      <c r="C18" s="2606"/>
      <c r="D18" s="450"/>
      <c r="E18" s="2608"/>
      <c r="F18" s="450"/>
      <c r="G18" s="2608"/>
      <c r="H18" s="448"/>
      <c r="I18" s="2607"/>
      <c r="J18" s="448"/>
      <c r="K18" s="672"/>
      <c r="L18" s="1138"/>
      <c r="M18" s="1129"/>
      <c r="N18" s="1129"/>
      <c r="O18" s="1137"/>
      <c r="P18" s="3212"/>
      <c r="Q18" s="1808"/>
      <c r="R18" s="774"/>
      <c r="S18" s="775"/>
      <c r="T18" s="774"/>
      <c r="U18" s="775"/>
      <c r="V18" s="774"/>
      <c r="W18" s="775"/>
      <c r="X18" s="1811"/>
      <c r="Y18" s="3212"/>
      <c r="Z18" s="1812"/>
      <c r="AA18" s="1809">
        <v>1</v>
      </c>
      <c r="AB18" s="1809">
        <v>1</v>
      </c>
      <c r="AC18" s="1809">
        <v>1</v>
      </c>
    </row>
    <row r="19" spans="1:29" ht="71.25">
      <c r="A19" s="428"/>
      <c r="B19" s="451" t="s">
        <v>2678</v>
      </c>
      <c r="C19" s="2662"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2"/>
      <c r="Q19" s="1808" t="str">
        <f>B19</f>
        <v>办公集聚程度</v>
      </c>
      <c r="R19" s="774" t="s">
        <v>17</v>
      </c>
      <c r="S19" s="775">
        <f>F19</f>
        <v>100</v>
      </c>
      <c r="T19" s="774" t="s">
        <v>17</v>
      </c>
      <c r="U19" s="775">
        <f>H19</f>
        <v>100</v>
      </c>
      <c r="V19" s="774" t="s">
        <v>17</v>
      </c>
      <c r="W19" s="775">
        <f>J19</f>
        <v>100</v>
      </c>
      <c r="X19" s="1811"/>
      <c r="Y19" s="3212"/>
      <c r="Z19" s="1812" t="str">
        <f>Q19</f>
        <v>办公集聚程度</v>
      </c>
      <c r="AA19" s="1809">
        <f t="shared" si="3"/>
        <v>1</v>
      </c>
      <c r="AB19" s="1809">
        <f t="shared" si="4"/>
        <v>1</v>
      </c>
      <c r="AC19" s="1809">
        <f t="shared" si="5"/>
        <v>1</v>
      </c>
    </row>
    <row r="20" spans="1:29" ht="15">
      <c r="A20" s="428"/>
      <c r="B20" s="456"/>
      <c r="C20" s="447"/>
      <c r="D20" s="448"/>
      <c r="E20" s="2603"/>
      <c r="F20" s="448"/>
      <c r="G20" s="2603"/>
      <c r="H20" s="448"/>
      <c r="I20" s="2602"/>
      <c r="J20" s="448"/>
      <c r="K20" s="672"/>
      <c r="L20" s="1138"/>
      <c r="M20" s="1129"/>
      <c r="N20" s="1129"/>
      <c r="O20" s="1137"/>
      <c r="P20" s="3212"/>
      <c r="Q20" s="1808"/>
      <c r="R20" s="774"/>
      <c r="S20" s="775"/>
      <c r="T20" s="774"/>
      <c r="U20" s="775"/>
      <c r="V20" s="774"/>
      <c r="W20" s="775"/>
      <c r="X20" s="1811"/>
      <c r="Y20" s="3212"/>
      <c r="Z20" s="1812"/>
      <c r="AA20" s="1809">
        <v>1</v>
      </c>
      <c r="AB20" s="1809">
        <v>1</v>
      </c>
      <c r="AC20" s="1809">
        <v>1</v>
      </c>
    </row>
    <row r="21" spans="1:29" ht="85.5">
      <c r="A21" s="428"/>
      <c r="B21" s="451" t="s">
        <v>2700</v>
      </c>
      <c r="C21" s="2605"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2"/>
      <c r="Q21" s="1808" t="str">
        <f>B21</f>
        <v>交通便捷度</v>
      </c>
      <c r="R21" s="774" t="s">
        <v>17</v>
      </c>
      <c r="S21" s="775">
        <f>F21</f>
        <v>100</v>
      </c>
      <c r="T21" s="774" t="s">
        <v>17</v>
      </c>
      <c r="U21" s="775">
        <f>H21</f>
        <v>100</v>
      </c>
      <c r="V21" s="774" t="s">
        <v>17</v>
      </c>
      <c r="W21" s="775">
        <f>J21</f>
        <v>100</v>
      </c>
      <c r="X21" s="1811"/>
      <c r="Y21" s="3212"/>
      <c r="Z21" s="1812" t="str">
        <f>Q21</f>
        <v>交通便捷度</v>
      </c>
      <c r="AA21" s="1809">
        <f t="shared" si="3"/>
        <v>1</v>
      </c>
      <c r="AB21" s="1809">
        <f t="shared" si="4"/>
        <v>1</v>
      </c>
      <c r="AC21" s="1809">
        <f t="shared" si="5"/>
        <v>1</v>
      </c>
    </row>
    <row r="22" spans="1:29" ht="15">
      <c r="A22" s="428"/>
      <c r="B22" s="1382"/>
      <c r="C22" s="447"/>
      <c r="D22" s="450"/>
      <c r="E22" s="2603"/>
      <c r="F22" s="448"/>
      <c r="G22" s="2603"/>
      <c r="H22" s="448"/>
      <c r="I22" s="2602"/>
      <c r="J22" s="448"/>
      <c r="K22" s="672"/>
      <c r="L22" s="1138"/>
      <c r="M22" s="1129"/>
      <c r="N22" s="1129"/>
      <c r="O22" s="1137"/>
      <c r="P22" s="3212"/>
      <c r="Q22" s="1808"/>
      <c r="R22" s="774"/>
      <c r="S22" s="775"/>
      <c r="T22" s="774"/>
      <c r="U22" s="775"/>
      <c r="V22" s="774"/>
      <c r="W22" s="775"/>
      <c r="X22" s="1811"/>
      <c r="Y22" s="3212"/>
      <c r="Z22" s="1812"/>
      <c r="AA22" s="1809">
        <v>1</v>
      </c>
      <c r="AB22" s="1809">
        <v>1</v>
      </c>
      <c r="AC22" s="1809">
        <v>1</v>
      </c>
    </row>
    <row r="23" spans="1:29" ht="15">
      <c r="A23" s="404"/>
      <c r="B23" s="451" t="s">
        <v>2738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2"/>
      <c r="Q23" s="1808" t="str">
        <f t="shared" ref="Q23:Q37" si="8">B23</f>
        <v>区域土地利用方向</v>
      </c>
      <c r="R23" s="774" t="s">
        <v>17</v>
      </c>
      <c r="S23" s="775">
        <f>F23</f>
        <v>100</v>
      </c>
      <c r="T23" s="774" t="s">
        <v>17</v>
      </c>
      <c r="U23" s="775">
        <f>H23</f>
        <v>100</v>
      </c>
      <c r="V23" s="774" t="s">
        <v>17</v>
      </c>
      <c r="W23" s="775">
        <f>J23</f>
        <v>100</v>
      </c>
      <c r="X23" s="1811"/>
      <c r="Y23" s="3212"/>
      <c r="Z23" s="1812" t="str">
        <f>Q23</f>
        <v>区域土地利用方向</v>
      </c>
      <c r="AA23" s="1809">
        <f t="shared" si="3"/>
        <v>1</v>
      </c>
      <c r="AB23" s="1809">
        <f t="shared" si="4"/>
        <v>1</v>
      </c>
      <c r="AC23" s="1809">
        <f t="shared" si="5"/>
        <v>1</v>
      </c>
    </row>
    <row r="24" spans="1:29" ht="15">
      <c r="A24" s="404"/>
      <c r="B24" s="456"/>
      <c r="C24" s="616"/>
      <c r="D24" s="448"/>
      <c r="E24" s="2603"/>
      <c r="F24" s="448"/>
      <c r="G24" s="2602"/>
      <c r="H24" s="448"/>
      <c r="I24" s="2602"/>
      <c r="J24" s="448"/>
      <c r="K24" s="807"/>
      <c r="L24" s="1138"/>
      <c r="M24" s="1129"/>
      <c r="N24" s="1129"/>
      <c r="O24" s="1137"/>
      <c r="P24" s="3212"/>
      <c r="Q24" s="1808"/>
      <c r="R24" s="774"/>
      <c r="S24" s="775"/>
      <c r="T24" s="774"/>
      <c r="U24" s="775"/>
      <c r="V24" s="774"/>
      <c r="W24" s="775"/>
      <c r="X24" s="1811"/>
      <c r="Y24" s="3212"/>
      <c r="Z24" s="1812"/>
      <c r="AA24" s="1809"/>
      <c r="AB24" s="1809"/>
      <c r="AC24" s="1809"/>
    </row>
    <row r="25" spans="1:29" ht="57">
      <c r="A25" s="404"/>
      <c r="B25" s="1382" t="s">
        <v>2739</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2"/>
      <c r="Q25" s="1808" t="str">
        <f t="shared" si="8"/>
        <v>自然及人文环境状况</v>
      </c>
      <c r="R25" s="774" t="s">
        <v>17</v>
      </c>
      <c r="S25" s="775">
        <f>F25</f>
        <v>100</v>
      </c>
      <c r="T25" s="774" t="s">
        <v>17</v>
      </c>
      <c r="U25" s="775">
        <f>H25</f>
        <v>100</v>
      </c>
      <c r="V25" s="774" t="s">
        <v>17</v>
      </c>
      <c r="W25" s="775">
        <f>J25</f>
        <v>100</v>
      </c>
      <c r="X25" s="1811"/>
      <c r="Y25" s="3212"/>
      <c r="Z25" s="1812" t="str">
        <f>Q25</f>
        <v>自然及人文环境状况</v>
      </c>
      <c r="AA25" s="1809">
        <f t="shared" si="3"/>
        <v>1</v>
      </c>
      <c r="AB25" s="1809">
        <f t="shared" si="4"/>
        <v>1</v>
      </c>
      <c r="AC25" s="1809">
        <f t="shared" si="5"/>
        <v>1</v>
      </c>
    </row>
    <row r="26" spans="1:29" ht="15">
      <c r="A26" s="404"/>
      <c r="B26" s="456"/>
      <c r="C26" s="447"/>
      <c r="D26" s="448"/>
      <c r="E26" s="2609"/>
      <c r="F26" s="448"/>
      <c r="G26" s="2609"/>
      <c r="H26" s="448"/>
      <c r="I26" s="447"/>
      <c r="J26" s="448"/>
      <c r="K26" s="672"/>
      <c r="L26" s="1138"/>
      <c r="M26" s="1129"/>
      <c r="N26" s="1129"/>
      <c r="O26" s="1137"/>
      <c r="P26" s="3212"/>
      <c r="Q26" s="1808"/>
      <c r="R26" s="774"/>
      <c r="S26" s="775"/>
      <c r="T26" s="774"/>
      <c r="U26" s="775"/>
      <c r="V26" s="774"/>
      <c r="W26" s="775"/>
      <c r="X26" s="1811"/>
      <c r="Y26" s="3212"/>
      <c r="Z26" s="1812"/>
      <c r="AA26" s="1809">
        <v>1</v>
      </c>
      <c r="AB26" s="1809">
        <v>1</v>
      </c>
      <c r="AC26" s="1809">
        <v>1</v>
      </c>
    </row>
    <row r="27" spans="1:29" s="117" customFormat="1" ht="42.75">
      <c r="A27" s="649"/>
      <c r="B27" s="1382" t="s">
        <v>2645</v>
      </c>
      <c r="C27" s="2605"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2"/>
      <c r="Q27" s="1793" t="str">
        <f t="shared" si="8"/>
        <v>公共配套设施</v>
      </c>
      <c r="R27" s="770" t="s">
        <v>17</v>
      </c>
      <c r="S27" s="771">
        <f>F27</f>
        <v>100</v>
      </c>
      <c r="T27" s="770" t="s">
        <v>17</v>
      </c>
      <c r="U27" s="771">
        <f>H27</f>
        <v>100</v>
      </c>
      <c r="V27" s="770" t="s">
        <v>17</v>
      </c>
      <c r="W27" s="771">
        <f>J27</f>
        <v>100</v>
      </c>
      <c r="X27" s="772"/>
      <c r="Y27" s="3212"/>
      <c r="Z27" s="55" t="str">
        <f>Q27</f>
        <v>公共配套设施</v>
      </c>
      <c r="AA27" s="1809">
        <f>D27/F27</f>
        <v>1</v>
      </c>
      <c r="AB27" s="1809">
        <f>D27/H27</f>
        <v>1</v>
      </c>
      <c r="AC27" s="1809">
        <f>D27/J27</f>
        <v>1</v>
      </c>
    </row>
    <row r="28" spans="1:29" s="117" customFormat="1" ht="15">
      <c r="A28" s="649"/>
      <c r="B28" s="456"/>
      <c r="C28" s="2697"/>
      <c r="D28" s="448"/>
      <c r="E28" s="2609"/>
      <c r="F28" s="448"/>
      <c r="G28" s="2609"/>
      <c r="H28" s="448"/>
      <c r="I28" s="447"/>
      <c r="J28" s="448"/>
      <c r="K28" s="672"/>
      <c r="L28" s="1130"/>
      <c r="M28" s="1131"/>
      <c r="N28" s="1131"/>
      <c r="O28" s="1132"/>
      <c r="P28" s="3212"/>
      <c r="Q28" s="1793"/>
      <c r="R28" s="770"/>
      <c r="S28" s="771"/>
      <c r="T28" s="770"/>
      <c r="U28" s="771"/>
      <c r="V28" s="770"/>
      <c r="W28" s="771"/>
      <c r="X28" s="772"/>
      <c r="Y28" s="3212"/>
      <c r="Z28" s="55"/>
      <c r="AA28" s="1809">
        <v>1</v>
      </c>
      <c r="AB28" s="1809">
        <v>1</v>
      </c>
      <c r="AC28" s="1809">
        <v>1</v>
      </c>
    </row>
    <row r="29" spans="1:29" s="117" customFormat="1" ht="28.5">
      <c r="A29" s="649"/>
      <c r="B29" s="1382" t="s">
        <v>2646</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2"/>
      <c r="Q29" s="1793" t="str">
        <f t="shared" ref="Q29" si="9">B29</f>
        <v>基础设施水平</v>
      </c>
      <c r="R29" s="770" t="s">
        <v>17</v>
      </c>
      <c r="S29" s="771">
        <f>F29</f>
        <v>100</v>
      </c>
      <c r="T29" s="770" t="s">
        <v>17</v>
      </c>
      <c r="U29" s="771">
        <f>H29</f>
        <v>100</v>
      </c>
      <c r="V29" s="770" t="s">
        <v>17</v>
      </c>
      <c r="W29" s="771">
        <f>J29</f>
        <v>100</v>
      </c>
      <c r="X29" s="772"/>
      <c r="Y29" s="3212"/>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0"/>
      <c r="M30" s="1131"/>
      <c r="N30" s="1131"/>
      <c r="O30" s="1132"/>
      <c r="P30" s="3212"/>
      <c r="Q30" s="1793"/>
      <c r="R30" s="770"/>
      <c r="S30" s="771"/>
      <c r="T30" s="770"/>
      <c r="U30" s="771"/>
      <c r="V30" s="770"/>
      <c r="W30" s="771"/>
      <c r="X30" s="772"/>
      <c r="Y30" s="3212"/>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2"/>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12"/>
      <c r="Z31" s="1812" t="str">
        <f t="shared" ref="Z31:Z45" si="13">Q31</f>
        <v>临街状况</v>
      </c>
      <c r="AA31" s="1809">
        <f t="shared" si="3"/>
        <v>1</v>
      </c>
      <c r="AB31" s="1809">
        <f t="shared" si="4"/>
        <v>1</v>
      </c>
      <c r="AC31" s="1809">
        <f t="shared" si="5"/>
        <v>1</v>
      </c>
    </row>
    <row r="32" spans="1:29" ht="27">
      <c r="A32" s="428"/>
      <c r="B32" s="1382"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2"/>
      <c r="Q32" s="1808" t="str">
        <f t="shared" si="8"/>
        <v>毗邻道路的类型与等级</v>
      </c>
      <c r="R32" s="774" t="s">
        <v>17</v>
      </c>
      <c r="S32" s="775">
        <f t="shared" si="10"/>
        <v>100</v>
      </c>
      <c r="T32" s="774" t="s">
        <v>17</v>
      </c>
      <c r="U32" s="775">
        <f t="shared" si="11"/>
        <v>100</v>
      </c>
      <c r="V32" s="774" t="s">
        <v>17</v>
      </c>
      <c r="W32" s="775">
        <f t="shared" si="12"/>
        <v>100</v>
      </c>
      <c r="X32" s="1811"/>
      <c r="Y32" s="3212"/>
      <c r="Z32" s="1812" t="str">
        <f t="shared" si="13"/>
        <v>毗邻道路的类型与等级</v>
      </c>
      <c r="AA32" s="1809">
        <f t="shared" si="3"/>
        <v>1</v>
      </c>
      <c r="AB32" s="1809">
        <f t="shared" si="4"/>
        <v>1</v>
      </c>
      <c r="AC32" s="1809">
        <f t="shared" si="5"/>
        <v>1</v>
      </c>
    </row>
    <row r="33" spans="1:29" ht="15">
      <c r="A33" s="428"/>
      <c r="B33" s="456"/>
      <c r="C33" s="447"/>
      <c r="D33" s="448"/>
      <c r="E33" s="2609"/>
      <c r="F33" s="448"/>
      <c r="G33" s="2609"/>
      <c r="H33" s="448"/>
      <c r="I33" s="447"/>
      <c r="J33" s="448"/>
      <c r="K33" s="613"/>
      <c r="L33" s="1138"/>
      <c r="M33" s="1129"/>
      <c r="N33" s="1129"/>
      <c r="O33" s="1137"/>
      <c r="P33" s="3212"/>
      <c r="Q33" s="1808"/>
      <c r="R33" s="774"/>
      <c r="S33" s="775"/>
      <c r="T33" s="774"/>
      <c r="U33" s="775"/>
      <c r="V33" s="774"/>
      <c r="W33" s="775"/>
      <c r="X33" s="1811"/>
      <c r="Y33" s="3212"/>
      <c r="Z33" s="1812"/>
      <c r="AA33" s="1809">
        <v>1</v>
      </c>
      <c r="AB33" s="1809">
        <v>1</v>
      </c>
      <c r="AC33" s="1809">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2"/>
      <c r="Q34" s="1808" t="str">
        <f t="shared" si="8"/>
        <v>土地级别</v>
      </c>
      <c r="R34" s="774" t="s">
        <v>17</v>
      </c>
      <c r="S34" s="775">
        <f t="shared" si="10"/>
        <v>100</v>
      </c>
      <c r="T34" s="774" t="s">
        <v>17</v>
      </c>
      <c r="U34" s="775">
        <f t="shared" si="11"/>
        <v>100</v>
      </c>
      <c r="V34" s="774" t="s">
        <v>17</v>
      </c>
      <c r="W34" s="775">
        <f t="shared" si="12"/>
        <v>100</v>
      </c>
      <c r="X34" s="1811"/>
      <c r="Y34" s="3212"/>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2"/>
      <c r="Q35" s="1808">
        <f t="shared" si="8"/>
        <v>111</v>
      </c>
      <c r="R35" s="774" t="s">
        <v>17</v>
      </c>
      <c r="S35" s="775">
        <f t="shared" si="10"/>
        <v>100</v>
      </c>
      <c r="T35" s="774" t="s">
        <v>17</v>
      </c>
      <c r="U35" s="775">
        <f t="shared" si="11"/>
        <v>100</v>
      </c>
      <c r="V35" s="774" t="s">
        <v>17</v>
      </c>
      <c r="W35" s="775">
        <f t="shared" si="12"/>
        <v>100</v>
      </c>
      <c r="X35" s="1811"/>
      <c r="Y35" s="3212"/>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35" t="s">
        <v>2556</v>
      </c>
      <c r="Q36" s="1808">
        <f t="shared" si="8"/>
        <v>111</v>
      </c>
      <c r="R36" s="774" t="s">
        <v>17</v>
      </c>
      <c r="S36" s="775">
        <f t="shared" si="10"/>
        <v>100</v>
      </c>
      <c r="T36" s="774" t="s">
        <v>17</v>
      </c>
      <c r="U36" s="775">
        <f t="shared" si="11"/>
        <v>100</v>
      </c>
      <c r="V36" s="774" t="s">
        <v>17</v>
      </c>
      <c r="W36" s="775">
        <f t="shared" si="12"/>
        <v>100</v>
      </c>
      <c r="X36" s="1811"/>
      <c r="Y36" s="3216" t="s">
        <v>2556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16"/>
      <c r="Q37" s="1808">
        <f t="shared" si="8"/>
        <v>111</v>
      </c>
      <c r="R37" s="777" t="s">
        <v>17</v>
      </c>
      <c r="S37" s="778">
        <f t="shared" si="10"/>
        <v>100</v>
      </c>
      <c r="T37" s="777" t="s">
        <v>17</v>
      </c>
      <c r="U37" s="778">
        <f t="shared" si="11"/>
        <v>100</v>
      </c>
      <c r="V37" s="777" t="s">
        <v>17</v>
      </c>
      <c r="W37" s="778">
        <f t="shared" si="12"/>
        <v>100</v>
      </c>
      <c r="X37" s="779"/>
      <c r="Y37" s="3216"/>
      <c r="Z37" s="780">
        <f t="shared" si="13"/>
        <v>111</v>
      </c>
      <c r="AA37" s="1809">
        <f t="shared" si="3"/>
        <v>1</v>
      </c>
      <c r="AB37" s="1809">
        <f t="shared" si="4"/>
        <v>1</v>
      </c>
      <c r="AC37" s="1809">
        <f t="shared" si="5"/>
        <v>1</v>
      </c>
    </row>
    <row r="38" spans="1:29" ht="15">
      <c r="A38" s="472" t="s">
        <v>2554</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16"/>
      <c r="Q38" s="1808" t="str">
        <f>B38</f>
        <v>宗地面积</v>
      </c>
      <c r="R38" s="774" t="s">
        <v>17</v>
      </c>
      <c r="S38" s="775" t="e">
        <f t="shared" si="10"/>
        <v>#N/A</v>
      </c>
      <c r="T38" s="774" t="s">
        <v>17</v>
      </c>
      <c r="U38" s="775" t="e">
        <f t="shared" si="11"/>
        <v>#N/A</v>
      </c>
      <c r="V38" s="774" t="s">
        <v>17</v>
      </c>
      <c r="W38" s="775" t="e">
        <f t="shared" si="12"/>
        <v>#N/A</v>
      </c>
      <c r="X38" s="1811"/>
      <c r="Y38" s="3216"/>
      <c r="Z38" s="1812" t="str">
        <f t="shared" si="13"/>
        <v>宗地面积</v>
      </c>
      <c r="AA38" s="1809" t="e">
        <f t="shared" si="3"/>
        <v>#N/A</v>
      </c>
      <c r="AB38" s="1809" t="e">
        <f t="shared" si="4"/>
        <v>#N/A</v>
      </c>
      <c r="AC38" s="1809" t="e">
        <f t="shared" si="5"/>
        <v>#N/A</v>
      </c>
    </row>
    <row r="39" spans="1:29" ht="15">
      <c r="A39" s="472"/>
      <c r="B39" s="422" t="s">
        <v>2742</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8"/>
      <c r="M39" s="1129"/>
      <c r="N39" s="1129"/>
      <c r="O39" s="1137"/>
      <c r="P39" s="3216"/>
      <c r="Q39" s="1808" t="str">
        <f t="shared" ref="Q39:Q45" si="14">B39</f>
        <v>宗地形状</v>
      </c>
      <c r="R39" s="774" t="s">
        <v>17</v>
      </c>
      <c r="S39" s="775">
        <f t="shared" si="10"/>
        <v>100</v>
      </c>
      <c r="T39" s="774" t="s">
        <v>17</v>
      </c>
      <c r="U39" s="775">
        <f t="shared" si="11"/>
        <v>100</v>
      </c>
      <c r="V39" s="774" t="s">
        <v>17</v>
      </c>
      <c r="W39" s="775">
        <f t="shared" si="12"/>
        <v>100</v>
      </c>
      <c r="X39" s="1811"/>
      <c r="Y39" s="3216"/>
      <c r="Z39" s="1812" t="str">
        <f t="shared" si="13"/>
        <v>宗地形状</v>
      </c>
      <c r="AA39" s="1809">
        <f t="shared" si="3"/>
        <v>1</v>
      </c>
      <c r="AB39" s="1809">
        <f t="shared" si="4"/>
        <v>1</v>
      </c>
      <c r="AC39" s="1809">
        <f t="shared" si="5"/>
        <v>1</v>
      </c>
    </row>
    <row r="40" spans="1:29" ht="15">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8"/>
      <c r="M40" s="1129"/>
      <c r="N40" s="1129"/>
      <c r="O40" s="1137"/>
      <c r="P40" s="3216"/>
      <c r="Q40" s="1808" t="str">
        <f t="shared" si="14"/>
        <v>临街宽度及深度</v>
      </c>
      <c r="R40" s="774" t="s">
        <v>17</v>
      </c>
      <c r="S40" s="775">
        <f t="shared" si="10"/>
        <v>100</v>
      </c>
      <c r="T40" s="774" t="s">
        <v>17</v>
      </c>
      <c r="U40" s="775">
        <f t="shared" si="11"/>
        <v>100</v>
      </c>
      <c r="V40" s="774" t="s">
        <v>17</v>
      </c>
      <c r="W40" s="775">
        <f t="shared" si="12"/>
        <v>100</v>
      </c>
      <c r="X40" s="1811"/>
      <c r="Y40" s="3216"/>
      <c r="Z40" s="1812" t="str">
        <f t="shared" si="13"/>
        <v>临街宽度及深度</v>
      </c>
      <c r="AA40" s="1809">
        <f t="shared" si="3"/>
        <v>1</v>
      </c>
      <c r="AB40" s="1809">
        <f t="shared" si="4"/>
        <v>1</v>
      </c>
      <c r="AC40" s="1809">
        <f t="shared" si="5"/>
        <v>1</v>
      </c>
    </row>
    <row r="41" spans="1:29" s="117" customFormat="1" ht="15">
      <c r="A41" s="473"/>
      <c r="B41" s="422" t="s">
        <v>2744</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216"/>
      <c r="Q41" s="1808"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2745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8"/>
      <c r="M42" s="1129"/>
      <c r="N42" s="1129"/>
      <c r="O42" s="1137"/>
      <c r="P42" s="3216" t="s">
        <v>2556</v>
      </c>
      <c r="Q42" s="1808" t="str">
        <f t="shared" si="14"/>
        <v>工程地质条件</v>
      </c>
      <c r="R42" s="774" t="s">
        <v>17</v>
      </c>
      <c r="S42" s="775">
        <f t="shared" si="10"/>
        <v>100</v>
      </c>
      <c r="T42" s="774" t="s">
        <v>17</v>
      </c>
      <c r="U42" s="775">
        <f t="shared" si="11"/>
        <v>100</v>
      </c>
      <c r="V42" s="774" t="s">
        <v>17</v>
      </c>
      <c r="W42" s="775">
        <f t="shared" si="12"/>
        <v>100</v>
      </c>
      <c r="X42" s="1811"/>
      <c r="Y42" s="3216" t="s">
        <v>2556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16"/>
      <c r="Q43" s="1808">
        <f t="shared" si="14"/>
        <v>111</v>
      </c>
      <c r="R43" s="774" t="s">
        <v>17</v>
      </c>
      <c r="S43" s="775">
        <f t="shared" si="10"/>
        <v>100</v>
      </c>
      <c r="T43" s="774" t="s">
        <v>17</v>
      </c>
      <c r="U43" s="775">
        <f t="shared" si="11"/>
        <v>100</v>
      </c>
      <c r="V43" s="774" t="s">
        <v>17</v>
      </c>
      <c r="W43" s="775">
        <f t="shared" si="12"/>
        <v>100</v>
      </c>
      <c r="X43" s="1811"/>
      <c r="Y43" s="3216"/>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16"/>
      <c r="Q44" s="1808">
        <f t="shared" si="14"/>
        <v>111</v>
      </c>
      <c r="R44" s="774" t="s">
        <v>17</v>
      </c>
      <c r="S44" s="775">
        <f t="shared" si="10"/>
        <v>100</v>
      </c>
      <c r="T44" s="774" t="s">
        <v>17</v>
      </c>
      <c r="U44" s="775">
        <f t="shared" si="11"/>
        <v>100</v>
      </c>
      <c r="V44" s="774" t="s">
        <v>17</v>
      </c>
      <c r="W44" s="775">
        <f t="shared" si="12"/>
        <v>100</v>
      </c>
      <c r="X44" s="1811"/>
      <c r="Y44" s="3216"/>
      <c r="Z44" s="1812">
        <f t="shared" si="13"/>
        <v>111</v>
      </c>
      <c r="AA44" s="1809">
        <f t="shared" si="3"/>
        <v>1</v>
      </c>
      <c r="AB44" s="1809">
        <f t="shared" si="4"/>
        <v>1</v>
      </c>
      <c r="AC44" s="1809">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16"/>
      <c r="Q45" s="1808">
        <f t="shared" si="14"/>
        <v>111</v>
      </c>
      <c r="R45" s="777" t="s">
        <v>17</v>
      </c>
      <c r="S45" s="778">
        <f t="shared" si="10"/>
        <v>100</v>
      </c>
      <c r="T45" s="777" t="s">
        <v>17</v>
      </c>
      <c r="U45" s="778">
        <f t="shared" si="11"/>
        <v>100</v>
      </c>
      <c r="V45" s="777" t="s">
        <v>17</v>
      </c>
      <c r="W45" s="778">
        <f t="shared" si="12"/>
        <v>100</v>
      </c>
      <c r="X45" s="779"/>
      <c r="Y45" s="3216"/>
      <c r="Z45" s="780">
        <f t="shared" si="13"/>
        <v>111</v>
      </c>
      <c r="AA45" s="1809">
        <f t="shared" si="3"/>
        <v>1</v>
      </c>
      <c r="AB45" s="1809">
        <f t="shared" si="4"/>
        <v>1</v>
      </c>
      <c r="AC45" s="1809">
        <f t="shared" si="5"/>
        <v>1</v>
      </c>
    </row>
    <row r="46" spans="1:29" ht="15">
      <c r="A46" s="479" t="s">
        <v>2711</v>
      </c>
      <c r="B46" s="2701" t="s">
        <v>2746</v>
      </c>
      <c r="C46" s="682" t="s">
        <v>1</v>
      </c>
      <c r="D46" s="481"/>
      <c r="E46" s="482"/>
      <c r="F46" s="483"/>
      <c r="G46" s="484"/>
      <c r="H46" s="485"/>
      <c r="I46" s="482"/>
      <c r="J46" s="485"/>
      <c r="K46" s="783"/>
      <c r="L46" s="1141"/>
      <c r="M46" s="1142"/>
      <c r="N46" s="1129"/>
      <c r="O46" s="1142"/>
      <c r="P46" s="3209" t="str">
        <f>A46</f>
        <v>成交单价</v>
      </c>
      <c r="Q46" s="3209"/>
      <c r="R46" s="3204">
        <f>E46</f>
        <v>0</v>
      </c>
      <c r="S46" s="3204"/>
      <c r="T46" s="3204">
        <f>G46</f>
        <v>0</v>
      </c>
      <c r="U46" s="3204"/>
      <c r="V46" s="3204">
        <f>I46</f>
        <v>0</v>
      </c>
      <c r="W46" s="3204"/>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1"/>
      <c r="M47" s="1142"/>
      <c r="N47" s="1142"/>
      <c r="O47" s="1142"/>
      <c r="P47" s="3209" t="str">
        <f>A47</f>
        <v>比较价值（元/平方米）</v>
      </c>
      <c r="Q47" s="3209"/>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1"/>
      <c r="M48" s="1142"/>
      <c r="N48" s="1142"/>
      <c r="O48" s="1142"/>
      <c r="P48" s="3206" t="str">
        <f>A48</f>
        <v>估价对象XX用房的比较价值（楼面单价，元/平方米）</v>
      </c>
      <c r="Q48" s="3207"/>
      <c r="R48" s="3237" t="e">
        <f>ROUND(AVERAGE(R47:V47),0)</f>
        <v>#DIV/0!</v>
      </c>
      <c r="S48" s="3237"/>
      <c r="T48" s="3237"/>
      <c r="U48" s="3237"/>
      <c r="V48" s="3237"/>
      <c r="W48" s="3237"/>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2748</v>
      </c>
      <c r="B55" s="685" t="s">
        <v>2749</v>
      </c>
      <c r="C55" s="2702" t="s">
        <v>2750</v>
      </c>
      <c r="D55" s="2703" t="s">
        <v>2751</v>
      </c>
      <c r="E55" s="686" t="s">
        <v>2752</v>
      </c>
      <c r="F55" s="1105" t="s">
        <v>2753</v>
      </c>
      <c r="G55" s="3192" t="s">
        <v>2754</v>
      </c>
      <c r="H55" s="3238"/>
      <c r="I55" s="144" t="s">
        <v>2755</v>
      </c>
      <c r="J55" s="2704">
        <f>项目基本情况!F35</f>
        <v>0</v>
      </c>
      <c r="K55" s="2705" t="s">
        <v>2756</v>
      </c>
      <c r="L55" s="1104"/>
      <c r="M55" s="1142"/>
      <c r="N55" s="1142"/>
      <c r="O55" s="1142"/>
    </row>
    <row r="56" spans="1:15" s="692" customFormat="1">
      <c r="A56" s="688" t="s">
        <v>2757</v>
      </c>
      <c r="B56" s="689" t="e">
        <f>C48</f>
        <v>#DIV/0!</v>
      </c>
      <c r="C56" s="690">
        <v>1</v>
      </c>
      <c r="D56" s="1161">
        <v>1</v>
      </c>
      <c r="E56" s="690">
        <f>'数据-汇总表'!E8+'数据-汇总表'!E9</f>
        <v>10636.68</v>
      </c>
      <c r="F56" s="1101" t="e">
        <f t="shared" ref="F56:F65" si="15">ROUND(B56*E56/10000,0)</f>
        <v>#DIV/0!</v>
      </c>
      <c r="G56" s="3191"/>
      <c r="H56" s="3209"/>
      <c r="I56" s="1106">
        <v>1</v>
      </c>
      <c r="J56" s="1109">
        <v>1</v>
      </c>
      <c r="K56" s="1143"/>
      <c r="L56" s="939"/>
      <c r="M56" s="939"/>
      <c r="N56" s="939"/>
      <c r="O56" s="939"/>
    </row>
    <row r="57" spans="1:15" s="692" customFormat="1">
      <c r="A57" s="693" t="s">
        <v>2758</v>
      </c>
      <c r="B57" s="262" t="e">
        <f>ROUND($C$48*C57*D57,0)</f>
        <v>#DIV/0!</v>
      </c>
      <c r="C57" s="200">
        <f t="shared" ref="C57:C65" si="16">IF($C$55="北京市系数",I57,J57)</f>
        <v>0.7</v>
      </c>
      <c r="D57" s="1162">
        <v>0.25</v>
      </c>
      <c r="E57" s="694"/>
      <c r="F57" s="1101" t="e">
        <f t="shared" si="15"/>
        <v>#DIV/0!</v>
      </c>
      <c r="G57" s="3239" t="s">
        <v>2759</v>
      </c>
      <c r="H57" s="1102" t="str">
        <f>项目基本情况!B37</f>
        <v>四级</v>
      </c>
      <c r="I57" s="1106">
        <f>SUMIF(修正!A45:A56,H57,修正!B45:B56)</f>
        <v>0.7</v>
      </c>
      <c r="J57" s="1110"/>
      <c r="K57" s="1142"/>
      <c r="L57" s="939"/>
      <c r="M57" s="939"/>
      <c r="N57" s="939"/>
      <c r="O57" s="939"/>
    </row>
    <row r="58" spans="1:15" s="692" customFormat="1">
      <c r="A58" s="693" t="s">
        <v>2760</v>
      </c>
      <c r="B58" s="262" t="e">
        <f t="shared" ref="B58:B65" si="17">ROUND($C$48*C58*D58,0)</f>
        <v>#DIV/0!</v>
      </c>
      <c r="C58" s="200">
        <f t="shared" si="16"/>
        <v>0.4</v>
      </c>
      <c r="D58" s="1162">
        <v>0.25</v>
      </c>
      <c r="E58" s="694"/>
      <c r="F58" s="1101" t="e">
        <f t="shared" si="15"/>
        <v>#DIV/0!</v>
      </c>
      <c r="G58" s="3239"/>
      <c r="H58" s="1102" t="str">
        <f>项目基本情况!B37</f>
        <v>四级</v>
      </c>
      <c r="I58" s="1106">
        <f>SUMIF(修正!A45:A56,H58,修正!C45:C56)</f>
        <v>0.4</v>
      </c>
      <c r="J58" s="1110"/>
      <c r="K58" s="1143"/>
      <c r="L58" s="939"/>
      <c r="M58" s="939"/>
      <c r="N58" s="939"/>
      <c r="O58" s="939"/>
    </row>
    <row r="59" spans="1:15" s="692" customFormat="1">
      <c r="A59" s="693" t="s">
        <v>2761</v>
      </c>
      <c r="B59" s="262" t="e">
        <f t="shared" si="17"/>
        <v>#DIV/0!</v>
      </c>
      <c r="C59" s="200">
        <f t="shared" si="16"/>
        <v>0.28000000000000003</v>
      </c>
      <c r="D59" s="1162">
        <v>0.25</v>
      </c>
      <c r="E59" s="694"/>
      <c r="F59" s="1101" t="e">
        <f t="shared" si="15"/>
        <v>#DIV/0!</v>
      </c>
      <c r="G59" s="3239"/>
      <c r="H59" s="1102" t="str">
        <f>项目基本情况!B37</f>
        <v>四级</v>
      </c>
      <c r="I59" s="1106">
        <f>SUMIF(修正!A45:A56,H59,修正!D45:D56)</f>
        <v>0.28000000000000003</v>
      </c>
      <c r="J59" s="1110"/>
      <c r="K59" s="1142"/>
      <c r="L59" s="939"/>
      <c r="M59" s="939"/>
      <c r="N59" s="939"/>
      <c r="O59" s="939"/>
    </row>
    <row r="60" spans="1:15" s="692" customFormat="1">
      <c r="A60" s="693" t="s">
        <v>2762</v>
      </c>
      <c r="B60" s="262" t="e">
        <f t="shared" si="17"/>
        <v>#DIV/0!</v>
      </c>
      <c r="C60" s="200">
        <f t="shared" si="16"/>
        <v>0.25</v>
      </c>
      <c r="D60" s="1162">
        <v>0.25</v>
      </c>
      <c r="E60" s="694"/>
      <c r="F60" s="1101" t="e">
        <f t="shared" si="15"/>
        <v>#DIV/0!</v>
      </c>
      <c r="G60" s="3239"/>
      <c r="H60" s="1102" t="str">
        <f>项目基本情况!B37</f>
        <v>四级</v>
      </c>
      <c r="I60" s="1106">
        <f>SUMIF(修正!A45:A56,H60,修正!E45:E56)</f>
        <v>0.25</v>
      </c>
      <c r="J60" s="1110"/>
      <c r="K60" s="1143"/>
      <c r="L60" s="939"/>
      <c r="M60" s="939"/>
      <c r="N60" s="939"/>
      <c r="O60" s="939"/>
    </row>
    <row r="61" spans="1:15" s="692" customFormat="1">
      <c r="A61" s="693" t="s">
        <v>2763</v>
      </c>
      <c r="B61" s="262" t="e">
        <f t="shared" si="17"/>
        <v>#DIV/0!</v>
      </c>
      <c r="C61" s="200">
        <f t="shared" si="16"/>
        <v>0.25</v>
      </c>
      <c r="D61" s="1162">
        <v>0.25</v>
      </c>
      <c r="E61" s="261">
        <f>'数据-汇总表'!E11</f>
        <v>0</v>
      </c>
      <c r="F61" s="1101" t="e">
        <f t="shared" si="15"/>
        <v>#DIV/0!</v>
      </c>
      <c r="G61" s="2706" t="s">
        <v>2764</v>
      </c>
      <c r="H61" s="1102" t="str">
        <f>项目基本情况!C37</f>
        <v>四级</v>
      </c>
      <c r="I61" s="1106">
        <f>SUMIF(修正!A45:A56,H61,修正!F45:F56)</f>
        <v>0.25</v>
      </c>
      <c r="J61" s="1110"/>
      <c r="K61" s="1142"/>
      <c r="L61" s="939"/>
      <c r="M61" s="939"/>
      <c r="N61" s="939"/>
      <c r="O61" s="939"/>
    </row>
    <row r="62" spans="1:15" s="692" customFormat="1">
      <c r="A62" s="693" t="s">
        <v>2765</v>
      </c>
      <c r="B62" s="262" t="e">
        <f t="shared" si="17"/>
        <v>#DIV/0!</v>
      </c>
      <c r="C62" s="200">
        <f t="shared" si="16"/>
        <v>0.25</v>
      </c>
      <c r="D62" s="1162">
        <v>0.25</v>
      </c>
      <c r="E62" s="261">
        <f>'数据-汇总表'!E12</f>
        <v>0</v>
      </c>
      <c r="F62" s="1101" t="e">
        <f t="shared" si="15"/>
        <v>#DIV/0!</v>
      </c>
      <c r="G62" s="1107" t="s">
        <v>2766</v>
      </c>
      <c r="H62" s="1102" t="str">
        <f>IF(G62="商业",项目基本情况!B37,IF(G62="办公",项目基本情况!C37,IF(G62="住宅",项目基本情况!D37,项目基本情况!E37)))</f>
        <v>四级</v>
      </c>
      <c r="I62" s="1106">
        <f>SUMIF(修正!A45:A56,H62,修正!G45:G56)</f>
        <v>0.25</v>
      </c>
      <c r="J62" s="1110"/>
      <c r="K62" s="1143"/>
      <c r="L62" s="939"/>
      <c r="M62" s="939"/>
      <c r="N62" s="939"/>
      <c r="O62" s="939"/>
    </row>
    <row r="63" spans="1:15" s="692" customFormat="1">
      <c r="A63" s="693" t="s">
        <v>2767</v>
      </c>
      <c r="B63" s="262" t="e">
        <f t="shared" si="17"/>
        <v>#DIV/0!</v>
      </c>
      <c r="C63" s="200">
        <f t="shared" si="16"/>
        <v>0</v>
      </c>
      <c r="D63" s="1162">
        <v>0.25</v>
      </c>
      <c r="E63" s="261">
        <f>'数据-汇总表'!E13</f>
        <v>0</v>
      </c>
      <c r="F63" s="1101" t="e">
        <f t="shared" si="15"/>
        <v>#DIV/0!</v>
      </c>
      <c r="G63" s="1107" t="s">
        <v>2768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2769</v>
      </c>
      <c r="B64" s="262" t="e">
        <f t="shared" si="17"/>
        <v>#DIV/0!</v>
      </c>
      <c r="C64" s="200">
        <f t="shared" si="16"/>
        <v>0.2</v>
      </c>
      <c r="D64" s="1162">
        <v>0.25</v>
      </c>
      <c r="E64" s="261">
        <f>'数据-汇总表'!E14</f>
        <v>0</v>
      </c>
      <c r="F64" s="1101" t="e">
        <f t="shared" si="15"/>
        <v>#DIV/0!</v>
      </c>
      <c r="G64" s="2706" t="s">
        <v>2759</v>
      </c>
      <c r="H64" s="1102" t="str">
        <f>项目基本情况!B37</f>
        <v>四级</v>
      </c>
      <c r="I64" s="1106">
        <f>SUMIF(修正!A45:A56,H64,修正!H45:H56)</f>
        <v>0.2</v>
      </c>
      <c r="J64" s="1110"/>
      <c r="K64" s="1143"/>
      <c r="L64" s="939"/>
      <c r="M64" s="939"/>
      <c r="N64" s="939"/>
      <c r="O64" s="939"/>
    </row>
    <row r="65" spans="1:17" s="692" customFormat="1" ht="15" thickBot="1">
      <c r="A65" s="693" t="s">
        <v>2770</v>
      </c>
      <c r="B65" s="262" t="e">
        <f t="shared" si="17"/>
        <v>#DIV/0!</v>
      </c>
      <c r="C65" s="200">
        <f t="shared" si="16"/>
        <v>0.2</v>
      </c>
      <c r="D65" s="1162">
        <v>0.25</v>
      </c>
      <c r="E65" s="261">
        <f>'数据-汇总表'!E15</f>
        <v>991.5300000000002</v>
      </c>
      <c r="F65" s="1101" t="e">
        <f t="shared" si="15"/>
        <v>#DIV/0!</v>
      </c>
      <c r="G65" s="2707" t="s">
        <v>2764</v>
      </c>
      <c r="H65" s="1112" t="str">
        <f>项目基本情况!C37</f>
        <v>四级</v>
      </c>
      <c r="I65" s="1108">
        <f>SUMIF(修正!A45:A56,H65,修正!H45:H56)</f>
        <v>0.2</v>
      </c>
      <c r="J65" s="1111"/>
      <c r="K65" s="1142"/>
      <c r="L65" s="939"/>
      <c r="M65" s="939"/>
      <c r="N65" s="939"/>
      <c r="O65" s="939"/>
    </row>
    <row r="66" spans="1:17" s="692" customFormat="1" ht="13.5" thickBot="1">
      <c r="A66" s="695" t="s">
        <v>2771</v>
      </c>
      <c r="B66" s="696" t="s">
        <v>28</v>
      </c>
      <c r="C66" s="696" t="s">
        <v>29</v>
      </c>
      <c r="D66" s="696" t="s">
        <v>1029</v>
      </c>
      <c r="E66" s="696">
        <f>IF(B46="楼面地价",SUM(E56:E65),'数据-汇总表'!D3)</f>
        <v>11628.210000000001</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2665</v>
      </c>
      <c r="B69" s="759"/>
      <c r="C69" s="764"/>
      <c r="D69" s="764"/>
      <c r="E69" s="764"/>
      <c r="F69" s="765"/>
      <c r="G69" s="765"/>
      <c r="H69" s="764"/>
      <c r="I69" s="764"/>
      <c r="J69" s="1157"/>
      <c r="K69" s="1158"/>
      <c r="L69" s="1159"/>
      <c r="M69" s="1157"/>
      <c r="N69" s="1157"/>
      <c r="O69" s="1157"/>
      <c r="P69" s="503"/>
      <c r="Q69" s="504"/>
    </row>
    <row r="70" spans="1:17" s="508" customFormat="1" ht="15">
      <c r="A70" s="2708" t="s">
        <v>2772</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7"/>
    </row>
    <row r="71" spans="1:17" s="117" customFormat="1" ht="30" customHeight="1">
      <c r="A71" s="2709" t="s">
        <v>2773</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5"/>
      <c r="N71" s="595"/>
      <c r="O71" s="1566"/>
      <c r="P71" s="504"/>
    </row>
    <row r="72" spans="1:17" s="117" customFormat="1" ht="15.75" thickBot="1">
      <c r="A72" s="515" t="s">
        <v>2576</v>
      </c>
      <c r="B72" s="516"/>
      <c r="C72" s="517"/>
      <c r="D72" s="518"/>
      <c r="E72" s="518"/>
      <c r="F72" s="518"/>
      <c r="G72" s="518"/>
      <c r="H72" s="518"/>
      <c r="I72" s="518"/>
      <c r="J72" s="518"/>
      <c r="K72" s="518"/>
      <c r="L72" s="518"/>
      <c r="M72" s="519"/>
      <c r="N72" s="518"/>
      <c r="O72" s="1160"/>
      <c r="P72" s="504"/>
      <c r="Q72" s="504"/>
    </row>
    <row r="73" spans="1:17" s="117" customFormat="1" ht="15">
      <c r="A73" s="521" t="s">
        <v>2541</v>
      </c>
      <c r="B73" s="510"/>
      <c r="C73" s="522" t="s">
        <v>2643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2579</v>
      </c>
      <c r="B75" s="528" t="s">
        <v>2545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2548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2740</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2554</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2782</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2783</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2784</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2785</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90" priority="14" stopIfTrue="1" operator="containsText" text="超过">
      <formula>NOT(ISERROR(SEARCH("超过",F51)))</formula>
    </cfRule>
  </conditionalFormatting>
  <conditionalFormatting sqref="J53">
    <cfRule type="containsText" dxfId="89" priority="13" stopIfTrue="1" operator="containsText" text="超过">
      <formula>NOT(ISERROR(SEARCH("超过",J53)))</formula>
    </cfRule>
  </conditionalFormatting>
  <conditionalFormatting sqref="H53">
    <cfRule type="containsText" dxfId="88" priority="12" stopIfTrue="1" operator="containsText" text="超过">
      <formula>NOT(ISERROR(SEARCH("超过",H53)))</formula>
    </cfRule>
  </conditionalFormatting>
  <conditionalFormatting sqref="F53">
    <cfRule type="containsText" dxfId="87" priority="11" stopIfTrue="1" operator="containsText" text="超过">
      <formula>NOT(ISERROR(SEARCH("超过",F53)))</formula>
    </cfRule>
  </conditionalFormatting>
  <conditionalFormatting sqref="F52 H52 J52">
    <cfRule type="containsText" dxfId="86" priority="10" stopIfTrue="1" operator="containsText" text="超过">
      <formula>NOT(ISERROR(SEARCH("超过",F52)))</formula>
    </cfRule>
  </conditionalFormatting>
  <conditionalFormatting sqref="E51">
    <cfRule type="expression" dxfId="85" priority="9" stopIfTrue="1">
      <formula>$F$51="超过30%"</formula>
    </cfRule>
  </conditionalFormatting>
  <conditionalFormatting sqref="G53">
    <cfRule type="expression" dxfId="84" priority="8" stopIfTrue="1">
      <formula>$H$53="超过30%"</formula>
    </cfRule>
  </conditionalFormatting>
  <conditionalFormatting sqref="E52">
    <cfRule type="expression" dxfId="83" priority="7" stopIfTrue="1">
      <formula>$F$52="超过20%"</formula>
    </cfRule>
  </conditionalFormatting>
  <conditionalFormatting sqref="E53">
    <cfRule type="expression" dxfId="82" priority="6" stopIfTrue="1">
      <formula>$F$53="超过30%"</formula>
    </cfRule>
  </conditionalFormatting>
  <conditionalFormatting sqref="G51">
    <cfRule type="expression" dxfId="81" priority="5" stopIfTrue="1">
      <formula>$H$53+$H$51="超过30%"</formula>
    </cfRule>
  </conditionalFormatting>
  <conditionalFormatting sqref="G52">
    <cfRule type="expression" dxfId="80" priority="4" stopIfTrue="1">
      <formula>$H$52="超过20%"</formula>
    </cfRule>
  </conditionalFormatting>
  <conditionalFormatting sqref="I51">
    <cfRule type="expression" dxfId="79" priority="3" stopIfTrue="1">
      <formula>$J$51="超过30%"</formula>
    </cfRule>
  </conditionalFormatting>
  <conditionalFormatting sqref="I52">
    <cfRule type="expression" dxfId="78" priority="2" stopIfTrue="1">
      <formula>$J$52="超过20%"</formula>
    </cfRule>
  </conditionalFormatting>
  <conditionalFormatting sqref="I53">
    <cfRule type="expression" dxfId="7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2736</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2636</v>
      </c>
      <c r="B4" s="402"/>
      <c r="C4" s="3192" t="s">
        <v>2637</v>
      </c>
      <c r="D4" s="3193"/>
      <c r="E4" s="3194" t="s">
        <v>2638</v>
      </c>
      <c r="F4" s="3195"/>
      <c r="G4" s="3192" t="s">
        <v>2639</v>
      </c>
      <c r="H4" s="3193"/>
      <c r="I4" s="3192" t="s">
        <v>2640</v>
      </c>
      <c r="J4" s="3193"/>
      <c r="K4" s="610" t="s">
        <v>2641</v>
      </c>
      <c r="L4" s="1128"/>
      <c r="M4" s="1129"/>
      <c r="N4" s="1129"/>
      <c r="O4" s="1129"/>
      <c r="P4" s="3196" t="s">
        <v>2642</v>
      </c>
      <c r="Q4" s="3197"/>
      <c r="R4" s="3179" t="s">
        <v>2638</v>
      </c>
      <c r="S4" s="3180"/>
      <c r="T4" s="3179" t="s">
        <v>2639</v>
      </c>
      <c r="U4" s="3180"/>
      <c r="V4" s="3204" t="s">
        <v>2640</v>
      </c>
      <c r="W4" s="3204"/>
      <c r="X4" s="1811"/>
      <c r="Y4" s="3179" t="s">
        <v>2642</v>
      </c>
      <c r="Z4" s="3180"/>
      <c r="AA4" s="3174" t="s">
        <v>2638</v>
      </c>
      <c r="AB4" s="3175" t="s">
        <v>2639</v>
      </c>
      <c r="AC4" s="3174" t="s">
        <v>2640</v>
      </c>
    </row>
    <row r="5" spans="1:29" ht="15">
      <c r="A5" s="404"/>
      <c r="B5" s="405"/>
      <c r="C5" s="3185" t="s">
        <v>2533</v>
      </c>
      <c r="D5" s="3186"/>
      <c r="E5" s="3183" t="s">
        <v>2534</v>
      </c>
      <c r="F5" s="3184"/>
      <c r="G5" s="3185" t="s">
        <v>2535</v>
      </c>
      <c r="H5" s="3186"/>
      <c r="I5" s="3185" t="s">
        <v>2536</v>
      </c>
      <c r="J5" s="3186"/>
      <c r="K5" s="610"/>
      <c r="L5" s="1128"/>
      <c r="M5" s="1129"/>
      <c r="N5" s="1129"/>
      <c r="O5" s="1129"/>
      <c r="P5" s="3198"/>
      <c r="Q5" s="3199"/>
      <c r="R5" s="3181"/>
      <c r="S5" s="3182"/>
      <c r="T5" s="3181"/>
      <c r="U5" s="3182"/>
      <c r="V5" s="3204"/>
      <c r="W5" s="3204"/>
      <c r="X5" s="1811"/>
      <c r="Y5" s="3181"/>
      <c r="Z5" s="3182"/>
      <c r="AA5" s="3175"/>
      <c r="AB5" s="3175"/>
      <c r="AC5" s="3175"/>
    </row>
    <row r="6" spans="1:29" ht="15.75" thickBot="1">
      <c r="A6" s="406"/>
      <c r="B6" s="407"/>
      <c r="C6" s="3240" t="s">
        <v>2787</v>
      </c>
      <c r="D6" s="3241"/>
      <c r="E6" s="3242" t="s">
        <v>2787</v>
      </c>
      <c r="F6" s="3243"/>
      <c r="G6" s="3240" t="s">
        <v>2787</v>
      </c>
      <c r="H6" s="3241"/>
      <c r="I6" s="3240" t="s">
        <v>2787</v>
      </c>
      <c r="J6" s="3241"/>
      <c r="K6" s="610" t="s">
        <v>2538</v>
      </c>
      <c r="L6" s="1128"/>
      <c r="M6" s="1129"/>
      <c r="N6" s="1129"/>
      <c r="O6" s="1129"/>
      <c r="P6" s="3200"/>
      <c r="Q6" s="3201"/>
      <c r="R6" s="3181"/>
      <c r="S6" s="3182"/>
      <c r="T6" s="3202"/>
      <c r="U6" s="3203"/>
      <c r="V6" s="3204"/>
      <c r="W6" s="3204"/>
      <c r="X6" s="1811"/>
      <c r="Y6" s="3202"/>
      <c r="Z6" s="3203"/>
      <c r="AA6" s="3176"/>
      <c r="AB6" s="3176"/>
      <c r="AC6" s="3176"/>
    </row>
    <row r="7" spans="1:29" s="117" customFormat="1" ht="15.75" thickBot="1">
      <c r="A7" s="408" t="s">
        <v>2539</v>
      </c>
      <c r="B7" s="409"/>
      <c r="C7" s="410">
        <f>'数据-取费表'!B2</f>
        <v>43185</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177" t="s">
        <v>2540</v>
      </c>
      <c r="Q7" s="3205"/>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77" t="s">
        <v>2543</v>
      </c>
      <c r="Q8" s="3178"/>
      <c r="R8" s="770" t="s">
        <v>17</v>
      </c>
      <c r="S8" s="771">
        <f t="shared" si="0"/>
        <v>0</v>
      </c>
      <c r="T8" s="770" t="s">
        <v>17</v>
      </c>
      <c r="U8" s="771">
        <f t="shared" si="1"/>
        <v>0</v>
      </c>
      <c r="V8" s="770" t="s">
        <v>17</v>
      </c>
      <c r="W8" s="771">
        <f t="shared" si="2"/>
        <v>0</v>
      </c>
      <c r="X8" s="772"/>
      <c r="Y8" s="3177" t="s">
        <v>2543</v>
      </c>
      <c r="Z8" s="3178"/>
      <c r="AA8" s="773" t="e">
        <f t="shared" ref="AA8:AA40" si="3">D8/F8</f>
        <v>#DIV/0!</v>
      </c>
      <c r="AB8" s="773" t="e">
        <f t="shared" ref="AB8:AB40" si="4">D8/H8</f>
        <v>#DIV/0!</v>
      </c>
      <c r="AC8" s="773" t="e">
        <f t="shared" ref="AC8:AC40" si="5">D8/J8</f>
        <v>#DIV/0!</v>
      </c>
    </row>
    <row r="9" spans="1:29" s="117" customFormat="1">
      <c r="A9" s="415" t="s">
        <v>2544</v>
      </c>
      <c r="B9" s="71" t="s">
        <v>2545</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209" t="s">
        <v>2546</v>
      </c>
      <c r="Q9" s="1793" t="str">
        <f t="shared" ref="Q9:Q15" si="6">B9</f>
        <v>用途</v>
      </c>
      <c r="R9" s="770" t="s">
        <v>17</v>
      </c>
      <c r="S9" s="771">
        <f t="shared" si="0"/>
        <v>100</v>
      </c>
      <c r="T9" s="770" t="s">
        <v>17</v>
      </c>
      <c r="U9" s="771">
        <f t="shared" si="1"/>
        <v>100</v>
      </c>
      <c r="V9" s="770" t="s">
        <v>17</v>
      </c>
      <c r="W9" s="771">
        <f t="shared" si="2"/>
        <v>100</v>
      </c>
      <c r="X9" s="772"/>
      <c r="Y9" s="3024"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106</v>
      </c>
      <c r="G10" s="432"/>
      <c r="H10" s="136">
        <f>ROUND(100/'数据-取费表'!G16,0)</f>
        <v>106</v>
      </c>
      <c r="I10" s="432"/>
      <c r="J10" s="136">
        <f>ROUND(100/'数据-取费表'!G16,0)</f>
        <v>106</v>
      </c>
      <c r="K10" s="672"/>
      <c r="L10" s="1133"/>
      <c r="M10" s="1134"/>
      <c r="N10" s="1134"/>
      <c r="O10" s="1135"/>
      <c r="P10" s="3209"/>
      <c r="Q10" s="1793" t="str">
        <f t="shared" si="6"/>
        <v>土地使用年限（年）</v>
      </c>
      <c r="R10" s="770" t="s">
        <v>17</v>
      </c>
      <c r="S10" s="771">
        <f t="shared" si="0"/>
        <v>106</v>
      </c>
      <c r="T10" s="770" t="s">
        <v>17</v>
      </c>
      <c r="U10" s="771">
        <f t="shared" si="1"/>
        <v>106</v>
      </c>
      <c r="V10" s="770" t="s">
        <v>17</v>
      </c>
      <c r="W10" s="771">
        <f t="shared" si="2"/>
        <v>106</v>
      </c>
      <c r="X10" s="772"/>
      <c r="Y10" s="3024"/>
      <c r="Z10" s="55" t="str">
        <f t="shared" si="7"/>
        <v>土地使用年限（年）</v>
      </c>
      <c r="AA10" s="773">
        <f t="shared" si="3"/>
        <v>0.94339622641509435</v>
      </c>
      <c r="AB10" s="773">
        <f t="shared" si="4"/>
        <v>0.94339622641509435</v>
      </c>
      <c r="AC10" s="773">
        <f t="shared" si="5"/>
        <v>0.94339622641509435</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09"/>
      <c r="Q11" s="1793"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09"/>
      <c r="Q12" s="1793">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09"/>
      <c r="Q13" s="1793">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09"/>
      <c r="Q14" s="1793">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2550</v>
      </c>
      <c r="B15" s="629" t="s">
        <v>2788</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1" t="s">
        <v>2551</v>
      </c>
      <c r="Q15" s="1808" t="str">
        <f t="shared" si="6"/>
        <v>产业集聚程度</v>
      </c>
      <c r="R15" s="774" t="s">
        <v>17</v>
      </c>
      <c r="S15" s="775">
        <f t="shared" si="0"/>
        <v>100</v>
      </c>
      <c r="T15" s="774" t="s">
        <v>17</v>
      </c>
      <c r="U15" s="775">
        <f t="shared" si="1"/>
        <v>100</v>
      </c>
      <c r="V15" s="774" t="s">
        <v>17</v>
      </c>
      <c r="W15" s="775">
        <f t="shared" si="2"/>
        <v>100</v>
      </c>
      <c r="X15" s="1811"/>
      <c r="Y15" s="3211" t="s">
        <v>2551</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38"/>
      <c r="M16" s="1129"/>
      <c r="N16" s="1129"/>
      <c r="O16" s="1137"/>
      <c r="P16" s="3212"/>
      <c r="Q16" s="1808"/>
      <c r="R16" s="774"/>
      <c r="S16" s="775"/>
      <c r="T16" s="774"/>
      <c r="U16" s="775"/>
      <c r="V16" s="774"/>
      <c r="W16" s="775"/>
      <c r="X16" s="1811"/>
      <c r="Y16" s="3212"/>
      <c r="Z16" s="1812"/>
      <c r="AA16" s="1809">
        <v>1</v>
      </c>
      <c r="AB16" s="1809">
        <v>1</v>
      </c>
      <c r="AC16" s="1809">
        <v>1</v>
      </c>
    </row>
    <row r="17" spans="1:29" ht="85.5">
      <c r="A17" s="428"/>
      <c r="B17" s="631" t="s">
        <v>2700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2"/>
      <c r="Q17" s="1808" t="str">
        <f>B17</f>
        <v>交通便捷度</v>
      </c>
      <c r="R17" s="774" t="s">
        <v>17</v>
      </c>
      <c r="S17" s="775">
        <f>F17</f>
        <v>100</v>
      </c>
      <c r="T17" s="774" t="s">
        <v>17</v>
      </c>
      <c r="U17" s="775">
        <f>H17</f>
        <v>100</v>
      </c>
      <c r="V17" s="774" t="s">
        <v>17</v>
      </c>
      <c r="W17" s="775">
        <f>J17</f>
        <v>100</v>
      </c>
      <c r="X17" s="1811"/>
      <c r="Y17" s="3212"/>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38"/>
      <c r="M18" s="1129"/>
      <c r="N18" s="1129"/>
      <c r="O18" s="1137"/>
      <c r="P18" s="3212"/>
      <c r="Q18" s="1808"/>
      <c r="R18" s="774"/>
      <c r="S18" s="775"/>
      <c r="T18" s="774"/>
      <c r="U18" s="775"/>
      <c r="V18" s="774"/>
      <c r="W18" s="775"/>
      <c r="X18" s="1811"/>
      <c r="Y18" s="3212"/>
      <c r="Z18" s="1812"/>
      <c r="AA18" s="1809">
        <v>1</v>
      </c>
      <c r="AB18" s="1809">
        <v>1</v>
      </c>
      <c r="AC18" s="1809">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2"/>
      <c r="Q19" s="1808" t="str">
        <f t="shared" ref="Q19:Q33" si="8">B19</f>
        <v>区域土地利用方向</v>
      </c>
      <c r="R19" s="774" t="s">
        <v>17</v>
      </c>
      <c r="S19" s="775">
        <f>F19</f>
        <v>100</v>
      </c>
      <c r="T19" s="774" t="s">
        <v>17</v>
      </c>
      <c r="U19" s="775">
        <f>H19</f>
        <v>100</v>
      </c>
      <c r="V19" s="774" t="s">
        <v>17</v>
      </c>
      <c r="W19" s="775">
        <f>J19</f>
        <v>100</v>
      </c>
      <c r="X19" s="1811"/>
      <c r="Y19" s="3212"/>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07"/>
      <c r="L20" s="1138"/>
      <c r="M20" s="1129"/>
      <c r="N20" s="1129"/>
      <c r="O20" s="1137"/>
      <c r="P20" s="3212"/>
      <c r="Q20" s="1808"/>
      <c r="R20" s="774"/>
      <c r="S20" s="775"/>
      <c r="T20" s="774"/>
      <c r="U20" s="775"/>
      <c r="V20" s="774"/>
      <c r="W20" s="775"/>
      <c r="X20" s="1811"/>
      <c r="Y20" s="3212"/>
      <c r="Z20" s="1812"/>
      <c r="AA20" s="1809"/>
      <c r="AB20" s="1809"/>
      <c r="AC20" s="1809"/>
    </row>
    <row r="21" spans="1:29" ht="71.25">
      <c r="A21" s="404"/>
      <c r="B21" s="631" t="s">
        <v>2789</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2"/>
      <c r="Q21" s="1808" t="str">
        <f t="shared" si="8"/>
        <v>环境状况</v>
      </c>
      <c r="R21" s="774" t="s">
        <v>17</v>
      </c>
      <c r="S21" s="775">
        <f>F21</f>
        <v>100</v>
      </c>
      <c r="T21" s="774" t="s">
        <v>17</v>
      </c>
      <c r="U21" s="775">
        <f>H21</f>
        <v>100</v>
      </c>
      <c r="V21" s="774" t="s">
        <v>17</v>
      </c>
      <c r="W21" s="775">
        <f>J21</f>
        <v>100</v>
      </c>
      <c r="X21" s="1811"/>
      <c r="Y21" s="3212"/>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38"/>
      <c r="M22" s="1129"/>
      <c r="N22" s="1129"/>
      <c r="O22" s="1137"/>
      <c r="P22" s="3212"/>
      <c r="Q22" s="1808"/>
      <c r="R22" s="774"/>
      <c r="S22" s="775"/>
      <c r="T22" s="774"/>
      <c r="U22" s="775"/>
      <c r="V22" s="774"/>
      <c r="W22" s="775"/>
      <c r="X22" s="1811"/>
      <c r="Y22" s="3212"/>
      <c r="Z22" s="1812"/>
      <c r="AA22" s="1809">
        <v>1</v>
      </c>
      <c r="AB22" s="1809">
        <v>1</v>
      </c>
      <c r="AC22" s="1809">
        <v>1</v>
      </c>
    </row>
    <row r="23" spans="1:29" s="117" customFormat="1" ht="42.75">
      <c r="A23" s="649"/>
      <c r="B23" s="633" t="s">
        <v>2645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2"/>
      <c r="Q23" s="1793" t="str">
        <f t="shared" si="8"/>
        <v>公共配套设施</v>
      </c>
      <c r="R23" s="770" t="s">
        <v>17</v>
      </c>
      <c r="S23" s="771">
        <f>F23</f>
        <v>100</v>
      </c>
      <c r="T23" s="770" t="s">
        <v>17</v>
      </c>
      <c r="U23" s="771">
        <f>H23</f>
        <v>100</v>
      </c>
      <c r="V23" s="770" t="s">
        <v>17</v>
      </c>
      <c r="W23" s="771">
        <f>J23</f>
        <v>100</v>
      </c>
      <c r="X23" s="772"/>
      <c r="Y23" s="3212"/>
      <c r="Z23" s="55" t="str">
        <f>Q23</f>
        <v>公共配套设施</v>
      </c>
      <c r="AA23" s="1809">
        <f>D23/F23</f>
        <v>1</v>
      </c>
      <c r="AB23" s="1809">
        <f>D23/H23</f>
        <v>1</v>
      </c>
      <c r="AC23" s="1809">
        <f>D23/J23</f>
        <v>1</v>
      </c>
    </row>
    <row r="24" spans="1:29" s="117" customFormat="1" ht="15">
      <c r="A24" s="649"/>
      <c r="B24" s="632"/>
      <c r="C24" s="2697"/>
      <c r="D24" s="448"/>
      <c r="E24" s="2609"/>
      <c r="F24" s="448"/>
      <c r="G24" s="2609"/>
      <c r="H24" s="448"/>
      <c r="I24" s="447"/>
      <c r="J24" s="448"/>
      <c r="K24" s="672"/>
      <c r="L24" s="1130"/>
      <c r="M24" s="1131"/>
      <c r="N24" s="1131"/>
      <c r="O24" s="1132"/>
      <c r="P24" s="3212"/>
      <c r="Q24" s="1793"/>
      <c r="R24" s="770"/>
      <c r="S24" s="771"/>
      <c r="T24" s="770"/>
      <c r="U24" s="771"/>
      <c r="V24" s="770"/>
      <c r="W24" s="771"/>
      <c r="X24" s="772"/>
      <c r="Y24" s="3212"/>
      <c r="Z24" s="55"/>
      <c r="AA24" s="773">
        <v>1</v>
      </c>
      <c r="AB24" s="773">
        <v>1</v>
      </c>
      <c r="AC24" s="773">
        <v>1</v>
      </c>
    </row>
    <row r="25" spans="1:29" s="117" customFormat="1" ht="28.5">
      <c r="A25" s="649"/>
      <c r="B25" s="633" t="s">
        <v>2646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2"/>
      <c r="Q25" s="1793" t="str">
        <f t="shared" ref="Q25" si="9">B25</f>
        <v>基础设施水平</v>
      </c>
      <c r="R25" s="770" t="s">
        <v>17</v>
      </c>
      <c r="S25" s="771">
        <f>F25</f>
        <v>100</v>
      </c>
      <c r="T25" s="770" t="s">
        <v>17</v>
      </c>
      <c r="U25" s="771">
        <f>H25</f>
        <v>100</v>
      </c>
      <c r="V25" s="770" t="s">
        <v>17</v>
      </c>
      <c r="W25" s="771">
        <f>J25</f>
        <v>100</v>
      </c>
      <c r="X25" s="772"/>
      <c r="Y25" s="3212"/>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0"/>
      <c r="M26" s="1131"/>
      <c r="N26" s="1131"/>
      <c r="O26" s="1132"/>
      <c r="P26" s="3212"/>
      <c r="Q26" s="1793"/>
      <c r="R26" s="770"/>
      <c r="S26" s="771"/>
      <c r="T26" s="770"/>
      <c r="U26" s="771"/>
      <c r="V26" s="770"/>
      <c r="W26" s="771"/>
      <c r="X26" s="772"/>
      <c r="Y26" s="3212"/>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2"/>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12"/>
      <c r="Z27" s="1812" t="str">
        <f t="shared" ref="Z27:Z40" si="13">Q27</f>
        <v>临街状况</v>
      </c>
      <c r="AA27" s="1809">
        <f t="shared" si="3"/>
        <v>1</v>
      </c>
      <c r="AB27" s="1809">
        <f t="shared" si="4"/>
        <v>1</v>
      </c>
      <c r="AC27" s="1809">
        <f t="shared" si="5"/>
        <v>1</v>
      </c>
    </row>
    <row r="28" spans="1:29" ht="27">
      <c r="A28" s="428"/>
      <c r="B28" s="633" t="s">
        <v>2682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2"/>
      <c r="Q28" s="1808" t="str">
        <f t="shared" si="8"/>
        <v>毗邻道路的类型与等级</v>
      </c>
      <c r="R28" s="774" t="s">
        <v>17</v>
      </c>
      <c r="S28" s="775">
        <f t="shared" si="10"/>
        <v>100</v>
      </c>
      <c r="T28" s="774" t="s">
        <v>17</v>
      </c>
      <c r="U28" s="775">
        <f t="shared" si="11"/>
        <v>100</v>
      </c>
      <c r="V28" s="774" t="s">
        <v>17</v>
      </c>
      <c r="W28" s="775">
        <f t="shared" si="12"/>
        <v>100</v>
      </c>
      <c r="X28" s="1811"/>
      <c r="Y28" s="3212"/>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38"/>
      <c r="M29" s="1129"/>
      <c r="N29" s="1129"/>
      <c r="O29" s="1137"/>
      <c r="P29" s="3212"/>
      <c r="Q29" s="1808"/>
      <c r="R29" s="774"/>
      <c r="S29" s="775"/>
      <c r="T29" s="774"/>
      <c r="U29" s="775"/>
      <c r="V29" s="774"/>
      <c r="W29" s="775"/>
      <c r="X29" s="1811"/>
      <c r="Y29" s="3212"/>
      <c r="Z29" s="1812"/>
      <c r="AA29" s="1809">
        <v>1</v>
      </c>
      <c r="AB29" s="1809">
        <v>1</v>
      </c>
      <c r="AC29" s="1809">
        <v>1</v>
      </c>
    </row>
    <row r="30" spans="1:29" ht="15">
      <c r="A30" s="428"/>
      <c r="B30" s="654" t="s">
        <v>2740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2"/>
      <c r="Q30" s="1808" t="str">
        <f t="shared" si="8"/>
        <v>土地级别</v>
      </c>
      <c r="R30" s="774" t="s">
        <v>17</v>
      </c>
      <c r="S30" s="775">
        <f t="shared" si="10"/>
        <v>100</v>
      </c>
      <c r="T30" s="774" t="s">
        <v>17</v>
      </c>
      <c r="U30" s="775">
        <f t="shared" si="11"/>
        <v>100</v>
      </c>
      <c r="V30" s="774" t="s">
        <v>17</v>
      </c>
      <c r="W30" s="775">
        <f t="shared" si="12"/>
        <v>100</v>
      </c>
      <c r="X30" s="1811"/>
      <c r="Y30" s="3212"/>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2"/>
      <c r="Q31" s="1808">
        <f t="shared" si="8"/>
        <v>111</v>
      </c>
      <c r="R31" s="774" t="s">
        <v>17</v>
      </c>
      <c r="S31" s="775">
        <f t="shared" si="10"/>
        <v>100</v>
      </c>
      <c r="T31" s="774" t="s">
        <v>17</v>
      </c>
      <c r="U31" s="775">
        <f t="shared" si="11"/>
        <v>100</v>
      </c>
      <c r="V31" s="774" t="s">
        <v>17</v>
      </c>
      <c r="W31" s="775">
        <f t="shared" si="12"/>
        <v>100</v>
      </c>
      <c r="X31" s="1811"/>
      <c r="Y31" s="3212"/>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35" t="s">
        <v>2556</v>
      </c>
      <c r="Q32" s="1808">
        <f t="shared" si="8"/>
        <v>111</v>
      </c>
      <c r="R32" s="774" t="s">
        <v>17</v>
      </c>
      <c r="S32" s="775">
        <f t="shared" si="10"/>
        <v>100</v>
      </c>
      <c r="T32" s="774" t="s">
        <v>17</v>
      </c>
      <c r="U32" s="775">
        <f t="shared" si="11"/>
        <v>100</v>
      </c>
      <c r="V32" s="774" t="s">
        <v>17</v>
      </c>
      <c r="W32" s="775">
        <f t="shared" si="12"/>
        <v>100</v>
      </c>
      <c r="X32" s="1811"/>
      <c r="Y32" s="3216" t="s">
        <v>2556</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16"/>
      <c r="Q33" s="1808">
        <f t="shared" si="8"/>
        <v>111</v>
      </c>
      <c r="R33" s="777" t="s">
        <v>17</v>
      </c>
      <c r="S33" s="778">
        <f t="shared" si="10"/>
        <v>100</v>
      </c>
      <c r="T33" s="777" t="s">
        <v>17</v>
      </c>
      <c r="U33" s="778">
        <f t="shared" si="11"/>
        <v>100</v>
      </c>
      <c r="V33" s="777" t="s">
        <v>17</v>
      </c>
      <c r="W33" s="778">
        <f t="shared" si="12"/>
        <v>100</v>
      </c>
      <c r="X33" s="779"/>
      <c r="Y33" s="3216"/>
      <c r="Z33" s="780">
        <f t="shared" si="13"/>
        <v>111</v>
      </c>
      <c r="AA33" s="1809">
        <f t="shared" si="3"/>
        <v>1</v>
      </c>
      <c r="AB33" s="1809">
        <f t="shared" si="4"/>
        <v>1</v>
      </c>
      <c r="AC33" s="1809">
        <f t="shared" si="5"/>
        <v>1</v>
      </c>
    </row>
    <row r="34" spans="1:29" ht="15">
      <c r="A34" s="440" t="s">
        <v>2554</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16"/>
      <c r="Q34" s="1808" t="str">
        <f>B34</f>
        <v>宗地面积</v>
      </c>
      <c r="R34" s="774" t="s">
        <v>17</v>
      </c>
      <c r="S34" s="775" t="e">
        <f t="shared" si="10"/>
        <v>#N/A</v>
      </c>
      <c r="T34" s="774" t="s">
        <v>17</v>
      </c>
      <c r="U34" s="775" t="e">
        <f t="shared" si="11"/>
        <v>#N/A</v>
      </c>
      <c r="V34" s="774" t="s">
        <v>17</v>
      </c>
      <c r="W34" s="775" t="e">
        <f t="shared" si="12"/>
        <v>#N/A</v>
      </c>
      <c r="X34" s="1811"/>
      <c r="Y34" s="3216"/>
      <c r="Z34" s="1812" t="str">
        <f t="shared" si="13"/>
        <v>宗地面积</v>
      </c>
      <c r="AA34" s="1809" t="e">
        <f t="shared" si="3"/>
        <v>#N/A</v>
      </c>
      <c r="AB34" s="1809" t="e">
        <f t="shared" si="4"/>
        <v>#N/A</v>
      </c>
      <c r="AC34" s="1809"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8"/>
      <c r="M35" s="1129"/>
      <c r="N35" s="1129"/>
      <c r="O35" s="1137"/>
      <c r="P35" s="3216"/>
      <c r="Q35" s="1808" t="str">
        <f t="shared" ref="Q35:Q40" si="14">B35</f>
        <v>宗地形状</v>
      </c>
      <c r="R35" s="774" t="s">
        <v>17</v>
      </c>
      <c r="S35" s="775">
        <f t="shared" si="10"/>
        <v>100</v>
      </c>
      <c r="T35" s="774" t="s">
        <v>17</v>
      </c>
      <c r="U35" s="775">
        <f t="shared" si="11"/>
        <v>100</v>
      </c>
      <c r="V35" s="774" t="s">
        <v>17</v>
      </c>
      <c r="W35" s="775">
        <f t="shared" si="12"/>
        <v>100</v>
      </c>
      <c r="X35" s="1811"/>
      <c r="Y35" s="3216"/>
      <c r="Z35" s="1812" t="str">
        <f t="shared" si="13"/>
        <v>宗地形状</v>
      </c>
      <c r="AA35" s="1809">
        <f t="shared" si="3"/>
        <v>1</v>
      </c>
      <c r="AB35" s="1809">
        <f t="shared" si="4"/>
        <v>1</v>
      </c>
      <c r="AC35" s="1809">
        <f t="shared" si="5"/>
        <v>1</v>
      </c>
    </row>
    <row r="36" spans="1:29" s="117" customFormat="1" ht="15">
      <c r="A36" s="473"/>
      <c r="B36" s="422" t="s">
        <v>2744</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216"/>
      <c r="Q36" s="1808"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8"/>
      <c r="M37" s="1129"/>
      <c r="N37" s="1129"/>
      <c r="O37" s="1137"/>
      <c r="P37" s="3216" t="s">
        <v>2556</v>
      </c>
      <c r="Q37" s="1808" t="str">
        <f t="shared" si="14"/>
        <v>工程地质条件</v>
      </c>
      <c r="R37" s="774" t="s">
        <v>17</v>
      </c>
      <c r="S37" s="775">
        <f t="shared" si="10"/>
        <v>100</v>
      </c>
      <c r="T37" s="774" t="s">
        <v>17</v>
      </c>
      <c r="U37" s="775">
        <f t="shared" si="11"/>
        <v>100</v>
      </c>
      <c r="V37" s="774" t="s">
        <v>17</v>
      </c>
      <c r="W37" s="775">
        <f t="shared" si="12"/>
        <v>100</v>
      </c>
      <c r="X37" s="1811"/>
      <c r="Y37" s="3216" t="s">
        <v>2556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16"/>
      <c r="Q38" s="1808">
        <f t="shared" si="14"/>
        <v>111</v>
      </c>
      <c r="R38" s="774" t="s">
        <v>17</v>
      </c>
      <c r="S38" s="775">
        <f t="shared" si="10"/>
        <v>100</v>
      </c>
      <c r="T38" s="774" t="s">
        <v>17</v>
      </c>
      <c r="U38" s="775">
        <f t="shared" si="11"/>
        <v>100</v>
      </c>
      <c r="V38" s="774" t="s">
        <v>17</v>
      </c>
      <c r="W38" s="775">
        <f t="shared" si="12"/>
        <v>100</v>
      </c>
      <c r="X38" s="1811"/>
      <c r="Y38" s="3216"/>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16"/>
      <c r="Q39" s="1808">
        <f t="shared" si="14"/>
        <v>111</v>
      </c>
      <c r="R39" s="774" t="s">
        <v>17</v>
      </c>
      <c r="S39" s="775">
        <f t="shared" si="10"/>
        <v>100</v>
      </c>
      <c r="T39" s="774" t="s">
        <v>17</v>
      </c>
      <c r="U39" s="775">
        <f t="shared" si="11"/>
        <v>100</v>
      </c>
      <c r="V39" s="774" t="s">
        <v>17</v>
      </c>
      <c r="W39" s="775">
        <f t="shared" si="12"/>
        <v>100</v>
      </c>
      <c r="X39" s="1811"/>
      <c r="Y39" s="3216"/>
      <c r="Z39" s="1812">
        <f t="shared" si="13"/>
        <v>111</v>
      </c>
      <c r="AA39" s="1809">
        <f t="shared" si="3"/>
        <v>1</v>
      </c>
      <c r="AB39" s="1809">
        <f t="shared" si="4"/>
        <v>1</v>
      </c>
      <c r="AC39" s="1809">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16"/>
      <c r="Q40" s="1808">
        <f t="shared" si="14"/>
        <v>111</v>
      </c>
      <c r="R40" s="777" t="s">
        <v>17</v>
      </c>
      <c r="S40" s="778">
        <f t="shared" si="10"/>
        <v>100</v>
      </c>
      <c r="T40" s="777" t="s">
        <v>17</v>
      </c>
      <c r="U40" s="778">
        <f t="shared" si="11"/>
        <v>100</v>
      </c>
      <c r="V40" s="777" t="s">
        <v>17</v>
      </c>
      <c r="W40" s="778">
        <f t="shared" si="12"/>
        <v>100</v>
      </c>
      <c r="X40" s="779"/>
      <c r="Y40" s="3216"/>
      <c r="Z40" s="780">
        <f t="shared" si="13"/>
        <v>111</v>
      </c>
      <c r="AA40" s="1809">
        <f t="shared" si="3"/>
        <v>1</v>
      </c>
      <c r="AB40" s="1809">
        <f t="shared" si="4"/>
        <v>1</v>
      </c>
      <c r="AC40" s="1809">
        <f t="shared" si="5"/>
        <v>1</v>
      </c>
    </row>
    <row r="41" spans="1:29" ht="15">
      <c r="A41" s="479" t="s">
        <v>2711</v>
      </c>
      <c r="B41" s="2701" t="s">
        <v>2790</v>
      </c>
      <c r="C41" s="682" t="s">
        <v>1</v>
      </c>
      <c r="D41" s="481"/>
      <c r="E41" s="482"/>
      <c r="F41" s="483"/>
      <c r="G41" s="484"/>
      <c r="H41" s="485"/>
      <c r="I41" s="482"/>
      <c r="J41" s="485"/>
      <c r="K41" s="783"/>
      <c r="L41" s="1141"/>
      <c r="M41" s="1129"/>
      <c r="N41" s="1129"/>
      <c r="O41" s="1142"/>
      <c r="P41" s="3209" t="str">
        <f>A41</f>
        <v>成交单价</v>
      </c>
      <c r="Q41" s="3209"/>
      <c r="R41" s="3204">
        <f>E41</f>
        <v>0</v>
      </c>
      <c r="S41" s="3204"/>
      <c r="T41" s="3204">
        <f>G41</f>
        <v>0</v>
      </c>
      <c r="U41" s="3204"/>
      <c r="V41" s="3204">
        <f>I41</f>
        <v>0</v>
      </c>
      <c r="W41" s="3204"/>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1"/>
      <c r="M42" s="1129"/>
      <c r="N42" s="1129"/>
      <c r="O42" s="1142"/>
      <c r="P42" s="3209" t="str">
        <f>A42</f>
        <v>比较价值（元/平方米）</v>
      </c>
      <c r="Q42" s="3209"/>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1"/>
      <c r="M43" s="1129"/>
      <c r="N43" s="1129"/>
      <c r="O43" s="1142"/>
      <c r="P43" s="3206" t="str">
        <f>A43</f>
        <v>估价对象XX用房的比较价值（楼面单价，元/平方米）</v>
      </c>
      <c r="Q43" s="3207"/>
      <c r="R43" s="3237" t="e">
        <f>ROUND(AVERAGE(R42:V42),0)</f>
        <v>#DIV/0!</v>
      </c>
      <c r="S43" s="3237"/>
      <c r="T43" s="3237"/>
      <c r="U43" s="3237"/>
      <c r="V43" s="3237"/>
      <c r="W43" s="3237"/>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2748</v>
      </c>
      <c r="B50" s="685" t="s">
        <v>2749</v>
      </c>
      <c r="C50" s="2702" t="s">
        <v>2750</v>
      </c>
      <c r="D50" s="2703" t="s">
        <v>2751</v>
      </c>
      <c r="E50" s="686" t="s">
        <v>2752</v>
      </c>
      <c r="F50" s="687" t="s">
        <v>2753</v>
      </c>
      <c r="G50" s="3192" t="s">
        <v>2754</v>
      </c>
      <c r="H50" s="3238"/>
      <c r="I50" s="1812" t="s">
        <v>2791</v>
      </c>
      <c r="J50" s="1812">
        <f>项目基本情况!F35</f>
        <v>0</v>
      </c>
      <c r="K50" s="2705" t="s">
        <v>2756</v>
      </c>
      <c r="L50" s="1104"/>
      <c r="M50" s="1142"/>
      <c r="N50" s="1142"/>
      <c r="O50" s="1142"/>
    </row>
    <row r="51" spans="1:17" s="692" customFormat="1">
      <c r="A51" s="688" t="s">
        <v>2757</v>
      </c>
      <c r="B51" s="689" t="e">
        <f>C43</f>
        <v>#DIV/0!</v>
      </c>
      <c r="C51" s="690">
        <v>1</v>
      </c>
      <c r="D51" s="1161">
        <v>1</v>
      </c>
      <c r="E51" s="690">
        <f>'数据-汇总表'!E8+'数据-汇总表'!E9</f>
        <v>10636.68</v>
      </c>
      <c r="F51" s="691" t="e">
        <f t="shared" ref="F51:F60" si="15">ROUND(B51*E51/10000,0)</f>
        <v>#DIV/0!</v>
      </c>
      <c r="G51" s="3191"/>
      <c r="H51" s="3209"/>
      <c r="I51" s="940">
        <v>1</v>
      </c>
      <c r="J51" s="940">
        <v>1</v>
      </c>
      <c r="K51" s="1143"/>
      <c r="L51" s="939"/>
      <c r="M51" s="939"/>
      <c r="N51" s="939"/>
      <c r="O51" s="939"/>
    </row>
    <row r="52" spans="1:17" s="692" customFormat="1">
      <c r="A52" s="693" t="s">
        <v>2758</v>
      </c>
      <c r="B52" s="262" t="e">
        <f>ROUND($C$43*C52*D52,0)</f>
        <v>#DIV/0!</v>
      </c>
      <c r="C52" s="200">
        <f t="shared" ref="C52:C60" si="16">IF($C$50="北京市系数",I52,J52)</f>
        <v>0.7</v>
      </c>
      <c r="D52" s="1162">
        <v>0.25</v>
      </c>
      <c r="E52" s="694"/>
      <c r="F52" s="691" t="e">
        <f t="shared" si="15"/>
        <v>#DIV/0!</v>
      </c>
      <c r="G52" s="3239" t="s">
        <v>2759</v>
      </c>
      <c r="H52" s="1102" t="str">
        <f>项目基本情况!B37</f>
        <v>四级</v>
      </c>
      <c r="I52" s="940">
        <f>SUMIF(修正!A45:A56,H52,修正!B45:B56)</f>
        <v>0.7</v>
      </c>
      <c r="J52" s="941"/>
      <c r="K52" s="1142"/>
      <c r="L52" s="939"/>
      <c r="M52" s="939"/>
      <c r="N52" s="939"/>
      <c r="O52" s="939"/>
    </row>
    <row r="53" spans="1:17" s="692" customFormat="1">
      <c r="A53" s="693" t="s">
        <v>2760</v>
      </c>
      <c r="B53" s="262" t="e">
        <f t="shared" ref="B53:B60" si="17">ROUND($C$43*C53*D53,0)</f>
        <v>#DIV/0!</v>
      </c>
      <c r="C53" s="200">
        <f t="shared" si="16"/>
        <v>0.4</v>
      </c>
      <c r="D53" s="1162">
        <v>0.25</v>
      </c>
      <c r="E53" s="694"/>
      <c r="F53" s="691" t="e">
        <f t="shared" si="15"/>
        <v>#DIV/0!</v>
      </c>
      <c r="G53" s="3239"/>
      <c r="H53" s="1102" t="str">
        <f>项目基本情况!B37</f>
        <v>四级</v>
      </c>
      <c r="I53" s="940">
        <f>SUMIF(修正!A45:A56,H53,修正!C45:C56)</f>
        <v>0.4</v>
      </c>
      <c r="J53" s="941"/>
      <c r="K53" s="1143"/>
      <c r="L53" s="939"/>
      <c r="M53" s="939"/>
      <c r="N53" s="939"/>
      <c r="O53" s="939"/>
    </row>
    <row r="54" spans="1:17" s="692" customFormat="1">
      <c r="A54" s="693" t="s">
        <v>2761</v>
      </c>
      <c r="B54" s="262" t="e">
        <f t="shared" si="17"/>
        <v>#DIV/0!</v>
      </c>
      <c r="C54" s="200">
        <f t="shared" si="16"/>
        <v>0.28000000000000003</v>
      </c>
      <c r="D54" s="1162">
        <v>0.25</v>
      </c>
      <c r="E54" s="694"/>
      <c r="F54" s="691" t="e">
        <f t="shared" si="15"/>
        <v>#DIV/0!</v>
      </c>
      <c r="G54" s="3239"/>
      <c r="H54" s="1102" t="str">
        <f>项目基本情况!B37</f>
        <v>四级</v>
      </c>
      <c r="I54" s="940">
        <f>SUMIF(修正!A45:A56,H54,修正!D45:D56)</f>
        <v>0.28000000000000003</v>
      </c>
      <c r="J54" s="941"/>
      <c r="K54" s="1142"/>
      <c r="L54" s="939"/>
      <c r="M54" s="939"/>
      <c r="N54" s="939"/>
      <c r="O54" s="939"/>
    </row>
    <row r="55" spans="1:17" s="692" customFormat="1">
      <c r="A55" s="693" t="s">
        <v>2762</v>
      </c>
      <c r="B55" s="262" t="e">
        <f t="shared" si="17"/>
        <v>#DIV/0!</v>
      </c>
      <c r="C55" s="200">
        <f t="shared" si="16"/>
        <v>0.25</v>
      </c>
      <c r="D55" s="1162">
        <v>0.25</v>
      </c>
      <c r="E55" s="694"/>
      <c r="F55" s="691" t="e">
        <f t="shared" si="15"/>
        <v>#DIV/0!</v>
      </c>
      <c r="G55" s="3239"/>
      <c r="H55" s="1102" t="str">
        <f>项目基本情况!B37</f>
        <v>四级</v>
      </c>
      <c r="I55" s="940">
        <f>SUMIF(修正!A45:A56,H55,修正!E45:E56)</f>
        <v>0.25</v>
      </c>
      <c r="J55" s="941"/>
      <c r="K55" s="1143"/>
      <c r="L55" s="939"/>
      <c r="M55" s="939"/>
      <c r="N55" s="939"/>
      <c r="O55" s="939"/>
    </row>
    <row r="56" spans="1:17" s="692" customFormat="1">
      <c r="A56" s="693" t="s">
        <v>2763</v>
      </c>
      <c r="B56" s="262" t="e">
        <f t="shared" si="17"/>
        <v>#DIV/0!</v>
      </c>
      <c r="C56" s="200">
        <f t="shared" si="16"/>
        <v>0.25</v>
      </c>
      <c r="D56" s="1162">
        <v>0.25</v>
      </c>
      <c r="E56" s="261">
        <f>'数据-汇总表'!E11</f>
        <v>0</v>
      </c>
      <c r="F56" s="691" t="e">
        <f t="shared" si="15"/>
        <v>#DIV/0!</v>
      </c>
      <c r="G56" s="2706" t="s">
        <v>2764</v>
      </c>
      <c r="H56" s="1102" t="str">
        <f>项目基本情况!C37</f>
        <v>四级</v>
      </c>
      <c r="I56" s="940">
        <f>SUMIF(修正!A45:A56,H56,修正!F45:F56)</f>
        <v>0.25</v>
      </c>
      <c r="J56" s="941"/>
      <c r="K56" s="1142"/>
      <c r="L56" s="939"/>
      <c r="M56" s="939"/>
      <c r="N56" s="939"/>
      <c r="O56" s="939"/>
    </row>
    <row r="57" spans="1:17" s="692" customFormat="1">
      <c r="A57" s="693" t="s">
        <v>2765</v>
      </c>
      <c r="B57" s="262" t="e">
        <f t="shared" si="17"/>
        <v>#DIV/0!</v>
      </c>
      <c r="C57" s="200">
        <f t="shared" si="16"/>
        <v>0.25</v>
      </c>
      <c r="D57" s="1162">
        <v>0.25</v>
      </c>
      <c r="E57" s="261">
        <f>'数据-汇总表'!E12</f>
        <v>0</v>
      </c>
      <c r="F57" s="691" t="e">
        <f t="shared" si="15"/>
        <v>#DIV/0!</v>
      </c>
      <c r="G57" s="1107" t="s">
        <v>2766</v>
      </c>
      <c r="H57" s="1102" t="str">
        <f>IF(G57="商业",项目基本情况!B37,IF(G57="办公",项目基本情况!C37,IF(G57="住宅",项目基本情况!D37,项目基本情况!E37)))</f>
        <v>四级</v>
      </c>
      <c r="I57" s="940">
        <f>SUMIF(修正!A45:A56,H57,修正!G45:G56)</f>
        <v>0.25</v>
      </c>
      <c r="J57" s="941"/>
      <c r="K57" s="1143"/>
      <c r="L57" s="939"/>
      <c r="M57" s="939"/>
      <c r="N57" s="939"/>
      <c r="O57" s="939"/>
    </row>
    <row r="58" spans="1:17" s="692" customFormat="1">
      <c r="A58" s="693" t="s">
        <v>2767</v>
      </c>
      <c r="B58" s="262" t="e">
        <f t="shared" si="17"/>
        <v>#DIV/0!</v>
      </c>
      <c r="C58" s="200">
        <f t="shared" si="16"/>
        <v>0</v>
      </c>
      <c r="D58" s="1162">
        <v>0.25</v>
      </c>
      <c r="E58" s="261">
        <f>'数据-汇总表'!E13</f>
        <v>0</v>
      </c>
      <c r="F58" s="691" t="e">
        <f t="shared" si="15"/>
        <v>#DIV/0!</v>
      </c>
      <c r="G58" s="1107" t="s">
        <v>2768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2769</v>
      </c>
      <c r="B59" s="262" t="e">
        <f t="shared" si="17"/>
        <v>#DIV/0!</v>
      </c>
      <c r="C59" s="200">
        <f t="shared" si="16"/>
        <v>0.2</v>
      </c>
      <c r="D59" s="1162">
        <v>0.25</v>
      </c>
      <c r="E59" s="261">
        <f>'数据-汇总表'!E14</f>
        <v>0</v>
      </c>
      <c r="F59" s="691" t="e">
        <f t="shared" si="15"/>
        <v>#DIV/0!</v>
      </c>
      <c r="G59" s="2706" t="s">
        <v>2759</v>
      </c>
      <c r="H59" s="1102" t="str">
        <f>项目基本情况!B37</f>
        <v>四级</v>
      </c>
      <c r="I59" s="940">
        <f>SUMIF(修正!A45:A56,H59,修正!H45:H56)</f>
        <v>0.2</v>
      </c>
      <c r="J59" s="941"/>
      <c r="K59" s="1143"/>
      <c r="L59" s="939"/>
      <c r="M59" s="939"/>
      <c r="N59" s="939"/>
      <c r="O59" s="939"/>
    </row>
    <row r="60" spans="1:17" s="692" customFormat="1" ht="15" thickBot="1">
      <c r="A60" s="693" t="s">
        <v>2770</v>
      </c>
      <c r="B60" s="262" t="e">
        <f t="shared" si="17"/>
        <v>#DIV/0!</v>
      </c>
      <c r="C60" s="200">
        <f t="shared" si="16"/>
        <v>0.2</v>
      </c>
      <c r="D60" s="1162">
        <v>0.25</v>
      </c>
      <c r="E60" s="261">
        <f>'数据-汇总表'!E15</f>
        <v>991.5300000000002</v>
      </c>
      <c r="F60" s="691" t="e">
        <f t="shared" si="15"/>
        <v>#DIV/0!</v>
      </c>
      <c r="G60" s="2707" t="s">
        <v>2764</v>
      </c>
      <c r="H60" s="1112" t="str">
        <f>项目基本情况!C37</f>
        <v>四级</v>
      </c>
      <c r="I60" s="940">
        <f>SUMIF(修正!A45:A56,H60,修正!H45:H56)</f>
        <v>0.2</v>
      </c>
      <c r="J60" s="941"/>
      <c r="K60" s="1142"/>
      <c r="L60" s="939"/>
      <c r="M60" s="939"/>
      <c r="N60" s="939"/>
      <c r="O60" s="939"/>
    </row>
    <row r="61" spans="1:17" s="692" customFormat="1" ht="15" thickBot="1">
      <c r="A61" s="695" t="s">
        <v>2771</v>
      </c>
      <c r="B61" s="696" t="s">
        <v>28</v>
      </c>
      <c r="C61" s="696" t="s">
        <v>29</v>
      </c>
      <c r="D61" s="696" t="s">
        <v>1029</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2665</v>
      </c>
      <c r="B64" s="759"/>
      <c r="C64" s="764"/>
      <c r="D64" s="764"/>
      <c r="E64" s="764"/>
      <c r="F64" s="765"/>
      <c r="G64" s="765"/>
      <c r="H64" s="764"/>
      <c r="I64" s="764"/>
      <c r="J64" s="764"/>
      <c r="K64" s="766"/>
      <c r="L64" s="767"/>
      <c r="M64" s="764"/>
      <c r="N64" s="764"/>
      <c r="O64" s="1157"/>
      <c r="P64" s="503"/>
      <c r="Q64" s="504"/>
    </row>
    <row r="65" spans="1:17" s="508" customFormat="1" ht="15">
      <c r="A65" s="2708" t="s">
        <v>2772</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7"/>
    </row>
    <row r="66" spans="1:17" s="117" customFormat="1" ht="30.75" customHeight="1">
      <c r="A66" s="2713" t="s">
        <v>2792</v>
      </c>
      <c r="B66" s="332" t="str">
        <f>"北京市平均增长率"&amp;TEXT(基准地价修正!P24,"0.00%")</f>
        <v>北京市平均增长率1.31%</v>
      </c>
      <c r="C66" s="603">
        <v>100</v>
      </c>
      <c r="D66" s="595"/>
      <c r="E66" s="595"/>
      <c r="F66" s="595"/>
      <c r="G66" s="595"/>
      <c r="H66" s="595"/>
      <c r="I66" s="595"/>
      <c r="J66" s="595"/>
      <c r="K66" s="595"/>
      <c r="L66" s="595"/>
      <c r="M66" s="1565"/>
      <c r="N66" s="1565"/>
      <c r="O66" s="1567"/>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2579</v>
      </c>
      <c r="B70" s="528" t="s">
        <v>2545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2548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2740</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2554</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2782</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2784</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2785</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76" priority="14" stopIfTrue="1" operator="containsText" text="超过">
      <formula>NOT(ISERROR(SEARCH("超过",F46)))</formula>
    </cfRule>
  </conditionalFormatting>
  <conditionalFormatting sqref="J48">
    <cfRule type="containsText" dxfId="75" priority="13" stopIfTrue="1" operator="containsText" text="超过">
      <formula>NOT(ISERROR(SEARCH("超过",J48)))</formula>
    </cfRule>
  </conditionalFormatting>
  <conditionalFormatting sqref="H48">
    <cfRule type="containsText" dxfId="74" priority="12" stopIfTrue="1" operator="containsText" text="超过">
      <formula>NOT(ISERROR(SEARCH("超过",H48)))</formula>
    </cfRule>
  </conditionalFormatting>
  <conditionalFormatting sqref="F48">
    <cfRule type="containsText" dxfId="73" priority="11" stopIfTrue="1" operator="containsText" text="超过">
      <formula>NOT(ISERROR(SEARCH("超过",F48)))</formula>
    </cfRule>
  </conditionalFormatting>
  <conditionalFormatting sqref="F47 H47 J47">
    <cfRule type="containsText" dxfId="72" priority="10" stopIfTrue="1" operator="containsText" text="超过">
      <formula>NOT(ISERROR(SEARCH("超过",F47)))</formula>
    </cfRule>
  </conditionalFormatting>
  <conditionalFormatting sqref="E46">
    <cfRule type="expression" dxfId="71" priority="9" stopIfTrue="1">
      <formula>$F$46="超过30%"</formula>
    </cfRule>
  </conditionalFormatting>
  <conditionalFormatting sqref="G48">
    <cfRule type="expression" dxfId="70" priority="8" stopIfTrue="1">
      <formula>$H$48="超过30%"</formula>
    </cfRule>
  </conditionalFormatting>
  <conditionalFormatting sqref="E48">
    <cfRule type="expression" dxfId="69" priority="6" stopIfTrue="1">
      <formula>$F$48="超过30%"</formula>
    </cfRule>
  </conditionalFormatting>
  <conditionalFormatting sqref="G46">
    <cfRule type="expression" dxfId="68" priority="5" stopIfTrue="1">
      <formula>$H$46="超过30%"</formula>
    </cfRule>
  </conditionalFormatting>
  <conditionalFormatting sqref="G47">
    <cfRule type="expression" dxfId="67" priority="4" stopIfTrue="1">
      <formula>$H$47="超过20%"</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conditionalFormatting sqref="E47">
    <cfRule type="expression" dxfId="6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0" customWidth="1"/>
    <col min="33" max="36" width="9.375" style="2793" customWidth="1"/>
    <col min="37" max="38" width="9.375" style="2717" customWidth="1"/>
    <col min="39" max="16384" width="12" style="2717"/>
  </cols>
  <sheetData>
    <row r="1" spans="1:36" ht="28.5">
      <c r="A1" s="240" t="s">
        <v>2794</v>
      </c>
      <c r="B1" s="241"/>
      <c r="C1" s="245" t="s">
        <v>2795</v>
      </c>
      <c r="D1" s="388">
        <f>SUM(D29:D30,D33:D39)</f>
        <v>0</v>
      </c>
      <c r="E1" s="2714"/>
      <c r="F1" s="2714"/>
      <c r="G1" s="2714"/>
      <c r="H1" s="2714"/>
      <c r="I1" s="2714"/>
      <c r="J1" s="2714"/>
      <c r="K1" s="1368"/>
      <c r="L1" s="2715" t="s">
        <v>2796</v>
      </c>
      <c r="M1" s="1078">
        <f>SUMPRODUCT((区片价!B5:B9=I2)*(区片价!C3:F3=E2)*(区片价!C5:F9))</f>
        <v>0</v>
      </c>
      <c r="N1" s="1081">
        <f>SUMPRODUCT((因素修正幅度!B5:B9=I2)*(因素修正幅度!C3:F3=E2)*(因素修正幅度!C5:F9))</f>
        <v>0</v>
      </c>
      <c r="O1" s="2716"/>
      <c r="P1" s="2716"/>
      <c r="Q1" s="1368"/>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t="e">
        <f>C26</f>
        <v>#DIV/0!</v>
      </c>
      <c r="C2" s="2718" t="s">
        <v>2803</v>
      </c>
      <c r="D2" s="2719" t="s">
        <v>2804</v>
      </c>
      <c r="E2" s="2720"/>
      <c r="F2" s="2719" t="s">
        <v>2805</v>
      </c>
      <c r="G2" s="2721">
        <f>IF(E2="商业",项目基本情况!B37,IF(E2="办公",项目基本情况!C37,IF(E2="住宅",项目基本情况!D37,项目基本情况!E37)))</f>
        <v>0</v>
      </c>
      <c r="H2" s="2719" t="s">
        <v>2806</v>
      </c>
      <c r="I2" s="2721">
        <f>IF(E2="商业",项目基本情况!B38,IF(E2="办公",项目基本情况!C38,IF(E2="住宅",项目基本情况!D38,项目基本情况!E38)))</f>
        <v>0</v>
      </c>
      <c r="J2" s="2722"/>
      <c r="K2" s="1368"/>
      <c r="L2" s="2723" t="s">
        <v>2807</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2808</v>
      </c>
      <c r="B3" s="248" t="e">
        <f>ROUND(B2*10000/D1,0)</f>
        <v>#DIV/0!</v>
      </c>
      <c r="C3" s="2718" t="s">
        <v>2809</v>
      </c>
      <c r="D3" s="2719" t="s">
        <v>2810</v>
      </c>
      <c r="E3" s="2724"/>
      <c r="F3" s="2725" t="s">
        <v>2811</v>
      </c>
      <c r="G3" s="911" t="e">
        <f>IF(F3="宗地容积率",'数据-汇总表'!I4,IF(F3="估价对象容积率",'数据-汇总表'!I6,'数据-汇总表'!I7))</f>
        <v>#DIV/0!</v>
      </c>
      <c r="H3" s="198" t="s">
        <v>2812</v>
      </c>
      <c r="I3" s="942"/>
      <c r="J3" s="2722" t="s">
        <v>2813</v>
      </c>
      <c r="K3" s="1368"/>
      <c r="L3" s="2723" t="s">
        <v>2814</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58"/>
      <c r="B4" s="3259"/>
      <c r="C4" s="3259"/>
      <c r="D4" s="3260"/>
      <c r="E4" s="3260"/>
      <c r="F4" s="3260"/>
      <c r="G4" s="3260"/>
      <c r="H4" s="3260"/>
      <c r="I4" s="3260"/>
      <c r="J4" s="3261"/>
      <c r="K4" s="1368"/>
      <c r="L4" s="2723" t="s">
        <v>2815</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2816</v>
      </c>
      <c r="C5" s="912" t="e">
        <f>ROUND(IF(E2="商业",IF(F16="增加",C6*C7+C16,C6*C7-C16),IF(E2="住宅",IF(F16="增加",C6*C12+C16,C6*C12-C16),IF(F16="增加",C6+C16,C6-C16))),0)</f>
        <v>#DIV/0!</v>
      </c>
      <c r="D5" s="1785">
        <f>ROUND(IF(E2="商业",IF(F16="增加",C6+C16,C6-C16)),0)</f>
        <v>0</v>
      </c>
      <c r="E5" s="2728"/>
      <c r="F5" s="2728"/>
      <c r="G5" s="2729"/>
      <c r="H5" s="2729"/>
      <c r="I5" s="2729"/>
      <c r="J5" s="2730"/>
      <c r="K5" s="2731"/>
      <c r="L5" s="2723" t="s">
        <v>2817</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2818</v>
      </c>
      <c r="B6" s="2737" t="s">
        <v>2819</v>
      </c>
      <c r="C6" s="913">
        <f>SUMIF(L1:L12,G2,M1:M12)</f>
        <v>0</v>
      </c>
      <c r="D6" s="2738" t="s">
        <v>2820</v>
      </c>
      <c r="E6" s="2739"/>
      <c r="F6" s="2739"/>
      <c r="G6" s="2740"/>
      <c r="H6" s="2740"/>
      <c r="I6" s="2740"/>
      <c r="J6" s="2741"/>
      <c r="K6" s="1840"/>
      <c r="L6" s="2723" t="s">
        <v>2821</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44" t="str">
        <f>IF(E2="商业",IF(C8="不临58条商业街","",2),"")</f>
        <v/>
      </c>
      <c r="B7" s="2742" t="s">
        <v>2822</v>
      </c>
      <c r="C7" s="914" t="e">
        <f>IF(C8="不临58条商业街",1,ROUND(1+(1.6*E8+1.2*E9+0.8*E10+0.4*E11)*C9,4))</f>
        <v>#DIV/0!</v>
      </c>
      <c r="D7" s="2743" t="s">
        <v>2823</v>
      </c>
      <c r="E7" s="943"/>
      <c r="F7" s="2744"/>
      <c r="G7" s="2745"/>
      <c r="H7" s="2745"/>
      <c r="I7" s="2745"/>
      <c r="J7" s="2746"/>
      <c r="K7" s="1840"/>
      <c r="L7" s="2723" t="s">
        <v>2824</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2825</v>
      </c>
      <c r="X7" s="1602">
        <f>G2</f>
        <v>0</v>
      </c>
      <c r="Y7" s="1602" t="s">
        <v>2826</v>
      </c>
      <c r="Z7" s="1603" t="e">
        <f>G3</f>
        <v>#DIV/0!</v>
      </c>
      <c r="AA7" s="1604"/>
      <c r="AB7" s="1604"/>
      <c r="AC7" s="1605"/>
      <c r="AD7" s="1606"/>
      <c r="AE7" s="1606"/>
      <c r="AF7" s="1606"/>
      <c r="AG7" s="1606"/>
      <c r="AH7" s="1606"/>
      <c r="AI7" s="1606"/>
      <c r="AJ7" s="1607"/>
    </row>
    <row r="8" spans="1:36" ht="15">
      <c r="A8" s="3245"/>
      <c r="B8" s="198" t="s">
        <v>2827</v>
      </c>
      <c r="C8" s="2747"/>
      <c r="D8" s="915" t="s">
        <v>139</v>
      </c>
      <c r="E8" s="916" t="e">
        <f>ROUND(C11/E7,4)</f>
        <v>#DIV/0!</v>
      </c>
      <c r="F8" s="2748" t="s">
        <v>2828</v>
      </c>
      <c r="G8" s="2749"/>
      <c r="H8" s="2749"/>
      <c r="I8" s="2749"/>
      <c r="J8" s="2750"/>
      <c r="K8" s="1368"/>
      <c r="L8" s="2723" t="s">
        <v>2829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55" t="s">
        <v>2830</v>
      </c>
      <c r="X8" s="3256"/>
      <c r="Y8" s="1608" t="s">
        <v>2831</v>
      </c>
      <c r="Z8" s="1608" t="s">
        <v>2832</v>
      </c>
      <c r="AA8" s="1608" t="s">
        <v>2833</v>
      </c>
      <c r="AB8" s="1608" t="s">
        <v>2834</v>
      </c>
      <c r="AC8" s="1608" t="s">
        <v>2835</v>
      </c>
      <c r="AD8" s="1608" t="s">
        <v>2836</v>
      </c>
      <c r="AE8" s="1608" t="s">
        <v>2837</v>
      </c>
      <c r="AF8" s="1608" t="s">
        <v>2838</v>
      </c>
      <c r="AG8" s="1608" t="s">
        <v>2839</v>
      </c>
      <c r="AH8" s="1608" t="s">
        <v>2840</v>
      </c>
      <c r="AI8" s="1608" t="s">
        <v>2841</v>
      </c>
      <c r="AJ8" s="1608" t="s">
        <v>2842</v>
      </c>
    </row>
    <row r="9" spans="1:36" ht="15">
      <c r="A9" s="3245"/>
      <c r="B9" s="198" t="s">
        <v>2843</v>
      </c>
      <c r="C9" s="917">
        <f>SUMIF(修正!C59:C119,C8,修正!E59:E119)</f>
        <v>0</v>
      </c>
      <c r="D9" s="200" t="s">
        <v>140</v>
      </c>
      <c r="E9" s="200" t="e">
        <f>ROUND(C11/E7,4)</f>
        <v>#DIV/0!</v>
      </c>
      <c r="F9" s="2748" t="s">
        <v>2844</v>
      </c>
      <c r="G9" s="2749"/>
      <c r="H9" s="2749"/>
      <c r="I9" s="2749"/>
      <c r="J9" s="2750"/>
      <c r="K9" s="1368"/>
      <c r="L9" s="2723" t="s">
        <v>2845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57" t="s">
        <v>2846</v>
      </c>
      <c r="X9" s="1609" t="s">
        <v>2847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45"/>
      <c r="B10" s="198" t="s">
        <v>2848</v>
      </c>
      <c r="C10" s="200">
        <f>SUMIF(修正!C59:C119,C8,修正!F59:F119)</f>
        <v>0</v>
      </c>
      <c r="D10" s="200" t="s">
        <v>141</v>
      </c>
      <c r="E10" s="200" t="e">
        <f>ROUND(C11/E7,4)</f>
        <v>#DIV/0!</v>
      </c>
      <c r="F10" s="2748" t="s">
        <v>2849</v>
      </c>
      <c r="G10" s="2749"/>
      <c r="H10" s="2749"/>
      <c r="I10" s="2749"/>
      <c r="J10" s="2750"/>
      <c r="K10" s="1368"/>
      <c r="L10" s="2723" t="s">
        <v>2850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5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45"/>
      <c r="B11" s="2751" t="s">
        <v>2851</v>
      </c>
      <c r="C11" s="918">
        <f>C10/4</f>
        <v>0</v>
      </c>
      <c r="D11" s="918" t="s">
        <v>142</v>
      </c>
      <c r="E11" s="918" t="e">
        <f>ROUND(C11/E7,4)</f>
        <v>#DIV/0!</v>
      </c>
      <c r="F11" s="2752" t="s">
        <v>2852</v>
      </c>
      <c r="G11" s="2753"/>
      <c r="H11" s="2753"/>
      <c r="I11" s="2753"/>
      <c r="J11" s="2754"/>
      <c r="K11" s="1368"/>
      <c r="L11" s="2723" t="s">
        <v>2853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57" t="s">
        <v>2854</v>
      </c>
      <c r="X11" s="1612" t="s">
        <v>2855</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44" t="s">
        <v>2856</v>
      </c>
      <c r="B12" s="2755" t="s">
        <v>2857</v>
      </c>
      <c r="C12" s="914">
        <f>ROUND(C15*D15*E15*F15*G15*H15*I15*J15,4)</f>
        <v>1</v>
      </c>
      <c r="D12" s="2756" t="s">
        <v>2858</v>
      </c>
      <c r="E12" s="2757"/>
      <c r="F12" s="2757"/>
      <c r="G12" s="2758"/>
      <c r="H12" s="2758"/>
      <c r="I12" s="2758"/>
      <c r="J12" s="2759"/>
      <c r="K12" s="1368"/>
      <c r="L12" s="2760" t="s">
        <v>2859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57"/>
      <c r="X12" s="1614" t="s">
        <v>2860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2"/>
      <c r="B13" s="2761" t="s">
        <v>2861</v>
      </c>
      <c r="C13" s="2762" t="s">
        <v>2862</v>
      </c>
      <c r="D13" s="1806" t="s">
        <v>2863</v>
      </c>
      <c r="E13" s="1806" t="s">
        <v>2864</v>
      </c>
      <c r="F13" s="30" t="s">
        <v>2865</v>
      </c>
      <c r="G13" s="2763" t="s">
        <v>2866</v>
      </c>
      <c r="H13" s="2763" t="s">
        <v>2866</v>
      </c>
      <c r="I13" s="2763" t="s">
        <v>2866</v>
      </c>
      <c r="J13" s="2764" t="s">
        <v>2866</v>
      </c>
      <c r="K13" s="1368"/>
      <c r="L13" s="1368"/>
      <c r="M13" s="1368"/>
      <c r="N13" s="1368"/>
      <c r="O13" s="1368"/>
      <c r="P13" s="1368"/>
      <c r="Q13" s="1368"/>
      <c r="R13" s="1600">
        <v>12</v>
      </c>
      <c r="S13" s="1601"/>
      <c r="T13" s="1600" t="e">
        <f t="shared" si="0"/>
        <v>#DIV/0!</v>
      </c>
      <c r="U13" s="1601"/>
      <c r="V13" s="1600" t="e">
        <f t="shared" si="1"/>
        <v>#DIV/0!</v>
      </c>
      <c r="W13" s="3257"/>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62"/>
      <c r="B14" s="2765"/>
      <c r="C14" s="2766"/>
      <c r="D14" s="2767"/>
      <c r="E14" s="2767"/>
      <c r="F14" s="2768"/>
      <c r="G14" s="2769" t="s">
        <v>2867</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63"/>
      <c r="B15" s="2773" t="s">
        <v>2868</v>
      </c>
      <c r="C15" s="229">
        <f>IF(C14="有",1.1,1)</f>
        <v>1</v>
      </c>
      <c r="D15" s="229">
        <f>IF(D14="有",1.1,1)</f>
        <v>1</v>
      </c>
      <c r="E15" s="229">
        <f>IF(E14="有",1.1,1)</f>
        <v>1</v>
      </c>
      <c r="F15" s="229">
        <f>IF(F14="500米范围内",1.2,IF(F14="500-1000米",1.1,1))</f>
        <v>1</v>
      </c>
      <c r="G15" s="944">
        <v>1</v>
      </c>
      <c r="H15" s="944">
        <v>1</v>
      </c>
      <c r="I15" s="944">
        <v>1</v>
      </c>
      <c r="J15" s="945">
        <v>1</v>
      </c>
      <c r="K15" s="1368"/>
      <c r="L15" s="2774" t="s">
        <v>2804</v>
      </c>
      <c r="M15" s="915" t="s">
        <v>2869</v>
      </c>
      <c r="N15" s="915" t="s">
        <v>2870</v>
      </c>
      <c r="O15" s="915" t="s">
        <v>2871</v>
      </c>
      <c r="P15" s="2775" t="s">
        <v>2872</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44" t="s">
        <v>2873</v>
      </c>
      <c r="B16" s="2742" t="s">
        <v>2874</v>
      </c>
      <c r="C16" s="1799" t="e">
        <f>ROUND(SUM(G17:J17)/C17,0)</f>
        <v>#DIV/0!</v>
      </c>
      <c r="D16" s="2776" t="s">
        <v>2875</v>
      </c>
      <c r="E16" s="2777"/>
      <c r="F16" s="2778"/>
      <c r="G16" s="2779"/>
      <c r="H16" s="2779"/>
      <c r="I16" s="2779"/>
      <c r="J16" s="2780"/>
      <c r="K16" s="1368"/>
      <c r="L16" s="2781" t="s">
        <v>2876</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45"/>
      <c r="B17" s="2782" t="s">
        <v>2877</v>
      </c>
      <c r="C17" s="919">
        <f>SUMPRODUCT((修正!A2:A5=E2)*(修正!B1:M1=G2)*(修正!B2:M5))</f>
        <v>0</v>
      </c>
      <c r="D17" s="2783" t="s">
        <v>2878</v>
      </c>
      <c r="E17" s="918" t="str">
        <f>IF(OR(G2="八级",G2="九级",G2="十级",G2="十一级",G2="十二级"),"五通一平","七通一平")</f>
        <v>七通一平</v>
      </c>
      <c r="F17" s="919" t="s">
        <v>2879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4" t="s">
        <v>2880</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5"/>
      <c r="AF17" s="2785"/>
      <c r="AG17" s="2717"/>
      <c r="AH17" s="2717"/>
      <c r="AI17" s="2717"/>
      <c r="AJ17" s="2717"/>
    </row>
    <row r="18" spans="1:37" s="2735" customFormat="1" ht="15.75" thickBot="1">
      <c r="A18" s="2786" t="s">
        <v>808</v>
      </c>
      <c r="B18" s="2787" t="s">
        <v>2881</v>
      </c>
      <c r="C18" s="921">
        <f>SUMIF(修正!C18:C39,E3,修正!E18:E39)</f>
        <v>0</v>
      </c>
      <c r="D18" s="2788"/>
      <c r="E18" s="2789"/>
      <c r="F18" s="2790"/>
      <c r="G18" s="2791"/>
      <c r="H18" s="2791"/>
      <c r="I18" s="2791"/>
      <c r="J18" s="2792"/>
      <c r="K18" s="1375"/>
      <c r="O18" s="1373"/>
      <c r="P18" s="1373"/>
      <c r="Q18" s="1374"/>
      <c r="R18" s="1374"/>
      <c r="S18" s="1374"/>
      <c r="T18" s="1369"/>
      <c r="U18" s="1369"/>
      <c r="V18" s="1369"/>
      <c r="W18" s="1368"/>
      <c r="X18" s="1368"/>
      <c r="Y18" s="1368"/>
      <c r="Z18" s="1375"/>
      <c r="AA18" s="1376"/>
      <c r="AB18" s="1376"/>
      <c r="AC18" s="1376"/>
      <c r="AD18" s="1376"/>
      <c r="AE18" s="1370"/>
      <c r="AF18" s="1370"/>
      <c r="AG18" s="2793"/>
      <c r="AH18" s="2793"/>
      <c r="AI18" s="2793"/>
    </row>
    <row r="19" spans="1:37" s="2735" customFormat="1" ht="27.75" thickBot="1">
      <c r="A19" s="2786" t="s">
        <v>809</v>
      </c>
      <c r="B19" s="2787" t="s">
        <v>2882</v>
      </c>
      <c r="C19" s="922" t="e">
        <f>ROUND(IF(H19="按公示增长率计算",SUMPRODUCT((地价!A3:A22=YEAR(G19)&amp;"-"&amp;ROUNDUP(MONTH(G19)/3,0))*(地价!X2:AB2=E2)*(地价!X3:AB22)),IF(H19="地价指数",M20/M19,(1+I19)^O19)),4)</f>
        <v>#DIV/0!</v>
      </c>
      <c r="D19" s="2794" t="s">
        <v>2883</v>
      </c>
      <c r="E19" s="923">
        <v>41640</v>
      </c>
      <c r="F19" s="2794" t="s">
        <v>2884</v>
      </c>
      <c r="G19" s="924">
        <f>'数据-取费表'!B2</f>
        <v>43185</v>
      </c>
      <c r="H19" s="2795" t="s">
        <v>2885</v>
      </c>
      <c r="I19" s="925" t="str">
        <f>IF(H19="季度增幅（自定义）",SUMIF(N21:N24,E2,O21:O24),"")</f>
        <v/>
      </c>
      <c r="J19" s="2792"/>
      <c r="K19" s="1375"/>
      <c r="L19" s="2796" t="s">
        <v>2886</v>
      </c>
      <c r="M19" s="1732">
        <f>ROUND(SUMIF(地价!B2:F2,E2,地价!B22:F22),0)</f>
        <v>0</v>
      </c>
      <c r="N19" s="2797" t="s">
        <v>2887</v>
      </c>
      <c r="O19" s="926">
        <f>ROUNDDOWN(DATEDIF(E19,G19,"M")/3,0)</f>
        <v>16</v>
      </c>
      <c r="P19" s="1372"/>
      <c r="Q19" s="1374"/>
      <c r="R19" s="1374"/>
      <c r="S19" s="1374"/>
      <c r="T19" s="1369"/>
      <c r="U19" s="1369"/>
      <c r="V19" s="1369"/>
      <c r="W19" s="1368"/>
      <c r="X19" s="1368"/>
      <c r="Y19" s="1368"/>
      <c r="Z19" s="1375"/>
      <c r="AA19" s="1376"/>
      <c r="AB19" s="1376"/>
      <c r="AC19" s="1376"/>
      <c r="AD19" s="1376"/>
      <c r="AE19" s="1376"/>
      <c r="AF19" s="2798"/>
      <c r="AG19" s="2799"/>
      <c r="AH19" s="2793"/>
      <c r="AI19" s="2800"/>
      <c r="AJ19" s="2800"/>
      <c r="AK19" s="2800"/>
    </row>
    <row r="20" spans="1:37" s="2735" customFormat="1" ht="27.75" thickBot="1">
      <c r="A20" s="2801" t="s">
        <v>810</v>
      </c>
      <c r="B20" s="2802" t="s">
        <v>2888</v>
      </c>
      <c r="C20" s="927" t="e">
        <f>ROUND(POWER(1+G20,J20-I20)*(POWER(1+G20,I20)-1)/(POWER(1+G20,J20)-1),4)</f>
        <v>#DIV/0!</v>
      </c>
      <c r="D20" s="2803" t="s">
        <v>2889</v>
      </c>
      <c r="E20" s="1766">
        <f ca="1">存贷款利率!D4/100</f>
        <v>4.3499999999999997E-2</v>
      </c>
      <c r="F20" s="2803" t="s">
        <v>2880</v>
      </c>
      <c r="G20" s="932">
        <f>SUMIF(M15:P15,E2,M17:P17)</f>
        <v>0</v>
      </c>
      <c r="H20" s="2803" t="s">
        <v>2890</v>
      </c>
      <c r="I20" s="933" t="e">
        <f>SUMIF('数据-取费表'!C6:C15,E2,'数据-取费表'!F6:F15)/COUNTIF('数据-取费表'!C6:C15,E2)</f>
        <v>#DIV/0!</v>
      </c>
      <c r="J20" s="934">
        <f>IF(E2="住宅",70,IF(E2="商业",40,50))</f>
        <v>50</v>
      </c>
      <c r="K20" s="1375"/>
      <c r="L20" s="2804" t="s">
        <v>2891</v>
      </c>
      <c r="M20" s="1733">
        <f>ROUND(SUMPRODUCT((地价!A4:A22=YEAR(G19)&amp;"-"&amp;ROUNDUP(MONTH(G19)/3,0))*(地价!B2:F2=E2)*(地价!B4:F22)),0)</f>
        <v>0</v>
      </c>
      <c r="N20" s="2805" t="s">
        <v>2892</v>
      </c>
      <c r="O20" s="2806" t="s">
        <v>2893</v>
      </c>
      <c r="P20" s="2807" t="s">
        <v>2894</v>
      </c>
      <c r="R20" s="1374"/>
      <c r="S20" s="1374"/>
      <c r="T20" s="1369"/>
      <c r="U20" s="1369"/>
      <c r="V20" s="1369"/>
      <c r="W20" s="1368"/>
      <c r="X20" s="1368"/>
      <c r="Y20" s="1368"/>
      <c r="Z20" s="1375"/>
      <c r="AA20" s="1376"/>
      <c r="AB20" s="1376"/>
      <c r="AC20" s="1376"/>
      <c r="AD20" s="1376"/>
      <c r="AE20" s="1376"/>
      <c r="AF20" s="1376"/>
    </row>
    <row r="21" spans="1:37" s="2735" customFormat="1" ht="15">
      <c r="A21" s="2808" t="s">
        <v>811</v>
      </c>
      <c r="B21" s="2809" t="s">
        <v>2895</v>
      </c>
      <c r="C21" s="935" t="e">
        <f>IF(B21="容积率修正",IF(G3&lt;=10,D22,J22),C23)</f>
        <v>#DIV/0!</v>
      </c>
      <c r="D21" s="2810"/>
      <c r="E21" s="2810"/>
      <c r="F21" s="2810"/>
      <c r="G21" s="2810"/>
      <c r="H21" s="2810"/>
      <c r="I21" s="2810"/>
      <c r="J21" s="2811"/>
      <c r="K21" s="1375"/>
      <c r="N21" s="2812" t="s">
        <v>2896</v>
      </c>
      <c r="O21" s="1559"/>
      <c r="P21" s="1560">
        <f>SUMPRODUCT((地价!A3:A22=YEAR(G19)&amp;"-"&amp;ROUNDUP(MONTH(G19)/3,0))*(地价!AD2:AH2=N21)*(地价!AD3:AH22))</f>
        <v>1.55E-2</v>
      </c>
      <c r="R21" s="1374"/>
      <c r="S21" s="1374"/>
      <c r="T21" s="1369"/>
      <c r="U21" s="1369"/>
      <c r="V21" s="1369"/>
      <c r="W21" s="1368"/>
      <c r="X21" s="1368"/>
      <c r="Y21" s="1368"/>
      <c r="Z21" s="1375"/>
      <c r="AA21" s="1376"/>
      <c r="AB21" s="1376"/>
      <c r="AC21" s="1376"/>
      <c r="AD21" s="1376"/>
      <c r="AE21" s="1376"/>
      <c r="AF21" s="1376"/>
    </row>
    <row r="22" spans="1:37" s="2735" customFormat="1" ht="14.25">
      <c r="A22" s="2662" t="s">
        <v>2897</v>
      </c>
      <c r="B22" s="2813" t="s">
        <v>2898</v>
      </c>
      <c r="C22" s="1808" t="s">
        <v>2899</v>
      </c>
      <c r="D22" s="1808" t="e">
        <f>IF(E22=G22,F22,IF(G3&lt;=10,ROUND(F22+(H22-F22)*(G3-E22)/(G22-E22),4),"——"))</f>
        <v>#DIV/0!</v>
      </c>
      <c r="E22" s="911"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12" t="s">
        <v>2900</v>
      </c>
      <c r="O22" s="1559"/>
      <c r="P22" s="1560">
        <f>SUMPRODUCT((地价!A3:A22=YEAR(G19)&amp;"-"&amp;ROUNDUP(MONTH(G19)/3,0))*(地价!AD2:AH2=N22)*(地价!AD3:AH22))</f>
        <v>1.55E-2</v>
      </c>
      <c r="R22" s="1374"/>
      <c r="S22" s="1374"/>
      <c r="T22" s="1369"/>
      <c r="U22" s="1369"/>
      <c r="V22" s="1369"/>
      <c r="W22" s="1368"/>
      <c r="X22" s="1368"/>
      <c r="Y22" s="1368"/>
      <c r="Z22" s="1375"/>
      <c r="AA22" s="1376"/>
      <c r="AB22" s="1376"/>
      <c r="AC22" s="1376"/>
      <c r="AD22" s="1376"/>
      <c r="AE22" s="1376"/>
      <c r="AF22" s="1376"/>
    </row>
    <row r="23" spans="1:37" ht="27.75" thickBot="1">
      <c r="A23" s="2662" t="s">
        <v>2901</v>
      </c>
      <c r="B23" s="2814" t="s">
        <v>2902</v>
      </c>
      <c r="C23" s="1011" t="e">
        <f>ROUND(IF(G3&gt;1,IF(I3&lt;7,SUMPRODUCT((B93:B98=I3)*(C92:N92=G2)*(C93:N98)),SUMIF(C92:N92,G2,C100:N100)),IF(I3&lt;7,SUMPRODUCT((B102:B107=I3)*(C92:N92=G2)*(C102:N107)),SUMIF(C92:N92,G2,C109:N109))),4)</f>
        <v>#DIV/0!</v>
      </c>
      <c r="D23" s="2770"/>
      <c r="E23" s="2770"/>
      <c r="F23" s="2815"/>
      <c r="G23" s="2816"/>
      <c r="H23" s="2817"/>
      <c r="I23" s="2818"/>
      <c r="J23" s="2819"/>
      <c r="K23" s="1368"/>
      <c r="N23" s="2812" t="s">
        <v>2903</v>
      </c>
      <c r="O23" s="1559"/>
      <c r="P23" s="1560">
        <f>SUMPRODUCT((地价!A3:A22=YEAR(G19)&amp;"-"&amp;ROUNDUP(MONTH(G19)/3,0))*(地价!AD2:AH2=N23)*(地价!AD3:AH22))</f>
        <v>2.5499999999999998E-2</v>
      </c>
      <c r="R23" s="1374"/>
      <c r="S23" s="1374"/>
      <c r="T23" s="1369"/>
      <c r="U23" s="1369"/>
      <c r="V23" s="1369"/>
      <c r="W23" s="1368"/>
      <c r="X23" s="1368"/>
      <c r="Y23" s="1368"/>
      <c r="Z23" s="1375"/>
      <c r="AA23" s="1376"/>
      <c r="AB23" s="1376"/>
      <c r="AC23" s="1376"/>
      <c r="AD23" s="1376"/>
      <c r="AK23" s="2793"/>
    </row>
    <row r="24" spans="1:37" s="2735" customFormat="1" ht="15.75" thickBot="1">
      <c r="A24" s="2801" t="s">
        <v>812</v>
      </c>
      <c r="B24" s="2787" t="s">
        <v>2904</v>
      </c>
      <c r="C24" s="922">
        <f>SUMIF(A45:A88,E2,B45:B88)</f>
        <v>0</v>
      </c>
      <c r="D24" s="2790"/>
      <c r="E24" s="2820"/>
      <c r="F24" s="2820"/>
      <c r="G24" s="2820"/>
      <c r="H24" s="2820"/>
      <c r="I24" s="2820"/>
      <c r="J24" s="2821"/>
      <c r="K24" s="1375"/>
      <c r="N24" s="2822" t="s">
        <v>2905</v>
      </c>
      <c r="O24" s="1561"/>
      <c r="P24" s="1562">
        <f>SUMPRODUCT((地价!A3:A22=YEAR(G19)&amp;"-"&amp;ROUNDUP(MONTH(G19)/3,0))*(地价!AD2:AH2=N24)*(地价!AD3:AH22))</f>
        <v>1.3100000000000001E-2</v>
      </c>
      <c r="R24" s="1374"/>
      <c r="S24" s="1374"/>
      <c r="T24" s="1369"/>
      <c r="U24" s="1369"/>
      <c r="V24" s="1369"/>
      <c r="W24" s="1368"/>
      <c r="X24" s="1368"/>
      <c r="Y24" s="1368"/>
      <c r="Z24" s="1375"/>
      <c r="AA24" s="1376"/>
      <c r="AB24" s="1376"/>
      <c r="AC24" s="1376"/>
      <c r="AD24" s="1376"/>
      <c r="AE24" s="1376"/>
      <c r="AF24" s="1376"/>
    </row>
    <row r="25" spans="1:37" ht="15.75" thickBot="1">
      <c r="A25" s="2801" t="s">
        <v>813</v>
      </c>
      <c r="B25" s="2823" t="s">
        <v>2906</v>
      </c>
      <c r="C25" s="928"/>
      <c r="D25" s="2745"/>
      <c r="E25" s="2745"/>
      <c r="F25" s="2824"/>
      <c r="G25" s="2745"/>
      <c r="H25" s="2745"/>
      <c r="I25" s="2745"/>
      <c r="J25" s="2746"/>
      <c r="K25" s="1368"/>
      <c r="N25" s="2825" t="s">
        <v>2907</v>
      </c>
      <c r="O25" s="1563"/>
      <c r="P25" s="1562">
        <f>SUMPRODUCT((地价!A3:A22=YEAR(G19)&amp;"-"&amp;ROUNDUP(MONTH(G19)/3,0))*(地价!AD2:AH2=N25)*(地价!AD3:AH22))</f>
        <v>2.3E-2</v>
      </c>
      <c r="R25" s="1374"/>
      <c r="S25" s="1374"/>
      <c r="T25" s="1369"/>
      <c r="U25" s="1369"/>
      <c r="V25" s="1369"/>
      <c r="W25" s="1368"/>
      <c r="X25" s="1368"/>
      <c r="Y25" s="1368"/>
      <c r="Z25" s="1375"/>
      <c r="AA25" s="1376"/>
      <c r="AB25" s="1376"/>
      <c r="AC25" s="1376"/>
      <c r="AD25" s="1376"/>
    </row>
    <row r="26" spans="1:37" ht="15">
      <c r="A26" s="2826"/>
      <c r="B26" s="2813" t="s">
        <v>2908</v>
      </c>
      <c r="C26" s="206" t="e">
        <f>E29+SUM(E33:E39)</f>
        <v>#DIV/0!</v>
      </c>
      <c r="D26" s="2827"/>
      <c r="E26" s="2770"/>
      <c r="F26" s="2828"/>
      <c r="G26" s="2770"/>
      <c r="H26" s="2770"/>
      <c r="I26" s="2770"/>
      <c r="J26" s="2829"/>
      <c r="K26" s="1368"/>
      <c r="R26" s="1374"/>
      <c r="S26" s="1374"/>
      <c r="T26" s="1369"/>
      <c r="U26" s="1369"/>
      <c r="V26" s="1369"/>
      <c r="W26" s="1368"/>
      <c r="X26" s="1368"/>
      <c r="Y26" s="1368"/>
      <c r="Z26" s="1375"/>
      <c r="AA26" s="1376"/>
      <c r="AB26" s="1376"/>
      <c r="AC26" s="1376"/>
      <c r="AD26" s="1376"/>
    </row>
    <row r="27" spans="1:37" ht="15.75" thickBot="1">
      <c r="A27" s="2826"/>
      <c r="B27" s="2830" t="s">
        <v>2909</v>
      </c>
      <c r="C27" s="929" t="e">
        <f>E30+SUM(I33:I39)</f>
        <v>#DIV/0!</v>
      </c>
      <c r="D27" s="2831"/>
      <c r="E27" s="2832"/>
      <c r="F27" s="2833"/>
      <c r="G27" s="2832"/>
      <c r="H27" s="2832"/>
      <c r="I27" s="2832"/>
      <c r="J27" s="2834"/>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5"/>
      <c r="B28" s="2836" t="s">
        <v>2910</v>
      </c>
      <c r="C28" s="2837" t="s">
        <v>2911</v>
      </c>
      <c r="D28" s="2837" t="s">
        <v>2912</v>
      </c>
      <c r="E28" s="2838" t="s">
        <v>2913</v>
      </c>
      <c r="F28" s="2839"/>
      <c r="G28" s="2758"/>
      <c r="H28" s="2758"/>
      <c r="I28" s="2758"/>
      <c r="J28" s="2759"/>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0"/>
      <c r="B29" s="2841" t="s">
        <v>2914</v>
      </c>
      <c r="C29" s="206" t="e">
        <f>ROUND(C5*C18*C19*C20*C21*C24,0)</f>
        <v>#DIV/0!</v>
      </c>
      <c r="D29" s="2842"/>
      <c r="E29" s="940" t="e">
        <f>ROUND(C29*D29/10000,0)</f>
        <v>#DIV/0!</v>
      </c>
      <c r="F29" s="2843" t="s">
        <v>2915</v>
      </c>
      <c r="G29" s="2844"/>
      <c r="H29" s="2844"/>
      <c r="I29" s="2844"/>
      <c r="J29" s="2845"/>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17"/>
      <c r="AH29" s="2717"/>
      <c r="AI29" s="2717"/>
      <c r="AJ29" s="2717"/>
    </row>
    <row r="30" spans="1:37" ht="25.5" thickBot="1">
      <c r="A30" s="2846"/>
      <c r="B30" s="2847" t="s">
        <v>2916</v>
      </c>
      <c r="C30" s="229" t="e">
        <f>ROUND(IF(E2="工业",C29*M39,C29*M38),0)</f>
        <v>#DIV/0!</v>
      </c>
      <c r="D30" s="2848"/>
      <c r="E30" s="940" t="e">
        <f>ROUND(C30*D30/10000,0)</f>
        <v>#DIV/0!</v>
      </c>
      <c r="F30" s="2849" t="s">
        <v>2917</v>
      </c>
      <c r="G30" s="2850"/>
      <c r="H30" s="2850"/>
      <c r="I30" s="2850"/>
      <c r="J30" s="2851"/>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17"/>
      <c r="AH30" s="2717"/>
      <c r="AI30" s="2717"/>
      <c r="AJ30" s="2717"/>
    </row>
    <row r="31" spans="1:37" ht="14.25">
      <c r="A31" s="2852"/>
      <c r="B31" s="2853" t="s">
        <v>2918</v>
      </c>
      <c r="C31" s="2854" t="s">
        <v>2919</v>
      </c>
      <c r="D31" s="2758"/>
      <c r="E31" s="2854"/>
      <c r="F31" s="2854"/>
      <c r="G31" s="2756" t="s">
        <v>2920</v>
      </c>
      <c r="H31" s="2758"/>
      <c r="I31" s="2855"/>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17"/>
      <c r="AH31" s="2717"/>
      <c r="AI31" s="2717"/>
      <c r="AJ31" s="2717"/>
    </row>
    <row r="32" spans="1:37" ht="24">
      <c r="A32" s="2840"/>
      <c r="B32" s="2856"/>
      <c r="C32" s="501" t="s">
        <v>2911</v>
      </c>
      <c r="D32" s="498" t="s">
        <v>2912</v>
      </c>
      <c r="E32" s="498" t="s">
        <v>2913</v>
      </c>
      <c r="F32" s="388" t="s">
        <v>2921</v>
      </c>
      <c r="G32" s="2857" t="s">
        <v>2911</v>
      </c>
      <c r="H32" s="2857" t="s">
        <v>2912</v>
      </c>
      <c r="I32" s="2857" t="s">
        <v>2913</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17"/>
      <c r="AH32" s="2717"/>
      <c r="AI32" s="2717"/>
      <c r="AJ32" s="2717"/>
    </row>
    <row r="33" spans="1:37" ht="36" customHeight="1">
      <c r="A33" s="3252" t="s">
        <v>2922</v>
      </c>
      <c r="B33" s="2858" t="s">
        <v>2923</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3"/>
      <c r="B34" s="2762" t="s">
        <v>2924</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3"/>
      <c r="B35" s="2762" t="s">
        <v>2925</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68"/>
      <c r="L35" s="1368"/>
      <c r="M35" s="1368"/>
      <c r="N35" s="1368"/>
      <c r="O35" s="1368"/>
      <c r="P35" s="1368"/>
      <c r="Q35" s="1368"/>
      <c r="R35" s="1368"/>
      <c r="S35" s="1368"/>
      <c r="T35" s="1368"/>
      <c r="U35" s="1368"/>
      <c r="V35" s="1368"/>
      <c r="W35" s="1368"/>
      <c r="X35" s="1368"/>
      <c r="Y35" s="1368"/>
      <c r="Z35" s="1369"/>
    </row>
    <row r="36" spans="1:37" ht="13.5" thickBot="1">
      <c r="A36" s="3254"/>
      <c r="B36" s="2762" t="s">
        <v>2926</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68"/>
      <c r="L36" s="2716"/>
      <c r="M36" s="2716"/>
      <c r="N36" s="1368"/>
      <c r="O36" s="1368"/>
      <c r="P36" s="1368"/>
      <c r="Q36" s="1368"/>
      <c r="R36" s="1368"/>
      <c r="S36" s="1368"/>
      <c r="T36" s="1368"/>
      <c r="U36" s="1368"/>
      <c r="V36" s="1368"/>
      <c r="W36" s="1368"/>
      <c r="X36" s="1368"/>
      <c r="Y36" s="1368"/>
      <c r="Z36" s="1369"/>
    </row>
    <row r="37" spans="1:37">
      <c r="A37" s="2860"/>
      <c r="B37" s="2762" t="s">
        <v>2927</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68"/>
      <c r="L37" s="2861" t="s">
        <v>2928</v>
      </c>
      <c r="M37" s="2862"/>
      <c r="N37" s="1368"/>
      <c r="O37" s="1368"/>
      <c r="P37" s="1368"/>
      <c r="Q37" s="1368"/>
      <c r="R37" s="1368"/>
      <c r="S37" s="1368"/>
      <c r="T37" s="1368"/>
      <c r="U37" s="1368"/>
      <c r="V37" s="1368"/>
      <c r="W37" s="1368"/>
      <c r="X37" s="1368"/>
      <c r="Y37" s="1368"/>
      <c r="Z37" s="1369"/>
    </row>
    <row r="38" spans="1:37">
      <c r="A38" s="2860"/>
      <c r="B38" s="2762" t="s">
        <v>2929</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68"/>
      <c r="L38" s="1885" t="s">
        <v>2930</v>
      </c>
      <c r="M38" s="2863">
        <v>0.25</v>
      </c>
      <c r="N38" s="1368"/>
      <c r="O38" s="1368"/>
      <c r="P38" s="1368"/>
      <c r="Q38" s="1368"/>
      <c r="R38" s="1368"/>
      <c r="S38" s="1368"/>
      <c r="T38" s="1368"/>
      <c r="U38" s="1368"/>
      <c r="V38" s="1368"/>
      <c r="W38" s="1368"/>
      <c r="X38" s="1368"/>
      <c r="Y38" s="1368"/>
      <c r="Z38" s="1369"/>
    </row>
    <row r="39" spans="1:37" ht="13.5" thickBot="1">
      <c r="A39" s="2846"/>
      <c r="B39" s="2864" t="s">
        <v>2931</v>
      </c>
      <c r="C39" s="229" t="e">
        <f>ROUND(C5*C19*C20*C24*F39,0)</f>
        <v>#DIV/0!</v>
      </c>
      <c r="D39" s="2848"/>
      <c r="E39" s="229" t="e">
        <f t="shared" si="7"/>
        <v>#DIV/0!</v>
      </c>
      <c r="F39" s="930">
        <f>SUMIF(修正!A45:A56,G2,修正!H45:H56)</f>
        <v>0</v>
      </c>
      <c r="G39" s="229" t="e">
        <f t="shared" si="6"/>
        <v>#DIV/0!</v>
      </c>
      <c r="H39" s="229">
        <f t="shared" si="8"/>
        <v>0</v>
      </c>
      <c r="I39" s="229" t="e">
        <f t="shared" si="9"/>
        <v>#DIV/0!</v>
      </c>
      <c r="J39" s="2865"/>
      <c r="K39" s="1368"/>
      <c r="L39" s="2866" t="s">
        <v>2872</v>
      </c>
      <c r="M39" s="286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8"/>
      <c r="Z41" s="1369"/>
      <c r="AA41" s="1369"/>
      <c r="AB41" s="1369"/>
      <c r="AC41" s="1369"/>
      <c r="AD41" s="1369"/>
      <c r="AE41" s="1369"/>
      <c r="AF41" s="1369"/>
      <c r="AG41" s="1369"/>
      <c r="AH41" s="1369"/>
      <c r="AI41" s="1369"/>
      <c r="AJ41" s="1369"/>
    </row>
    <row r="42" spans="1:37" s="1368" customFormat="1">
      <c r="A42" s="1369"/>
      <c r="B42" s="2868"/>
      <c r="Z42" s="1369"/>
      <c r="AA42" s="1369"/>
      <c r="AB42" s="1369"/>
      <c r="AC42" s="1369"/>
      <c r="AD42" s="1369"/>
      <c r="AE42" s="1369"/>
      <c r="AF42" s="1369"/>
      <c r="AG42" s="1369"/>
      <c r="AH42" s="1369"/>
      <c r="AI42" s="1369"/>
      <c r="AJ42" s="1369"/>
    </row>
    <row r="43" spans="1:37" s="1368" customFormat="1">
      <c r="A43" s="1369"/>
      <c r="B43" s="2868"/>
      <c r="Z43" s="1369"/>
      <c r="AA43" s="1369"/>
      <c r="AB43" s="1369"/>
      <c r="AC43" s="1369"/>
      <c r="AD43" s="1369"/>
      <c r="AE43" s="1369"/>
      <c r="AF43" s="1369"/>
      <c r="AG43" s="1369"/>
      <c r="AH43" s="1369"/>
      <c r="AI43" s="1369"/>
      <c r="AJ43" s="1369"/>
    </row>
    <row r="44" spans="1:37" s="1368" customFormat="1">
      <c r="A44" s="1369"/>
      <c r="B44" s="2868"/>
      <c r="Z44" s="1369"/>
      <c r="AA44" s="1369"/>
      <c r="AB44" s="1369"/>
      <c r="AC44" s="1369"/>
      <c r="AD44" s="1369"/>
      <c r="AE44" s="1369"/>
      <c r="AF44" s="1369"/>
      <c r="AG44" s="1369"/>
      <c r="AH44" s="1369"/>
      <c r="AI44" s="1369"/>
      <c r="AJ44" s="1369"/>
    </row>
    <row r="45" spans="1:37" s="1368" customFormat="1" ht="15.75" thickBot="1">
      <c r="A45" s="2869" t="s">
        <v>2932</v>
      </c>
      <c r="B45" s="2870"/>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71" t="s">
        <v>2933</v>
      </c>
      <c r="B46" s="2872">
        <f>1+E48</f>
        <v>1</v>
      </c>
      <c r="C46" s="2873"/>
      <c r="D46" s="809"/>
      <c r="E46" s="810"/>
      <c r="F46" s="2874"/>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5" t="s">
        <v>2934</v>
      </c>
      <c r="B47" s="1807" t="s">
        <v>2935</v>
      </c>
      <c r="C47" s="1807" t="s">
        <v>2936</v>
      </c>
      <c r="D47" s="1807" t="s">
        <v>2937</v>
      </c>
      <c r="E47" s="814" t="s">
        <v>2938</v>
      </c>
      <c r="F47" s="2876" t="s">
        <v>2939</v>
      </c>
      <c r="G47" s="1807" t="s">
        <v>754</v>
      </c>
      <c r="H47" s="2877" t="s">
        <v>2940</v>
      </c>
      <c r="I47" s="1807" t="s">
        <v>2941</v>
      </c>
      <c r="J47" s="603" t="s">
        <v>2588</v>
      </c>
      <c r="K47" s="603" t="s">
        <v>2589</v>
      </c>
      <c r="L47" s="603" t="s">
        <v>2590</v>
      </c>
      <c r="M47" s="603" t="s">
        <v>2591</v>
      </c>
      <c r="N47" s="603" t="s">
        <v>2592</v>
      </c>
      <c r="AA47" s="1369"/>
      <c r="AB47" s="1369"/>
      <c r="AC47" s="1369"/>
      <c r="AD47" s="1369"/>
      <c r="AE47" s="1369"/>
      <c r="AF47" s="1369"/>
      <c r="AG47" s="1369"/>
      <c r="AH47" s="1369"/>
      <c r="AI47" s="1369"/>
      <c r="AJ47" s="1369"/>
      <c r="AK47" s="1369"/>
    </row>
    <row r="48" spans="1:37" s="1368" customFormat="1" ht="38.25">
      <c r="A48" s="2875" t="s">
        <v>2942</v>
      </c>
      <c r="B48" s="2878" t="str">
        <f>估价对象房地状况!C4</f>
        <v>XX商圈，周边商业氛围，人流量</v>
      </c>
      <c r="C48" s="2767"/>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5" t="s">
        <v>2943</v>
      </c>
      <c r="B49" s="2879" t="str">
        <f>估价对象房地状况!C18</f>
        <v>周边道路状况、公共交通通达情况、停车便捷程度（快速路西四环北路 六号线海淀五路居站 五路桥公交站  61路 79路 121路 地上停车位）</v>
      </c>
      <c r="C49" s="2767"/>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5" t="s">
        <v>2944</v>
      </c>
      <c r="B50" s="2879">
        <f>估价对象房地状况!C19</f>
        <v>0</v>
      </c>
      <c r="C50" s="2767"/>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5" t="s">
        <v>2945</v>
      </c>
      <c r="B51" s="2880" t="s">
        <v>2946</v>
      </c>
      <c r="C51" s="2767"/>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5" t="s">
        <v>2947</v>
      </c>
      <c r="B52" s="2879">
        <f>估价对象房地状况!C24</f>
        <v>0</v>
      </c>
      <c r="C52" s="2767"/>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5" t="s">
        <v>2948</v>
      </c>
      <c r="B53" s="2881" t="s">
        <v>2949</v>
      </c>
      <c r="C53" s="2767"/>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2" t="s">
        <v>2950</v>
      </c>
      <c r="B54" s="1723"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7"/>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2" t="s">
        <v>2951</v>
      </c>
      <c r="B55" s="2879">
        <f>估价对象房地状况!C22</f>
        <v>0</v>
      </c>
      <c r="C55" s="2767"/>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3" t="s">
        <v>2952</v>
      </c>
      <c r="B56" s="2884" t="str">
        <f>估价对象房地状况!C20</f>
        <v>区域自然环境：；人文环境；综合评价环境状况一般</v>
      </c>
      <c r="C56" s="2767"/>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1" t="s">
        <v>2953</v>
      </c>
      <c r="B57" s="2872">
        <f>1+E59</f>
        <v>1</v>
      </c>
      <c r="C57" s="809"/>
      <c r="D57" s="809"/>
      <c r="E57" s="810"/>
      <c r="F57" s="287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5" t="s">
        <v>2934</v>
      </c>
      <c r="B58" s="1807"/>
      <c r="C58" s="1807" t="s">
        <v>2936</v>
      </c>
      <c r="D58" s="1807" t="s">
        <v>2937</v>
      </c>
      <c r="E58" s="814" t="s">
        <v>2938</v>
      </c>
      <c r="F58" s="2876" t="s">
        <v>2954</v>
      </c>
      <c r="G58" s="1807" t="s">
        <v>754</v>
      </c>
      <c r="H58" s="2877" t="s">
        <v>2940</v>
      </c>
      <c r="I58" s="1807" t="s">
        <v>2941</v>
      </c>
      <c r="J58" s="603" t="s">
        <v>2588</v>
      </c>
      <c r="K58" s="603" t="s">
        <v>2589</v>
      </c>
      <c r="L58" s="603" t="s">
        <v>2590</v>
      </c>
      <c r="M58" s="603" t="s">
        <v>2591</v>
      </c>
      <c r="N58" s="603" t="s">
        <v>2592</v>
      </c>
      <c r="AA58" s="1369"/>
      <c r="AB58" s="1369"/>
      <c r="AC58" s="1369"/>
      <c r="AD58" s="1369"/>
      <c r="AE58" s="1369"/>
      <c r="AF58" s="1369"/>
      <c r="AG58" s="1369"/>
      <c r="AH58" s="1369"/>
      <c r="AI58" s="1369"/>
      <c r="AJ58" s="1369"/>
      <c r="AK58" s="1369"/>
    </row>
    <row r="59" spans="1:37" s="1368" customFormat="1" ht="38.25">
      <c r="A59" s="2875" t="s">
        <v>2955</v>
      </c>
      <c r="B59" s="2878" t="str">
        <f>估价对象房地状况!C17</f>
        <v>XX商圈，周边办公楼项目，入驻率（物美慧科大厦 新奥特科技大厦 裕友大厦）</v>
      </c>
      <c r="C59" s="2767"/>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5" t="s">
        <v>2943</v>
      </c>
      <c r="B60" s="2879" t="str">
        <f>估价对象房地状况!C18</f>
        <v>周边道路状况、公共交通通达情况、停车便捷程度（快速路西四环北路 六号线海淀五路居站 五路桥公交站  61路 79路 121路 地上停车位）</v>
      </c>
      <c r="C60" s="2767"/>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5" t="s">
        <v>2944</v>
      </c>
      <c r="B61" s="2879">
        <f>估价对象房地状况!C19</f>
        <v>0</v>
      </c>
      <c r="C61" s="2767"/>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5" t="s">
        <v>2945</v>
      </c>
      <c r="B62" s="2880" t="s">
        <v>2946</v>
      </c>
      <c r="C62" s="2767"/>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5" t="s">
        <v>2947</v>
      </c>
      <c r="B63" s="2879">
        <f>估价对象房地状况!C24</f>
        <v>0</v>
      </c>
      <c r="C63" s="2767"/>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5" t="s">
        <v>2948</v>
      </c>
      <c r="B64" s="2881" t="s">
        <v>2949</v>
      </c>
      <c r="C64" s="2767"/>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5" t="s">
        <v>2950</v>
      </c>
      <c r="B65" s="1723"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7"/>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5" t="s">
        <v>2951</v>
      </c>
      <c r="B66" s="1723">
        <f>估价对象房地状况!C22</f>
        <v>0</v>
      </c>
      <c r="C66" s="2767"/>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3" t="s">
        <v>2952</v>
      </c>
      <c r="B67" s="2885" t="str">
        <f>估价对象房地状况!C20</f>
        <v>区域自然环境：；人文环境；综合评价环境状况一般</v>
      </c>
      <c r="C67" s="2767"/>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1" t="s">
        <v>2956</v>
      </c>
      <c r="B68" s="2872">
        <f>1+E70</f>
        <v>1</v>
      </c>
      <c r="C68" s="809"/>
      <c r="D68" s="809"/>
      <c r="E68" s="810"/>
      <c r="F68" s="287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5" t="s">
        <v>2934</v>
      </c>
      <c r="B69" s="1807"/>
      <c r="C69" s="1807" t="s">
        <v>2936</v>
      </c>
      <c r="D69" s="1807" t="s">
        <v>2937</v>
      </c>
      <c r="E69" s="814" t="s">
        <v>2938</v>
      </c>
      <c r="F69" s="2876" t="s">
        <v>2954</v>
      </c>
      <c r="G69" s="1807" t="s">
        <v>754</v>
      </c>
      <c r="H69" s="2877" t="s">
        <v>2940</v>
      </c>
      <c r="I69" s="1807" t="s">
        <v>2941</v>
      </c>
      <c r="J69" s="603" t="s">
        <v>2588</v>
      </c>
      <c r="K69" s="603" t="s">
        <v>2589</v>
      </c>
      <c r="L69" s="603" t="s">
        <v>2590</v>
      </c>
      <c r="M69" s="603" t="s">
        <v>2591</v>
      </c>
      <c r="N69" s="603" t="s">
        <v>2592</v>
      </c>
      <c r="AA69" s="1369"/>
      <c r="AB69" s="1369"/>
      <c r="AC69" s="1369"/>
      <c r="AD69" s="1369"/>
      <c r="AE69" s="1369"/>
      <c r="AF69" s="1369"/>
      <c r="AG69" s="1369"/>
      <c r="AH69" s="1369"/>
      <c r="AI69" s="1369"/>
      <c r="AJ69" s="1369"/>
      <c r="AK69" s="1369"/>
    </row>
    <row r="70" spans="1:37" s="1368" customFormat="1" ht="51">
      <c r="A70" s="2875" t="s">
        <v>2957</v>
      </c>
      <c r="B70" s="2878">
        <f>估价对象房地状况!C15</f>
        <v>0</v>
      </c>
      <c r="C70" s="2767"/>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5" t="s">
        <v>2943</v>
      </c>
      <c r="B71" s="2879" t="str">
        <f>估价对象房地状况!C18</f>
        <v>周边道路状况、公共交通通达情况、停车便捷程度（快速路西四环北路 六号线海淀五路居站 五路桥公交站  61路 79路 121路 地上停车位）</v>
      </c>
      <c r="C71" s="2767"/>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5" t="s">
        <v>2944</v>
      </c>
      <c r="B72" s="2879">
        <f>估价对象房地状况!C19</f>
        <v>0</v>
      </c>
      <c r="C72" s="2767"/>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5" t="s">
        <v>2958</v>
      </c>
      <c r="B73" s="2879">
        <f>估价对象房地状况!C24</f>
        <v>0</v>
      </c>
      <c r="C73" s="2767"/>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5" t="s">
        <v>2950</v>
      </c>
      <c r="B74" s="1723"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7"/>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5" t="s">
        <v>2951</v>
      </c>
      <c r="B75" s="1723">
        <f>估价对象房地状况!C22</f>
        <v>0</v>
      </c>
      <c r="C75" s="2767"/>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75" t="s">
        <v>2948</v>
      </c>
      <c r="B76" s="2881" t="s">
        <v>2949</v>
      </c>
      <c r="C76" s="2767"/>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6"/>
      <c r="AB76" s="1369"/>
      <c r="AC76" s="1369"/>
      <c r="AD76" s="1369"/>
      <c r="AE76" s="1369"/>
      <c r="AF76" s="1369"/>
      <c r="AG76" s="1369"/>
      <c r="AH76" s="2886"/>
      <c r="AI76" s="2886"/>
      <c r="AJ76" s="2886"/>
      <c r="AK76" s="2886"/>
    </row>
    <row r="77" spans="1:37" ht="38.25">
      <c r="A77" s="2875" t="s">
        <v>2952</v>
      </c>
      <c r="B77" s="2878" t="str">
        <f>估价对象房地状况!C20</f>
        <v>区域自然环境：；人文环境；综合评价环境状况一般</v>
      </c>
      <c r="C77" s="2767"/>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7"/>
      <c r="AA77" s="2793"/>
      <c r="AG77" s="1370"/>
      <c r="AK77" s="2793"/>
    </row>
    <row r="78" spans="1:37" ht="24.75" thickBot="1">
      <c r="A78" s="2883" t="s">
        <v>2959</v>
      </c>
      <c r="B78" s="2887"/>
      <c r="C78" s="2767"/>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7"/>
      <c r="AA78" s="2793"/>
      <c r="AG78" s="1370"/>
      <c r="AK78" s="2793"/>
    </row>
    <row r="79" spans="1:37" ht="15">
      <c r="A79" s="2871" t="s">
        <v>2960</v>
      </c>
      <c r="B79" s="2872">
        <f>1+E81</f>
        <v>1</v>
      </c>
      <c r="C79" s="809"/>
      <c r="D79" s="809"/>
      <c r="E79" s="810"/>
      <c r="F79" s="2874"/>
      <c r="G79" s="6"/>
      <c r="H79" s="6"/>
      <c r="I79" s="6"/>
      <c r="J79" s="7"/>
      <c r="K79" s="7"/>
      <c r="L79" s="7"/>
      <c r="M79" s="7"/>
      <c r="N79" s="7"/>
      <c r="Z79" s="2717"/>
      <c r="AA79" s="2793"/>
      <c r="AG79" s="1370"/>
      <c r="AK79" s="2793"/>
    </row>
    <row r="80" spans="1:37" ht="24.75">
      <c r="A80" s="2875" t="s">
        <v>2934</v>
      </c>
      <c r="B80" s="1807"/>
      <c r="C80" s="1807" t="s">
        <v>2936</v>
      </c>
      <c r="D80" s="1807" t="s">
        <v>2937</v>
      </c>
      <c r="E80" s="814" t="s">
        <v>2938</v>
      </c>
      <c r="F80" s="2876" t="s">
        <v>2954</v>
      </c>
      <c r="G80" s="1807" t="s">
        <v>754</v>
      </c>
      <c r="H80" s="2877" t="s">
        <v>2940</v>
      </c>
      <c r="I80" s="1807" t="s">
        <v>2941</v>
      </c>
      <c r="J80" s="603" t="s">
        <v>2588</v>
      </c>
      <c r="K80" s="603" t="s">
        <v>2589</v>
      </c>
      <c r="L80" s="603" t="s">
        <v>2590</v>
      </c>
      <c r="M80" s="603" t="s">
        <v>2591</v>
      </c>
      <c r="N80" s="603" t="s">
        <v>2592</v>
      </c>
      <c r="Z80" s="2717"/>
      <c r="AA80" s="2793"/>
      <c r="AG80" s="1370"/>
      <c r="AK80" s="2793"/>
    </row>
    <row r="81" spans="1:37" ht="38.25">
      <c r="A81" s="2875" t="s">
        <v>2961</v>
      </c>
      <c r="B81" s="2879">
        <f>估价对象房地状况!G15</f>
        <v>0</v>
      </c>
      <c r="C81" s="2767"/>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7"/>
      <c r="AA81" s="2793"/>
      <c r="AG81" s="1370"/>
      <c r="AK81" s="2793"/>
    </row>
    <row r="82" spans="1:37" ht="51">
      <c r="A82" s="2875" t="s">
        <v>2943</v>
      </c>
      <c r="B82" s="2879">
        <f>估价对象房地状况!G16</f>
        <v>0</v>
      </c>
      <c r="C82" s="2767"/>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7"/>
      <c r="AA82" s="2793"/>
      <c r="AG82" s="1370"/>
      <c r="AK82" s="2793"/>
    </row>
    <row r="83" spans="1:37" ht="24">
      <c r="A83" s="2875" t="s">
        <v>2944</v>
      </c>
      <c r="B83" s="2879">
        <f>估价对象房地状况!G17</f>
        <v>0</v>
      </c>
      <c r="C83" s="2767"/>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7"/>
      <c r="AA83" s="2793"/>
      <c r="AG83" s="1370"/>
      <c r="AK83" s="2793"/>
    </row>
    <row r="84" spans="1:37" ht="14.25">
      <c r="A84" s="2875" t="s">
        <v>2958</v>
      </c>
      <c r="B84" s="2879">
        <f>估价对象房地状况!G22</f>
        <v>0</v>
      </c>
      <c r="C84" s="2767"/>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7"/>
      <c r="AA84" s="2793"/>
      <c r="AG84" s="1370"/>
      <c r="AK84" s="2793"/>
    </row>
    <row r="85" spans="1:37" ht="25.5">
      <c r="A85" s="2875" t="s">
        <v>2950</v>
      </c>
      <c r="B85" s="1723">
        <f>估价对象房地状况!G19</f>
        <v>0</v>
      </c>
      <c r="C85" s="2767"/>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7"/>
      <c r="AA85" s="2793"/>
      <c r="AG85" s="1370"/>
      <c r="AK85" s="2793"/>
    </row>
    <row r="86" spans="1:37" ht="25.5">
      <c r="A86" s="2875" t="s">
        <v>2951</v>
      </c>
      <c r="B86" s="1723">
        <f>估价对象房地状况!G20</f>
        <v>0</v>
      </c>
      <c r="C86" s="2767"/>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7"/>
      <c r="AA86" s="2793"/>
      <c r="AG86" s="1370"/>
      <c r="AK86" s="2793"/>
    </row>
    <row r="87" spans="1:37" ht="24">
      <c r="A87" s="2875" t="s">
        <v>2948</v>
      </c>
      <c r="B87" s="2881" t="s">
        <v>2962</v>
      </c>
      <c r="C87" s="2767"/>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7"/>
      <c r="AA87" s="2793"/>
      <c r="AG87" s="1370"/>
      <c r="AK87" s="2793"/>
    </row>
    <row r="88" spans="1:37" ht="39" thickBot="1">
      <c r="A88" s="2883" t="s">
        <v>2963</v>
      </c>
      <c r="B88" s="2888">
        <f>估价对象房地状况!G18</f>
        <v>0</v>
      </c>
      <c r="C88" s="2767"/>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7"/>
      <c r="AA88" s="2793"/>
      <c r="AG88" s="1370"/>
      <c r="AK88" s="2793"/>
    </row>
    <row r="90" spans="1:37">
      <c r="A90" s="3246" t="s">
        <v>2964</v>
      </c>
      <c r="B90" s="3246"/>
      <c r="C90" s="3246"/>
      <c r="D90" s="3246"/>
      <c r="E90" s="3246"/>
      <c r="F90" s="3246"/>
      <c r="G90" s="3246"/>
      <c r="H90" s="3246"/>
      <c r="I90" s="3246"/>
      <c r="J90" s="3246"/>
      <c r="K90" s="2889"/>
      <c r="L90" s="2889"/>
      <c r="M90" s="2889"/>
      <c r="N90" s="2889"/>
    </row>
    <row r="91" spans="1:37">
      <c r="A91" s="3248" t="s">
        <v>2965</v>
      </c>
      <c r="B91" s="3248" t="s">
        <v>2966</v>
      </c>
      <c r="C91" s="2843" t="s">
        <v>2967</v>
      </c>
      <c r="D91" s="2844"/>
      <c r="E91" s="2844"/>
      <c r="F91" s="2844"/>
      <c r="G91" s="2844"/>
      <c r="H91" s="2844"/>
      <c r="I91" s="2844"/>
      <c r="J91" s="2890"/>
      <c r="K91" s="2891"/>
      <c r="L91" s="2891"/>
      <c r="M91" s="2891"/>
      <c r="N91" s="2891"/>
    </row>
    <row r="92" spans="1:37">
      <c r="A92" s="3248"/>
      <c r="B92" s="3248"/>
      <c r="C92" s="940" t="s">
        <v>2831</v>
      </c>
      <c r="D92" s="940" t="s">
        <v>2832</v>
      </c>
      <c r="E92" s="940" t="s">
        <v>2833</v>
      </c>
      <c r="F92" s="940" t="s">
        <v>2834</v>
      </c>
      <c r="G92" s="940" t="s">
        <v>2835</v>
      </c>
      <c r="H92" s="940" t="s">
        <v>2836</v>
      </c>
      <c r="I92" s="940" t="s">
        <v>2837</v>
      </c>
      <c r="J92" s="940" t="s">
        <v>2838</v>
      </c>
      <c r="K92" s="940" t="s">
        <v>2839</v>
      </c>
      <c r="L92" s="940" t="s">
        <v>2840</v>
      </c>
      <c r="M92" s="940" t="s">
        <v>2841</v>
      </c>
      <c r="N92" s="940" t="s">
        <v>2842</v>
      </c>
    </row>
    <row r="93" spans="1:37">
      <c r="A93" s="3249" t="s">
        <v>2968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5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5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5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5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5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50"/>
      <c r="B99" s="2892" t="s">
        <v>2847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5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49" t="s">
        <v>2969</v>
      </c>
      <c r="B101" s="2896" t="s">
        <v>2970</v>
      </c>
      <c r="C101" s="2897" t="e">
        <f>$G$3</f>
        <v>#DIV/0!</v>
      </c>
      <c r="D101" s="2897" t="e">
        <f t="shared" ref="D101:N101" si="31">$G$3</f>
        <v>#DIV/0!</v>
      </c>
      <c r="E101" s="2897" t="e">
        <f t="shared" si="31"/>
        <v>#DIV/0!</v>
      </c>
      <c r="F101" s="2897" t="e">
        <f t="shared" si="31"/>
        <v>#DIV/0!</v>
      </c>
      <c r="G101" s="2897" t="e">
        <f t="shared" si="31"/>
        <v>#DIV/0!</v>
      </c>
      <c r="H101" s="2897" t="e">
        <f t="shared" si="31"/>
        <v>#DIV/0!</v>
      </c>
      <c r="I101" s="2897" t="e">
        <f t="shared" si="31"/>
        <v>#DIV/0!</v>
      </c>
      <c r="J101" s="2897" t="e">
        <f t="shared" si="31"/>
        <v>#DIV/0!</v>
      </c>
      <c r="K101" s="2897" t="e">
        <f t="shared" si="31"/>
        <v>#DIV/0!</v>
      </c>
      <c r="L101" s="2897" t="e">
        <f t="shared" si="31"/>
        <v>#DIV/0!</v>
      </c>
      <c r="M101" s="2897" t="e">
        <f t="shared" si="31"/>
        <v>#DIV/0!</v>
      </c>
      <c r="N101" s="2897" t="e">
        <f t="shared" si="31"/>
        <v>#DIV/0!</v>
      </c>
    </row>
    <row r="102" spans="1:14">
      <c r="A102" s="3250"/>
      <c r="B102" s="2892">
        <v>1</v>
      </c>
      <c r="C102" s="2893" t="e">
        <f>1.9362/C101</f>
        <v>#DIV/0!</v>
      </c>
      <c r="D102" s="2893" t="e">
        <f>1.9362/D101</f>
        <v>#DIV/0!</v>
      </c>
      <c r="E102" s="2893" t="e">
        <f>1.8629/E101</f>
        <v>#DIV/0!</v>
      </c>
      <c r="F102" s="2893" t="e">
        <f>1.8629/F101</f>
        <v>#DIV/0!</v>
      </c>
      <c r="G102" s="2893" t="e">
        <f>1.8629/G101</f>
        <v>#DIV/0!</v>
      </c>
      <c r="H102" s="2893" t="e">
        <f>1.8629/H101</f>
        <v>#DIV/0!</v>
      </c>
      <c r="I102" s="2893" t="e">
        <f>1.8629/I101</f>
        <v>#DIV/0!</v>
      </c>
      <c r="J102" s="2893" t="e">
        <f>1.942/J101</f>
        <v>#DIV/0!</v>
      </c>
      <c r="K102" s="2893" t="e">
        <f>1.942/K101</f>
        <v>#DIV/0!</v>
      </c>
      <c r="L102" s="2893" t="e">
        <f>1.942/L101</f>
        <v>#DIV/0!</v>
      </c>
      <c r="M102" s="2893" t="e">
        <f>1.942/M101</f>
        <v>#DIV/0!</v>
      </c>
      <c r="N102" s="2893" t="e">
        <f>1.942/N101</f>
        <v>#DIV/0!</v>
      </c>
    </row>
    <row r="103" spans="1:14">
      <c r="A103" s="3250"/>
      <c r="B103" s="2892">
        <v>2</v>
      </c>
      <c r="C103" s="2893" t="e">
        <f>1.4198/C101</f>
        <v>#DIV/0!</v>
      </c>
      <c r="D103" s="2893" t="e">
        <f>1.4198/D101</f>
        <v>#DIV/0!</v>
      </c>
      <c r="E103" s="2893" t="e">
        <f>1.3372/E101</f>
        <v>#DIV/0!</v>
      </c>
      <c r="F103" s="2893" t="e">
        <f>1.3372/F101</f>
        <v>#DIV/0!</v>
      </c>
      <c r="G103" s="2893" t="e">
        <f>1.3372/G101</f>
        <v>#DIV/0!</v>
      </c>
      <c r="H103" s="2893" t="e">
        <f>1.3372/H101</f>
        <v>#DIV/0!</v>
      </c>
      <c r="I103" s="2893" t="e">
        <f>1.3372/I101</f>
        <v>#DIV/0!</v>
      </c>
      <c r="J103" s="2893" t="e">
        <f>1.2799/J101</f>
        <v>#DIV/0!</v>
      </c>
      <c r="K103" s="2893" t="e">
        <f>1.2799/K101</f>
        <v>#DIV/0!</v>
      </c>
      <c r="L103" s="2893" t="e">
        <f>1.2799/L101</f>
        <v>#DIV/0!</v>
      </c>
      <c r="M103" s="2893" t="e">
        <f>1.2799/M101</f>
        <v>#DIV/0!</v>
      </c>
      <c r="N103" s="2893" t="e">
        <f>1.2799/N101</f>
        <v>#DIV/0!</v>
      </c>
    </row>
    <row r="104" spans="1:14">
      <c r="A104" s="3250"/>
      <c r="B104" s="2892">
        <v>3</v>
      </c>
      <c r="C104" s="2893" t="e">
        <f>1.1594/C101</f>
        <v>#DIV/0!</v>
      </c>
      <c r="D104" s="2893" t="e">
        <f>1.1594/D101</f>
        <v>#DIV/0!</v>
      </c>
      <c r="E104" s="2893" t="e">
        <f>1.0788/E101</f>
        <v>#DIV/0!</v>
      </c>
      <c r="F104" s="2893" t="e">
        <f>1.0788/F101</f>
        <v>#DIV/0!</v>
      </c>
      <c r="G104" s="2893" t="e">
        <f>1.0788/G101</f>
        <v>#DIV/0!</v>
      </c>
      <c r="H104" s="2893" t="e">
        <f>1.0788/H101</f>
        <v>#DIV/0!</v>
      </c>
      <c r="I104" s="2893" t="e">
        <f>1.0788/I101</f>
        <v>#DIV/0!</v>
      </c>
      <c r="J104" s="2893" t="e">
        <f>1.0072/J101</f>
        <v>#DIV/0!</v>
      </c>
      <c r="K104" s="2893" t="e">
        <f>1.0072/K101</f>
        <v>#DIV/0!</v>
      </c>
      <c r="L104" s="2893" t="e">
        <f>1.0072/L101</f>
        <v>#DIV/0!</v>
      </c>
      <c r="M104" s="2893" t="e">
        <f>1.0072/M101</f>
        <v>#DIV/0!</v>
      </c>
      <c r="N104" s="2893" t="e">
        <f>1.0072/N101</f>
        <v>#DIV/0!</v>
      </c>
    </row>
    <row r="105" spans="1:14">
      <c r="A105" s="3250"/>
      <c r="B105" s="2892">
        <v>4</v>
      </c>
      <c r="C105" s="2893" t="e">
        <f>0.9622/C101</f>
        <v>#DIV/0!</v>
      </c>
      <c r="D105" s="2893" t="e">
        <f>0.9622/D101</f>
        <v>#DIV/0!</v>
      </c>
      <c r="E105" s="2893" t="e">
        <f>0.8656/E101</f>
        <v>#DIV/0!</v>
      </c>
      <c r="F105" s="2893" t="e">
        <f>0.8656/F101</f>
        <v>#DIV/0!</v>
      </c>
      <c r="G105" s="2893" t="e">
        <f>0.8656/G101</f>
        <v>#DIV/0!</v>
      </c>
      <c r="H105" s="2893" t="e">
        <f>0.8656/H101</f>
        <v>#DIV/0!</v>
      </c>
      <c r="I105" s="2893" t="e">
        <f>0.8656/I101</f>
        <v>#DIV/0!</v>
      </c>
      <c r="J105" s="2893" t="e">
        <f>0.7525/J101</f>
        <v>#DIV/0!</v>
      </c>
      <c r="K105" s="2893" t="e">
        <f>0.7525/K101</f>
        <v>#DIV/0!</v>
      </c>
      <c r="L105" s="2893" t="e">
        <f>0.7525/L101</f>
        <v>#DIV/0!</v>
      </c>
      <c r="M105" s="2893" t="e">
        <f>0.7525/M101</f>
        <v>#DIV/0!</v>
      </c>
      <c r="N105" s="2893" t="e">
        <f>0.7525/N101</f>
        <v>#DIV/0!</v>
      </c>
    </row>
    <row r="106" spans="1:14">
      <c r="A106" s="3250"/>
      <c r="B106" s="2892">
        <v>5</v>
      </c>
      <c r="C106" s="2893" t="e">
        <f>0.8417/C101</f>
        <v>#DIV/0!</v>
      </c>
      <c r="D106" s="2893" t="e">
        <f>0.8417/D101</f>
        <v>#DIV/0!</v>
      </c>
      <c r="E106" s="2893" t="e">
        <f>0.7371/E101</f>
        <v>#DIV/0!</v>
      </c>
      <c r="F106" s="2893" t="e">
        <f>0.7371/F101</f>
        <v>#DIV/0!</v>
      </c>
      <c r="G106" s="2893" t="e">
        <f>0.7371/G101</f>
        <v>#DIV/0!</v>
      </c>
      <c r="H106" s="2893" t="e">
        <f>0.7371/H101</f>
        <v>#DIV/0!</v>
      </c>
      <c r="I106" s="2893" t="e">
        <f>0.7371/I101</f>
        <v>#DIV/0!</v>
      </c>
      <c r="J106" s="2893" t="e">
        <f>0.5659/J101</f>
        <v>#DIV/0!</v>
      </c>
      <c r="K106" s="2893" t="e">
        <f>0.5659/K101</f>
        <v>#DIV/0!</v>
      </c>
      <c r="L106" s="2893" t="e">
        <f>0.5659/L101</f>
        <v>#DIV/0!</v>
      </c>
      <c r="M106" s="2893" t="e">
        <f>0.5659/M101</f>
        <v>#DIV/0!</v>
      </c>
      <c r="N106" s="2893" t="e">
        <f>0.5659/N101</f>
        <v>#DIV/0!</v>
      </c>
    </row>
    <row r="107" spans="1:14">
      <c r="A107" s="3250"/>
      <c r="B107" s="2892">
        <v>6</v>
      </c>
      <c r="C107" s="2893" t="e">
        <f>0.7608/C101</f>
        <v>#DIV/0!</v>
      </c>
      <c r="D107" s="2893" t="e">
        <f>0.7608/D101</f>
        <v>#DIV/0!</v>
      </c>
      <c r="E107" s="2893" t="e">
        <f>0.6482/E101</f>
        <v>#DIV/0!</v>
      </c>
      <c r="F107" s="2893" t="e">
        <f>0.6482/F101</f>
        <v>#DIV/0!</v>
      </c>
      <c r="G107" s="2893" t="e">
        <f>0.6482/G101</f>
        <v>#DIV/0!</v>
      </c>
      <c r="H107" s="2893" t="e">
        <f>0.6482/H101</f>
        <v>#DIV/0!</v>
      </c>
      <c r="I107" s="2893" t="e">
        <f>0.6482/I101</f>
        <v>#DIV/0!</v>
      </c>
      <c r="J107" s="2893" t="e">
        <f>0.4525/J101</f>
        <v>#DIV/0!</v>
      </c>
      <c r="K107" s="2893" t="e">
        <f>0.4525/K101</f>
        <v>#DIV/0!</v>
      </c>
      <c r="L107" s="2893" t="e">
        <f>0.4525/L101</f>
        <v>#DIV/0!</v>
      </c>
      <c r="M107" s="2893" t="e">
        <f>0.4525/M101</f>
        <v>#DIV/0!</v>
      </c>
      <c r="N107" s="2893" t="e">
        <f>0.4525/N101</f>
        <v>#DIV/0!</v>
      </c>
    </row>
    <row r="108" spans="1:14">
      <c r="A108" s="3250"/>
      <c r="B108" s="3078" t="s">
        <v>2971</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51"/>
      <c r="B109" s="3079"/>
      <c r="C109" s="2895" t="e">
        <f>(-0.163*(C108^2)-0.59*C108+7617)*(10^(-4))/C101</f>
        <v>#DIV/0!</v>
      </c>
      <c r="D109" s="2895" t="e">
        <f>(-0.163*(D108^2)-0.59*D108+7617)*(10^(-4))/D101</f>
        <v>#DIV/0!</v>
      </c>
      <c r="E109" s="2895" t="e">
        <f>(-0.161*(E108^2)-7.509*E108+6533)*(10^(-4))/E101</f>
        <v>#DIV/0!</v>
      </c>
      <c r="F109" s="2895" t="e">
        <f>(-0.161*(F108^2)-7.509*F108+6533)*(10^(-4))/F101</f>
        <v>#DIV/0!</v>
      </c>
      <c r="G109" s="2895" t="e">
        <f>(-0.161*(G108^2)-7.509*G108+6533)*(10^(-4))/G101</f>
        <v>#DIV/0!</v>
      </c>
      <c r="H109" s="2895" t="e">
        <f>(-0.161*(H108^2)-7.509*H108+6533)*(10^(-4))/H101</f>
        <v>#DIV/0!</v>
      </c>
      <c r="I109" s="2895" t="e">
        <f>(-0.161*(I108^2)-7.509*I108+6533)*(10^(-4))/I101</f>
        <v>#DIV/0!</v>
      </c>
      <c r="J109" s="2895" t="e">
        <f>(-0.214*(J108^2)-21.991*J108+4665)*(10^(-4))/J101</f>
        <v>#DIV/0!</v>
      </c>
      <c r="K109" s="2895" t="e">
        <f>(-0.214*(K108^2)-21.991*K108+4665)*(10^(-4))/K101</f>
        <v>#DIV/0!</v>
      </c>
      <c r="L109" s="2895" t="e">
        <f>(-0.214*(L108^2)-21.991*L108+4665)*(10^(-4))/L101</f>
        <v>#DIV/0!</v>
      </c>
      <c r="M109" s="2895" t="e">
        <f>(-0.214*(M108^2)-21.991*M108+4665)*(10^(-4))/M101</f>
        <v>#DIV/0!</v>
      </c>
      <c r="N109" s="2895" t="e">
        <f>(-0.214*(N108^2)-21.991*N108+4665)*(10^(-4))/N101</f>
        <v>#DIV/0!</v>
      </c>
    </row>
    <row r="110" spans="1:14">
      <c r="A110" s="3247" t="s">
        <v>2972</v>
      </c>
      <c r="B110" s="3247"/>
      <c r="C110" s="3247"/>
      <c r="D110" s="3247"/>
      <c r="E110" s="3247"/>
      <c r="F110" s="3247"/>
      <c r="G110" s="3247"/>
      <c r="H110" s="3247"/>
      <c r="I110" s="3247"/>
      <c r="J110" s="3247"/>
      <c r="K110" s="2898"/>
      <c r="L110" s="2898"/>
      <c r="M110" s="2898"/>
      <c r="N110" s="2898"/>
    </row>
    <row r="112" spans="1:14" ht="13.5" thickBot="1"/>
    <row r="113" spans="1:13" ht="25.5" thickBot="1">
      <c r="A113" s="898" t="s">
        <v>2973</v>
      </c>
      <c r="B113" s="1285" t="e">
        <f>G3</f>
        <v>#DIV/0!</v>
      </c>
      <c r="C113" s="899" t="s">
        <v>2974</v>
      </c>
      <c r="D113" s="900" t="e">
        <f>SUMPRODUCT((A115:A118=F113)*(B114:M114=H113)*B115:M118)</f>
        <v>#DIV/0!</v>
      </c>
      <c r="E113" s="2721" t="s">
        <v>2804</v>
      </c>
      <c r="F113" s="2900">
        <f>E2</f>
        <v>0</v>
      </c>
      <c r="G113" s="2721" t="s">
        <v>2805</v>
      </c>
      <c r="H113" s="2900">
        <f>G2</f>
        <v>0</v>
      </c>
      <c r="I113" s="2721"/>
      <c r="J113" s="2901"/>
      <c r="K113" s="2901"/>
      <c r="L113" s="2901"/>
      <c r="M113" s="2901"/>
    </row>
    <row r="114" spans="1:13">
      <c r="A114" s="903"/>
      <c r="B114" s="2902" t="s">
        <v>2975</v>
      </c>
      <c r="C114" s="2902" t="s">
        <v>2976</v>
      </c>
      <c r="D114" s="2902" t="s">
        <v>2977</v>
      </c>
      <c r="E114" s="2903" t="s">
        <v>2978</v>
      </c>
      <c r="F114" s="2903" t="s">
        <v>2979</v>
      </c>
      <c r="G114" s="2903" t="s">
        <v>2980</v>
      </c>
      <c r="H114" s="2904" t="s">
        <v>2981</v>
      </c>
      <c r="I114" s="2904" t="s">
        <v>2982</v>
      </c>
      <c r="J114" s="2905" t="s">
        <v>2983</v>
      </c>
      <c r="K114" s="2905" t="s">
        <v>2984</v>
      </c>
      <c r="L114" s="2905" t="s">
        <v>2985</v>
      </c>
      <c r="M114" s="2906" t="s">
        <v>2986</v>
      </c>
    </row>
    <row r="115" spans="1:13">
      <c r="A115" s="904" t="s">
        <v>2869</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2870</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2871</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4" t="s">
        <v>2872</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62" priority="5" stopIfTrue="1" operator="notEqual">
      <formula>"——"</formula>
    </cfRule>
  </conditionalFormatting>
  <conditionalFormatting sqref="F59">
    <cfRule type="cellIs" dxfId="61" priority="4" stopIfTrue="1" operator="notEqual">
      <formula>"——"</formula>
    </cfRule>
  </conditionalFormatting>
  <conditionalFormatting sqref="F70">
    <cfRule type="cellIs" dxfId="60" priority="3" stopIfTrue="1" operator="notEqual">
      <formula>"——"</formula>
    </cfRule>
  </conditionalFormatting>
  <conditionalFormatting sqref="F81">
    <cfRule type="cellIs" dxfId="59" priority="2" stopIfTrue="1" operator="notEqual">
      <formula>"——"</formula>
    </cfRule>
  </conditionalFormatting>
  <conditionalFormatting sqref="H48:H56 H59:H67 H70:H78 H81:H88">
    <cfRule type="cellIs" dxfId="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64" t="s">
        <v>183</v>
      </c>
      <c r="B18" s="877" t="s">
        <v>560</v>
      </c>
      <c r="C18" s="878" t="s">
        <v>561</v>
      </c>
      <c r="D18" s="879"/>
      <c r="E18" s="877">
        <v>1</v>
      </c>
      <c r="F18" s="880" t="s">
        <v>562</v>
      </c>
      <c r="G18" s="881"/>
      <c r="H18" s="873"/>
      <c r="I18" s="873"/>
    </row>
    <row r="19" spans="1:9" s="882" customFormat="1" ht="19.5" customHeight="1">
      <c r="A19" s="3264"/>
      <c r="B19" s="3264" t="s">
        <v>563</v>
      </c>
      <c r="C19" s="878" t="s">
        <v>564</v>
      </c>
      <c r="D19" s="879"/>
      <c r="E19" s="877">
        <v>0.9</v>
      </c>
      <c r="F19" s="880" t="s">
        <v>565</v>
      </c>
      <c r="G19" s="881"/>
      <c r="H19" s="873"/>
      <c r="I19" s="873"/>
    </row>
    <row r="20" spans="1:9" s="882" customFormat="1" ht="19.5" customHeight="1">
      <c r="A20" s="3264"/>
      <c r="B20" s="3264"/>
      <c r="C20" s="878" t="s">
        <v>566</v>
      </c>
      <c r="D20" s="879"/>
      <c r="E20" s="877">
        <v>1.1000000000000001</v>
      </c>
      <c r="F20" s="880" t="s">
        <v>567</v>
      </c>
      <c r="G20" s="881"/>
      <c r="H20" s="873"/>
      <c r="I20" s="873"/>
    </row>
    <row r="21" spans="1:9" s="882" customFormat="1" ht="19.5" customHeight="1">
      <c r="A21" s="3264"/>
      <c r="B21" s="3264"/>
      <c r="C21" s="878" t="s">
        <v>568</v>
      </c>
      <c r="D21" s="879"/>
      <c r="E21" s="877">
        <v>0.8</v>
      </c>
      <c r="F21" s="880" t="s">
        <v>569</v>
      </c>
      <c r="G21" s="881"/>
      <c r="H21" s="873"/>
      <c r="I21" s="873"/>
    </row>
    <row r="22" spans="1:9" s="882" customFormat="1" ht="19.5" customHeight="1">
      <c r="A22" s="3264"/>
      <c r="B22" s="3264"/>
      <c r="C22" s="878" t="s">
        <v>570</v>
      </c>
      <c r="D22" s="879"/>
      <c r="E22" s="877">
        <v>0.5</v>
      </c>
      <c r="F22" s="880"/>
      <c r="G22" s="881"/>
      <c r="H22" s="873"/>
      <c r="I22" s="873"/>
    </row>
    <row r="23" spans="1:9" s="882" customFormat="1" ht="19.5" customHeight="1">
      <c r="A23" s="3264" t="s">
        <v>184</v>
      </c>
      <c r="B23" s="877" t="s">
        <v>560</v>
      </c>
      <c r="C23" s="878" t="s">
        <v>571</v>
      </c>
      <c r="D23" s="879"/>
      <c r="E23" s="877">
        <v>1</v>
      </c>
      <c r="F23" s="880" t="s">
        <v>572</v>
      </c>
      <c r="G23" s="881"/>
      <c r="H23" s="873"/>
      <c r="I23" s="873"/>
    </row>
    <row r="24" spans="1:9" s="882" customFormat="1" ht="19.5" customHeight="1">
      <c r="A24" s="3264"/>
      <c r="B24" s="3264" t="s">
        <v>563</v>
      </c>
      <c r="C24" s="878" t="s">
        <v>573</v>
      </c>
      <c r="D24" s="879"/>
      <c r="E24" s="877">
        <v>0.5</v>
      </c>
      <c r="F24" s="880"/>
      <c r="G24" s="881"/>
      <c r="H24" s="873"/>
      <c r="I24" s="873"/>
    </row>
    <row r="25" spans="1:9" s="882" customFormat="1" ht="19.5" customHeight="1">
      <c r="A25" s="3264"/>
      <c r="B25" s="3264"/>
      <c r="C25" s="878" t="s">
        <v>574</v>
      </c>
      <c r="D25" s="879"/>
      <c r="E25" s="877">
        <v>1.1000000000000001</v>
      </c>
      <c r="F25" s="880"/>
      <c r="G25" s="881"/>
      <c r="H25" s="873"/>
      <c r="I25" s="873"/>
    </row>
    <row r="26" spans="1:9" s="882" customFormat="1" ht="19.5" customHeight="1">
      <c r="A26" s="3264"/>
      <c r="B26" s="3264"/>
      <c r="C26" s="878" t="s">
        <v>575</v>
      </c>
      <c r="D26" s="879"/>
      <c r="E26" s="877">
        <v>1.1000000000000001</v>
      </c>
      <c r="F26" s="880"/>
      <c r="G26" s="881"/>
      <c r="H26" s="873"/>
      <c r="I26" s="873"/>
    </row>
    <row r="27" spans="1:9" s="882" customFormat="1" ht="19.5" customHeight="1">
      <c r="A27" s="3264"/>
      <c r="B27" s="3264"/>
      <c r="C27" s="878" t="s">
        <v>576</v>
      </c>
      <c r="D27" s="879"/>
      <c r="E27" s="877">
        <v>0.9</v>
      </c>
      <c r="F27" s="880" t="s">
        <v>577</v>
      </c>
      <c r="G27" s="881"/>
      <c r="H27" s="873"/>
      <c r="I27" s="873"/>
    </row>
    <row r="28" spans="1:9" s="882" customFormat="1" ht="19.5" customHeight="1">
      <c r="A28" s="3264"/>
      <c r="B28" s="3264"/>
      <c r="C28" s="878" t="s">
        <v>578</v>
      </c>
      <c r="D28" s="879"/>
      <c r="E28" s="877">
        <v>0.9</v>
      </c>
      <c r="F28" s="880" t="s">
        <v>579</v>
      </c>
      <c r="G28" s="881"/>
      <c r="H28" s="873"/>
      <c r="I28" s="873"/>
    </row>
    <row r="29" spans="1:9" s="882" customFormat="1" ht="19.5" customHeight="1">
      <c r="A29" s="3264"/>
      <c r="B29" s="3264"/>
      <c r="C29" s="878" t="s">
        <v>580</v>
      </c>
      <c r="D29" s="879"/>
      <c r="E29" s="877">
        <v>0.9</v>
      </c>
      <c r="F29" s="880" t="s">
        <v>581</v>
      </c>
      <c r="G29" s="881"/>
      <c r="H29" s="873"/>
      <c r="I29" s="873"/>
    </row>
    <row r="30" spans="1:9" s="882" customFormat="1" ht="19.5" customHeight="1">
      <c r="A30" s="3264"/>
      <c r="B30" s="3264"/>
      <c r="C30" s="878" t="s">
        <v>582</v>
      </c>
      <c r="D30" s="879"/>
      <c r="E30" s="877">
        <v>0.9</v>
      </c>
      <c r="F30" s="880" t="s">
        <v>583</v>
      </c>
      <c r="G30" s="881"/>
      <c r="H30" s="873"/>
      <c r="I30" s="873"/>
    </row>
    <row r="31" spans="1:9" s="882" customFormat="1" ht="19.5" customHeight="1">
      <c r="A31" s="3264"/>
      <c r="B31" s="3264"/>
      <c r="C31" s="878" t="s">
        <v>584</v>
      </c>
      <c r="D31" s="879"/>
      <c r="E31" s="877">
        <v>0.8</v>
      </c>
      <c r="F31" s="880" t="s">
        <v>585</v>
      </c>
      <c r="G31" s="881"/>
      <c r="H31" s="873"/>
      <c r="I31" s="873"/>
    </row>
    <row r="32" spans="1:9" s="882" customFormat="1" ht="19.5" customHeight="1">
      <c r="A32" s="3264"/>
      <c r="B32" s="3264"/>
      <c r="C32" s="878" t="s">
        <v>586</v>
      </c>
      <c r="D32" s="879"/>
      <c r="E32" s="877">
        <v>0.8</v>
      </c>
      <c r="F32" s="880" t="s">
        <v>587</v>
      </c>
      <c r="G32" s="881"/>
      <c r="H32" s="873"/>
      <c r="I32" s="873"/>
    </row>
    <row r="33" spans="1:9" s="882" customFormat="1" ht="19.5" customHeight="1">
      <c r="A33" s="3264" t="s">
        <v>185</v>
      </c>
      <c r="B33" s="877" t="s">
        <v>560</v>
      </c>
      <c r="C33" s="878" t="s">
        <v>588</v>
      </c>
      <c r="D33" s="879"/>
      <c r="E33" s="877">
        <v>1</v>
      </c>
      <c r="F33" s="880" t="s">
        <v>589</v>
      </c>
      <c r="G33" s="881"/>
      <c r="H33" s="873"/>
      <c r="I33" s="873"/>
    </row>
    <row r="34" spans="1:9" s="882" customFormat="1" ht="19.5" customHeight="1">
      <c r="A34" s="3264"/>
      <c r="B34" s="877" t="s">
        <v>563</v>
      </c>
      <c r="C34" s="878" t="s">
        <v>590</v>
      </c>
      <c r="D34" s="879"/>
      <c r="E34" s="877">
        <v>1.5</v>
      </c>
      <c r="F34" s="880" t="s">
        <v>591</v>
      </c>
      <c r="G34" s="881"/>
      <c r="H34" s="873"/>
      <c r="I34" s="873"/>
    </row>
    <row r="35" spans="1:9" s="882" customFormat="1" ht="19.5" customHeight="1">
      <c r="A35" s="3264" t="s">
        <v>186</v>
      </c>
      <c r="B35" s="877" t="s">
        <v>560</v>
      </c>
      <c r="C35" s="878" t="s">
        <v>592</v>
      </c>
      <c r="D35" s="879"/>
      <c r="E35" s="877">
        <v>1</v>
      </c>
      <c r="F35" s="880" t="s">
        <v>593</v>
      </c>
      <c r="G35" s="881"/>
      <c r="H35" s="873"/>
      <c r="I35" s="873"/>
    </row>
    <row r="36" spans="1:9" s="882" customFormat="1" ht="19.5" customHeight="1">
      <c r="A36" s="3264"/>
      <c r="B36" s="3264" t="s">
        <v>563</v>
      </c>
      <c r="C36" s="878" t="s">
        <v>594</v>
      </c>
      <c r="D36" s="879"/>
      <c r="E36" s="877">
        <v>1</v>
      </c>
      <c r="F36" s="880" t="s">
        <v>595</v>
      </c>
      <c r="G36" s="881"/>
      <c r="H36" s="873"/>
      <c r="I36" s="873"/>
    </row>
    <row r="37" spans="1:9" s="882" customFormat="1" ht="19.5" customHeight="1">
      <c r="A37" s="3264"/>
      <c r="B37" s="3264"/>
      <c r="C37" s="878" t="s">
        <v>596</v>
      </c>
      <c r="D37" s="879"/>
      <c r="E37" s="877">
        <v>1.5</v>
      </c>
      <c r="F37" s="880" t="s">
        <v>597</v>
      </c>
      <c r="G37" s="881"/>
      <c r="H37" s="873"/>
      <c r="I37" s="873"/>
    </row>
    <row r="38" spans="1:9" s="882" customFormat="1" ht="19.5" customHeight="1">
      <c r="A38" s="3264"/>
      <c r="B38" s="3264"/>
      <c r="C38" s="878" t="s">
        <v>598</v>
      </c>
      <c r="D38" s="879"/>
      <c r="E38" s="877">
        <v>1</v>
      </c>
      <c r="F38" s="880" t="s">
        <v>599</v>
      </c>
      <c r="G38" s="881"/>
      <c r="H38" s="873"/>
      <c r="I38" s="873"/>
    </row>
    <row r="39" spans="1:9" s="882" customFormat="1" ht="19.5" customHeight="1">
      <c r="A39" s="3264"/>
      <c r="B39" s="3264"/>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64" t="s">
        <v>614</v>
      </c>
      <c r="C61" s="813" t="s">
        <v>615</v>
      </c>
      <c r="D61" s="813" t="s">
        <v>616</v>
      </c>
      <c r="E61" s="890">
        <v>0.5</v>
      </c>
      <c r="F61" s="877">
        <v>80</v>
      </c>
    </row>
    <row r="62" spans="1:8" s="873" customFormat="1" ht="24">
      <c r="A62" s="877">
        <v>2</v>
      </c>
      <c r="B62" s="3264"/>
      <c r="C62" s="813" t="s">
        <v>617</v>
      </c>
      <c r="D62" s="813" t="s">
        <v>618</v>
      </c>
      <c r="E62" s="890">
        <v>0.5</v>
      </c>
      <c r="F62" s="877">
        <v>80</v>
      </c>
    </row>
    <row r="63" spans="1:8" s="873" customFormat="1" ht="36">
      <c r="A63" s="877">
        <v>3</v>
      </c>
      <c r="B63" s="3264"/>
      <c r="C63" s="813" t="s">
        <v>619</v>
      </c>
      <c r="D63" s="813" t="s">
        <v>620</v>
      </c>
      <c r="E63" s="890">
        <v>0.5</v>
      </c>
      <c r="F63" s="877">
        <v>80</v>
      </c>
    </row>
    <row r="64" spans="1:8" s="873" customFormat="1" ht="36">
      <c r="A64" s="877">
        <v>4</v>
      </c>
      <c r="B64" s="3264"/>
      <c r="C64" s="813" t="s">
        <v>621</v>
      </c>
      <c r="D64" s="813" t="s">
        <v>622</v>
      </c>
      <c r="E64" s="890">
        <v>0.4</v>
      </c>
      <c r="F64" s="877">
        <v>60</v>
      </c>
    </row>
    <row r="65" spans="1:6" s="873" customFormat="1" ht="36">
      <c r="A65" s="877">
        <v>5</v>
      </c>
      <c r="B65" s="3264"/>
      <c r="C65" s="813" t="s">
        <v>623</v>
      </c>
      <c r="D65" s="813" t="s">
        <v>624</v>
      </c>
      <c r="E65" s="890">
        <v>0.2</v>
      </c>
      <c r="F65" s="877">
        <v>30</v>
      </c>
    </row>
    <row r="66" spans="1:6" s="873" customFormat="1" ht="36">
      <c r="A66" s="877">
        <v>6</v>
      </c>
      <c r="B66" s="3264"/>
      <c r="C66" s="813" t="s">
        <v>625</v>
      </c>
      <c r="D66" s="813" t="s">
        <v>626</v>
      </c>
      <c r="E66" s="890">
        <v>0.3</v>
      </c>
      <c r="F66" s="877">
        <v>50</v>
      </c>
    </row>
    <row r="67" spans="1:6" s="873" customFormat="1" ht="36">
      <c r="A67" s="877">
        <v>7</v>
      </c>
      <c r="B67" s="3264"/>
      <c r="C67" s="813" t="s">
        <v>627</v>
      </c>
      <c r="D67" s="813" t="s">
        <v>628</v>
      </c>
      <c r="E67" s="890">
        <v>0.2</v>
      </c>
      <c r="F67" s="877">
        <v>30</v>
      </c>
    </row>
    <row r="68" spans="1:6" s="873" customFormat="1" ht="36">
      <c r="A68" s="877">
        <v>8</v>
      </c>
      <c r="B68" s="3264"/>
      <c r="C68" s="813" t="s">
        <v>629</v>
      </c>
      <c r="D68" s="813" t="s">
        <v>630</v>
      </c>
      <c r="E68" s="890">
        <v>0.2</v>
      </c>
      <c r="F68" s="877">
        <v>30</v>
      </c>
    </row>
    <row r="69" spans="1:6" s="873" customFormat="1" ht="36">
      <c r="A69" s="877">
        <v>9</v>
      </c>
      <c r="B69" s="3264"/>
      <c r="C69" s="813" t="s">
        <v>631</v>
      </c>
      <c r="D69" s="813" t="s">
        <v>632</v>
      </c>
      <c r="E69" s="890">
        <v>0.2</v>
      </c>
      <c r="F69" s="877">
        <v>30</v>
      </c>
    </row>
    <row r="70" spans="1:6" s="873" customFormat="1" ht="48">
      <c r="A70" s="877">
        <v>10</v>
      </c>
      <c r="B70" s="3264"/>
      <c r="C70" s="813" t="s">
        <v>633</v>
      </c>
      <c r="D70" s="813" t="s">
        <v>634</v>
      </c>
      <c r="E70" s="890">
        <v>0.2</v>
      </c>
      <c r="F70" s="877">
        <v>30</v>
      </c>
    </row>
    <row r="71" spans="1:6" s="873" customFormat="1" ht="48">
      <c r="A71" s="877">
        <v>11</v>
      </c>
      <c r="B71" s="3264"/>
      <c r="C71" s="813" t="s">
        <v>635</v>
      </c>
      <c r="D71" s="813" t="s">
        <v>636</v>
      </c>
      <c r="E71" s="890">
        <v>0.2</v>
      </c>
      <c r="F71" s="877">
        <v>30</v>
      </c>
    </row>
    <row r="72" spans="1:6" s="873" customFormat="1" ht="36">
      <c r="A72" s="877">
        <v>12</v>
      </c>
      <c r="B72" s="3264"/>
      <c r="C72" s="813" t="s">
        <v>637</v>
      </c>
      <c r="D72" s="813" t="s">
        <v>638</v>
      </c>
      <c r="E72" s="890">
        <v>0.5</v>
      </c>
      <c r="F72" s="877">
        <v>80</v>
      </c>
    </row>
    <row r="73" spans="1:6" s="873" customFormat="1" ht="24">
      <c r="A73" s="877">
        <v>13</v>
      </c>
      <c r="B73" s="3264"/>
      <c r="C73" s="813" t="s">
        <v>639</v>
      </c>
      <c r="D73" s="813" t="s">
        <v>640</v>
      </c>
      <c r="E73" s="890">
        <v>0.4</v>
      </c>
      <c r="F73" s="877">
        <v>60</v>
      </c>
    </row>
    <row r="74" spans="1:6" s="873" customFormat="1" ht="24">
      <c r="A74" s="877">
        <v>14</v>
      </c>
      <c r="B74" s="3264"/>
      <c r="C74" s="813" t="s">
        <v>641</v>
      </c>
      <c r="D74" s="813" t="s">
        <v>642</v>
      </c>
      <c r="E74" s="890">
        <v>0.2</v>
      </c>
      <c r="F74" s="877">
        <v>30</v>
      </c>
    </row>
    <row r="75" spans="1:6" s="873" customFormat="1" ht="24">
      <c r="A75" s="877">
        <v>15</v>
      </c>
      <c r="B75" s="3264"/>
      <c r="C75" s="813" t="s">
        <v>643</v>
      </c>
      <c r="D75" s="813" t="s">
        <v>644</v>
      </c>
      <c r="E75" s="890">
        <v>0.2</v>
      </c>
      <c r="F75" s="877">
        <v>30</v>
      </c>
    </row>
    <row r="76" spans="1:6" s="873" customFormat="1" ht="24">
      <c r="A76" s="877">
        <v>16</v>
      </c>
      <c r="B76" s="3264" t="s">
        <v>645</v>
      </c>
      <c r="C76" s="813" t="s">
        <v>646</v>
      </c>
      <c r="D76" s="813" t="s">
        <v>647</v>
      </c>
      <c r="E76" s="890">
        <v>0.5</v>
      </c>
      <c r="F76" s="877">
        <v>80</v>
      </c>
    </row>
    <row r="77" spans="1:6" s="873" customFormat="1" ht="24">
      <c r="A77" s="877">
        <v>17</v>
      </c>
      <c r="B77" s="3264"/>
      <c r="C77" s="813" t="s">
        <v>648</v>
      </c>
      <c r="D77" s="813" t="s">
        <v>649</v>
      </c>
      <c r="E77" s="890">
        <v>0.5</v>
      </c>
      <c r="F77" s="877">
        <v>80</v>
      </c>
    </row>
    <row r="78" spans="1:6" s="873" customFormat="1" ht="24">
      <c r="A78" s="877">
        <v>18</v>
      </c>
      <c r="B78" s="3264"/>
      <c r="C78" s="813" t="s">
        <v>650</v>
      </c>
      <c r="D78" s="813" t="s">
        <v>651</v>
      </c>
      <c r="E78" s="890">
        <v>0.2</v>
      </c>
      <c r="F78" s="877">
        <v>30</v>
      </c>
    </row>
    <row r="79" spans="1:6" s="873" customFormat="1" ht="24">
      <c r="A79" s="877">
        <v>19</v>
      </c>
      <c r="B79" s="3264"/>
      <c r="C79" s="813" t="s">
        <v>652</v>
      </c>
      <c r="D79" s="813" t="s">
        <v>653</v>
      </c>
      <c r="E79" s="890">
        <v>0.5</v>
      </c>
      <c r="F79" s="877">
        <v>80</v>
      </c>
    </row>
    <row r="80" spans="1:6" s="873" customFormat="1" ht="36">
      <c r="A80" s="877">
        <v>20</v>
      </c>
      <c r="B80" s="3264"/>
      <c r="C80" s="813" t="s">
        <v>654</v>
      </c>
      <c r="D80" s="813" t="s">
        <v>655</v>
      </c>
      <c r="E80" s="890">
        <v>0.2</v>
      </c>
      <c r="F80" s="877">
        <v>30</v>
      </c>
    </row>
    <row r="81" spans="1:6" s="873" customFormat="1" ht="36">
      <c r="A81" s="877">
        <v>21</v>
      </c>
      <c r="B81" s="3264"/>
      <c r="C81" s="813" t="s">
        <v>656</v>
      </c>
      <c r="D81" s="813" t="s">
        <v>657</v>
      </c>
      <c r="E81" s="890">
        <v>0.2</v>
      </c>
      <c r="F81" s="877">
        <v>30</v>
      </c>
    </row>
    <row r="82" spans="1:6" s="873" customFormat="1" ht="48">
      <c r="A82" s="877">
        <v>22</v>
      </c>
      <c r="B82" s="3264"/>
      <c r="C82" s="813" t="s">
        <v>658</v>
      </c>
      <c r="D82" s="813" t="s">
        <v>659</v>
      </c>
      <c r="E82" s="890">
        <v>0.2</v>
      </c>
      <c r="F82" s="877">
        <v>30</v>
      </c>
    </row>
    <row r="83" spans="1:6" s="873" customFormat="1" ht="48">
      <c r="A83" s="877">
        <v>23</v>
      </c>
      <c r="B83" s="3264"/>
      <c r="C83" s="813" t="s">
        <v>660</v>
      </c>
      <c r="D83" s="813" t="s">
        <v>661</v>
      </c>
      <c r="E83" s="890">
        <v>0.2</v>
      </c>
      <c r="F83" s="877">
        <v>30</v>
      </c>
    </row>
    <row r="84" spans="1:6" s="873" customFormat="1" ht="36">
      <c r="A84" s="877">
        <v>24</v>
      </c>
      <c r="B84" s="3264"/>
      <c r="C84" s="813" t="s">
        <v>662</v>
      </c>
      <c r="D84" s="813" t="s">
        <v>663</v>
      </c>
      <c r="E84" s="890">
        <v>0.2</v>
      </c>
      <c r="F84" s="877">
        <v>30</v>
      </c>
    </row>
    <row r="85" spans="1:6" s="873" customFormat="1" ht="36">
      <c r="A85" s="877">
        <v>25</v>
      </c>
      <c r="B85" s="3264"/>
      <c r="C85" s="813" t="s">
        <v>664</v>
      </c>
      <c r="D85" s="813" t="s">
        <v>665</v>
      </c>
      <c r="E85" s="890">
        <v>0.5</v>
      </c>
      <c r="F85" s="877">
        <v>80</v>
      </c>
    </row>
    <row r="86" spans="1:6" s="873" customFormat="1" ht="36">
      <c r="A86" s="877">
        <v>26</v>
      </c>
      <c r="B86" s="3264"/>
      <c r="C86" s="813" t="s">
        <v>666</v>
      </c>
      <c r="D86" s="813" t="s">
        <v>667</v>
      </c>
      <c r="E86" s="890">
        <v>0.2</v>
      </c>
      <c r="F86" s="877">
        <v>30</v>
      </c>
    </row>
    <row r="87" spans="1:6" s="873" customFormat="1" ht="36">
      <c r="A87" s="877">
        <v>27</v>
      </c>
      <c r="B87" s="3264"/>
      <c r="C87" s="813" t="s">
        <v>668</v>
      </c>
      <c r="D87" s="813" t="s">
        <v>669</v>
      </c>
      <c r="E87" s="890">
        <v>0.2</v>
      </c>
      <c r="F87" s="877">
        <v>30</v>
      </c>
    </row>
    <row r="88" spans="1:6" s="873" customFormat="1" ht="36">
      <c r="A88" s="877">
        <v>28</v>
      </c>
      <c r="B88" s="3264"/>
      <c r="C88" s="813" t="s">
        <v>670</v>
      </c>
      <c r="D88" s="813" t="s">
        <v>671</v>
      </c>
      <c r="E88" s="890">
        <v>0.2</v>
      </c>
      <c r="F88" s="877">
        <v>30</v>
      </c>
    </row>
    <row r="89" spans="1:6" s="873" customFormat="1" ht="24">
      <c r="A89" s="877">
        <v>29</v>
      </c>
      <c r="B89" s="3264"/>
      <c r="C89" s="813" t="s">
        <v>672</v>
      </c>
      <c r="D89" s="813" t="s">
        <v>673</v>
      </c>
      <c r="E89" s="890">
        <v>0.2</v>
      </c>
      <c r="F89" s="877">
        <v>30</v>
      </c>
    </row>
    <row r="90" spans="1:6" s="873" customFormat="1" ht="24">
      <c r="A90" s="877">
        <v>30</v>
      </c>
      <c r="B90" s="3264"/>
      <c r="C90" s="813" t="s">
        <v>674</v>
      </c>
      <c r="D90" s="813" t="s">
        <v>675</v>
      </c>
      <c r="E90" s="890">
        <v>0.2</v>
      </c>
      <c r="F90" s="877">
        <v>30</v>
      </c>
    </row>
    <row r="91" spans="1:6" s="873" customFormat="1" ht="36">
      <c r="A91" s="877">
        <v>31</v>
      </c>
      <c r="B91" s="3264"/>
      <c r="C91" s="813" t="s">
        <v>676</v>
      </c>
      <c r="D91" s="813" t="s">
        <v>677</v>
      </c>
      <c r="E91" s="890">
        <v>0.2</v>
      </c>
      <c r="F91" s="877">
        <v>30</v>
      </c>
    </row>
    <row r="92" spans="1:6" s="873" customFormat="1" ht="24">
      <c r="A92" s="877">
        <v>32</v>
      </c>
      <c r="B92" s="3264" t="s">
        <v>678</v>
      </c>
      <c r="C92" s="877" t="s">
        <v>679</v>
      </c>
      <c r="D92" s="813" t="s">
        <v>680</v>
      </c>
      <c r="E92" s="890">
        <v>0.2</v>
      </c>
      <c r="F92" s="877">
        <v>30</v>
      </c>
    </row>
    <row r="93" spans="1:6" s="873" customFormat="1" ht="36">
      <c r="A93" s="877">
        <v>33</v>
      </c>
      <c r="B93" s="3264"/>
      <c r="C93" s="877" t="s">
        <v>681</v>
      </c>
      <c r="D93" s="813" t="s">
        <v>682</v>
      </c>
      <c r="E93" s="890">
        <v>0.2</v>
      </c>
      <c r="F93" s="877">
        <v>30</v>
      </c>
    </row>
    <row r="94" spans="1:6" s="873" customFormat="1" ht="48">
      <c r="A94" s="877">
        <v>34</v>
      </c>
      <c r="B94" s="3264"/>
      <c r="C94" s="877" t="s">
        <v>683</v>
      </c>
      <c r="D94" s="813" t="s">
        <v>684</v>
      </c>
      <c r="E94" s="890">
        <v>0.2</v>
      </c>
      <c r="F94" s="877">
        <v>30</v>
      </c>
    </row>
    <row r="95" spans="1:6" s="873" customFormat="1" ht="36">
      <c r="A95" s="877">
        <v>35</v>
      </c>
      <c r="B95" s="3264"/>
      <c r="C95" s="877" t="s">
        <v>685</v>
      </c>
      <c r="D95" s="813" t="s">
        <v>686</v>
      </c>
      <c r="E95" s="890">
        <v>0.2</v>
      </c>
      <c r="F95" s="877">
        <v>30</v>
      </c>
    </row>
    <row r="96" spans="1:6" s="873" customFormat="1" ht="48">
      <c r="A96" s="877">
        <v>36</v>
      </c>
      <c r="B96" s="3264"/>
      <c r="C96" s="813" t="s">
        <v>687</v>
      </c>
      <c r="D96" s="813" t="s">
        <v>688</v>
      </c>
      <c r="E96" s="890">
        <v>0.2</v>
      </c>
      <c r="F96" s="877">
        <v>30</v>
      </c>
    </row>
    <row r="97" spans="1:6" s="873" customFormat="1" ht="36">
      <c r="A97" s="877">
        <v>37</v>
      </c>
      <c r="B97" s="3264"/>
      <c r="C97" s="877" t="s">
        <v>689</v>
      </c>
      <c r="D97" s="813" t="s">
        <v>690</v>
      </c>
      <c r="E97" s="890">
        <v>0.2</v>
      </c>
      <c r="F97" s="877">
        <v>30</v>
      </c>
    </row>
    <row r="98" spans="1:6" s="873" customFormat="1" ht="36">
      <c r="A98" s="877">
        <v>38</v>
      </c>
      <c r="B98" s="3264"/>
      <c r="C98" s="877" t="s">
        <v>691</v>
      </c>
      <c r="D98" s="813" t="s">
        <v>692</v>
      </c>
      <c r="E98" s="890">
        <v>0.2</v>
      </c>
      <c r="F98" s="877">
        <v>30</v>
      </c>
    </row>
    <row r="99" spans="1:6" s="873" customFormat="1" ht="36">
      <c r="A99" s="877">
        <v>39</v>
      </c>
      <c r="B99" s="3264" t="s">
        <v>693</v>
      </c>
      <c r="C99" s="877" t="s">
        <v>694</v>
      </c>
      <c r="D99" s="813" t="s">
        <v>695</v>
      </c>
      <c r="E99" s="890">
        <v>0.3</v>
      </c>
      <c r="F99" s="877">
        <v>50</v>
      </c>
    </row>
    <row r="100" spans="1:6" s="873" customFormat="1" ht="24">
      <c r="A100" s="877">
        <v>40</v>
      </c>
      <c r="B100" s="3264"/>
      <c r="C100" s="877" t="s">
        <v>696</v>
      </c>
      <c r="D100" s="813" t="s">
        <v>697</v>
      </c>
      <c r="E100" s="890">
        <v>0.2</v>
      </c>
      <c r="F100" s="877">
        <v>30</v>
      </c>
    </row>
    <row r="101" spans="1:6" s="873" customFormat="1" ht="36">
      <c r="A101" s="877">
        <v>41</v>
      </c>
      <c r="B101" s="3264"/>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64" t="s">
        <v>708</v>
      </c>
      <c r="C105" s="877" t="s">
        <v>709</v>
      </c>
      <c r="D105" s="813" t="s">
        <v>710</v>
      </c>
      <c r="E105" s="890">
        <v>0.2</v>
      </c>
      <c r="F105" s="877">
        <v>30</v>
      </c>
    </row>
    <row r="106" spans="1:6" s="873" customFormat="1" ht="36">
      <c r="A106" s="877">
        <v>46</v>
      </c>
      <c r="B106" s="3264"/>
      <c r="C106" s="877" t="s">
        <v>711</v>
      </c>
      <c r="D106" s="813" t="s">
        <v>712</v>
      </c>
      <c r="E106" s="890">
        <v>0.2</v>
      </c>
      <c r="F106" s="877">
        <v>30</v>
      </c>
    </row>
    <row r="107" spans="1:6" s="873" customFormat="1" ht="36">
      <c r="A107" s="877">
        <v>47</v>
      </c>
      <c r="B107" s="3264" t="s">
        <v>713</v>
      </c>
      <c r="C107" s="877" t="s">
        <v>714</v>
      </c>
      <c r="D107" s="813" t="s">
        <v>715</v>
      </c>
      <c r="E107" s="890">
        <v>0.3</v>
      </c>
      <c r="F107" s="877">
        <v>50</v>
      </c>
    </row>
    <row r="108" spans="1:6" s="873" customFormat="1" ht="36">
      <c r="A108" s="877">
        <v>48</v>
      </c>
      <c r="B108" s="3264"/>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64" t="s">
        <v>724</v>
      </c>
      <c r="C111" s="877" t="s">
        <v>725</v>
      </c>
      <c r="D111" s="813" t="s">
        <v>726</v>
      </c>
      <c r="E111" s="890">
        <v>0.2</v>
      </c>
      <c r="F111" s="877">
        <v>30</v>
      </c>
    </row>
    <row r="112" spans="1:6" s="873" customFormat="1" ht="24">
      <c r="A112" s="877">
        <v>52</v>
      </c>
      <c r="B112" s="3264"/>
      <c r="C112" s="877" t="s">
        <v>727</v>
      </c>
      <c r="D112" s="813" t="s">
        <v>728</v>
      </c>
      <c r="E112" s="890">
        <v>0.2</v>
      </c>
      <c r="F112" s="877">
        <v>30</v>
      </c>
    </row>
    <row r="113" spans="1:6" s="873" customFormat="1" ht="24">
      <c r="A113" s="877">
        <v>53</v>
      </c>
      <c r="B113" s="3264"/>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64" t="s">
        <v>737</v>
      </c>
      <c r="C116" s="877" t="s">
        <v>738</v>
      </c>
      <c r="D116" s="813" t="s">
        <v>739</v>
      </c>
      <c r="E116" s="890">
        <v>0.2</v>
      </c>
      <c r="F116" s="877">
        <v>30</v>
      </c>
    </row>
    <row r="117" spans="1:6" ht="36">
      <c r="A117" s="877">
        <v>57</v>
      </c>
      <c r="B117" s="3264"/>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2995</v>
      </c>
    </row>
    <row r="2" spans="1:5" ht="15.75">
      <c r="A2" s="2907" t="s">
        <v>2987</v>
      </c>
      <c r="B2" s="2908" t="e">
        <f ca="1">SUMIF(B6:B13,"&lt;&gt;#ref!",B6:B13)</f>
        <v>#DIV/0!</v>
      </c>
      <c r="C2" s="2907" t="s">
        <v>2988</v>
      </c>
      <c r="D2" s="2907" t="s">
        <v>2989</v>
      </c>
      <c r="E2" s="2908" t="e">
        <f ca="1">SUM(E6:E13)</f>
        <v>#REF!</v>
      </c>
    </row>
    <row r="3" spans="1:5" ht="15.75">
      <c r="A3" s="2907" t="s">
        <v>2990</v>
      </c>
      <c r="B3" s="2908" t="e">
        <f ca="1">ROUND(B2*10000/E2,0)</f>
        <v>#DIV/0!</v>
      </c>
      <c r="C3" s="2907" t="s">
        <v>2996</v>
      </c>
      <c r="D3" s="2909"/>
      <c r="E3" s="2909"/>
    </row>
    <row r="4" spans="1:5" ht="15.75">
      <c r="A4" s="2910"/>
      <c r="B4" s="2909"/>
      <c r="C4" s="2909"/>
      <c r="D4" s="2909"/>
      <c r="E4" s="2909"/>
    </row>
    <row r="5" spans="1:5" ht="28.5">
      <c r="A5" s="2911" t="s">
        <v>2991</v>
      </c>
      <c r="B5" s="2907" t="s">
        <v>2992</v>
      </c>
      <c r="C5" s="2908"/>
      <c r="D5" s="2909"/>
      <c r="E5" s="2907" t="s">
        <v>2993</v>
      </c>
    </row>
    <row r="6" spans="1:5" ht="15.75">
      <c r="A6" s="2912" t="s">
        <v>2994</v>
      </c>
      <c r="B6" s="2908" t="e">
        <f ca="1">SUMIF(INDIRECT("'"&amp;A6&amp;"'"&amp;"!A:A"),"总价",INDIRECT("'"&amp;A6&amp;"'"&amp;"!B:B"))</f>
        <v>#DIV/0!</v>
      </c>
      <c r="C6" s="2907" t="s">
        <v>2988</v>
      </c>
      <c r="D6" s="2909"/>
      <c r="E6" s="2573">
        <f ca="1">SUMIF(INDIRECT("'"&amp;A6&amp;"'"&amp;"!C:C"),"建筑面积",INDIRECT("'"&amp;A6&amp;"'"&amp;"!D:D"))</f>
        <v>0</v>
      </c>
    </row>
    <row r="7" spans="1:5" ht="15.75">
      <c r="A7" s="2912"/>
      <c r="B7" s="2908" t="e">
        <f ca="1">SUMIF(INDIRECT("'"&amp;A7&amp;"'"&amp;"!A:A"),"总价",INDIRECT("'"&amp;A7&amp;"'"&amp;"!B:B"))</f>
        <v>#REF!</v>
      </c>
      <c r="C7" s="2907" t="s">
        <v>2988</v>
      </c>
      <c r="D7" s="2909"/>
      <c r="E7" s="2573" t="e">
        <f t="shared" ref="E7:E13" ca="1" si="0">SUMIF(INDIRECT("'"&amp;A7&amp;"'"&amp;"!C:C"),"建筑面积",INDIRECT("'"&amp;A7&amp;"'"&amp;"!D:D"))</f>
        <v>#REF!</v>
      </c>
    </row>
    <row r="8" spans="1:5" ht="15.75">
      <c r="A8" s="2912"/>
      <c r="B8" s="2908" t="e">
        <f t="shared" ref="B8:B13" ca="1" si="1">SUMIF(INDIRECT("'"&amp;A8&amp;"'"&amp;"!A:A"),"总价",INDIRECT("'"&amp;A8&amp;"'"&amp;"!B:B"))</f>
        <v>#REF!</v>
      </c>
      <c r="C8" s="2907" t="s">
        <v>2988</v>
      </c>
      <c r="D8" s="2909"/>
      <c r="E8" s="2573" t="e">
        <f t="shared" ca="1" si="0"/>
        <v>#REF!</v>
      </c>
    </row>
    <row r="9" spans="1:5" ht="15.75">
      <c r="A9" s="2912"/>
      <c r="B9" s="2908" t="e">
        <f t="shared" ca="1" si="1"/>
        <v>#REF!</v>
      </c>
      <c r="C9" s="2907" t="s">
        <v>2988</v>
      </c>
      <c r="D9" s="2909"/>
      <c r="E9" s="2573" t="e">
        <f t="shared" ca="1" si="0"/>
        <v>#REF!</v>
      </c>
    </row>
    <row r="10" spans="1:5" ht="15.75">
      <c r="A10" s="2912"/>
      <c r="B10" s="2908" t="e">
        <f t="shared" ca="1" si="1"/>
        <v>#REF!</v>
      </c>
      <c r="C10" s="2907" t="s">
        <v>2988</v>
      </c>
      <c r="D10" s="2909"/>
      <c r="E10" s="2573" t="e">
        <f t="shared" ca="1" si="0"/>
        <v>#REF!</v>
      </c>
    </row>
    <row r="11" spans="1:5" ht="15.75">
      <c r="A11" s="2912"/>
      <c r="B11" s="2908" t="e">
        <f t="shared" ca="1" si="1"/>
        <v>#REF!</v>
      </c>
      <c r="C11" s="2907" t="s">
        <v>2988</v>
      </c>
      <c r="D11" s="2909"/>
      <c r="E11" s="2573" t="e">
        <f t="shared" ca="1" si="0"/>
        <v>#REF!</v>
      </c>
    </row>
    <row r="12" spans="1:5" ht="15.75">
      <c r="A12" s="2912"/>
      <c r="B12" s="2908" t="e">
        <f t="shared" ca="1" si="1"/>
        <v>#REF!</v>
      </c>
      <c r="C12" s="2907" t="s">
        <v>2988</v>
      </c>
      <c r="D12" s="2909"/>
      <c r="E12" s="2573" t="e">
        <f t="shared" ca="1" si="0"/>
        <v>#REF!</v>
      </c>
    </row>
    <row r="13" spans="1:5" ht="15.75">
      <c r="A13" s="2912"/>
      <c r="B13" s="2908" t="e">
        <f t="shared" ca="1" si="1"/>
        <v>#REF!</v>
      </c>
      <c r="C13" s="2907" t="s">
        <v>2988</v>
      </c>
      <c r="D13" s="2909"/>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R43" sqref="R43:W4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0" t="s">
        <v>1150</v>
      </c>
      <c r="C1" s="3270"/>
      <c r="D1" s="3270"/>
      <c r="E1" s="3270"/>
      <c r="F1" s="3270"/>
      <c r="G1" s="3266" t="s">
        <v>1151</v>
      </c>
      <c r="H1" s="3266"/>
      <c r="I1" s="3266"/>
      <c r="J1" s="3266"/>
      <c r="K1" s="3266"/>
      <c r="L1" s="3266"/>
      <c r="N1" s="3266" t="s">
        <v>1152</v>
      </c>
      <c r="O1" s="3266"/>
      <c r="P1" s="3266"/>
      <c r="Q1" s="3266"/>
      <c r="R1" s="1444"/>
      <c r="S1" s="3266" t="s">
        <v>1153</v>
      </c>
      <c r="T1" s="3266"/>
      <c r="U1" s="3266"/>
      <c r="V1" s="3266"/>
      <c r="X1" s="3265" t="s">
        <v>1154</v>
      </c>
      <c r="Y1" s="3266"/>
      <c r="Z1" s="3266"/>
      <c r="AA1" s="3266"/>
      <c r="AB1" s="3266"/>
      <c r="AD1" s="3265" t="s">
        <v>1155</v>
      </c>
      <c r="AE1" s="3266"/>
      <c r="AF1" s="3266"/>
      <c r="AG1" s="3266"/>
      <c r="AH1" s="3266"/>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6" customFormat="1" ht="14.25">
      <c r="A3" s="2935" t="s">
        <v>3030</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1.4274</v>
      </c>
      <c r="Y3" s="2933">
        <f>ROUND(SUMPRODUCT(PRODUCT(1+O3:O$21)),4)</f>
        <v>1.2685</v>
      </c>
      <c r="Z3" s="2933">
        <f t="shared" ref="Z3:Z19" si="0">Y3</f>
        <v>1.2685</v>
      </c>
      <c r="AA3" s="2933">
        <f>ROUND(SUMPRODUCT(PRODUCT(1+P3:P$21)),4)</f>
        <v>1.4825999999999999</v>
      </c>
      <c r="AB3" s="2933">
        <f>ROUND(SUMPRODUCT(PRODUCT(1+Q3:Q$21)),4)</f>
        <v>1.2309000000000001</v>
      </c>
      <c r="AD3" s="2934">
        <f>ROUND(AVERAGE(I3:I$22)/100,4)</f>
        <v>2.1899999999999999E-2</v>
      </c>
      <c r="AE3" s="2934">
        <f>ROUND(AVERAGE(J3:J$22)/100,4)</f>
        <v>1.47E-2</v>
      </c>
      <c r="AF3" s="2934">
        <f t="shared" ref="AF3:AF20" si="1">AE3</f>
        <v>1.47E-2</v>
      </c>
      <c r="AG3" s="2934">
        <f>ROUND(AVERAGE(K3:K$22)/100,4)</f>
        <v>2.4299999999999999E-2</v>
      </c>
      <c r="AH3" s="2934">
        <f>ROUND(AVERAGE(L3:L$22)/100,4)</f>
        <v>1.2500000000000001E-2</v>
      </c>
    </row>
    <row r="4" spans="1:34" s="1451" customFormat="1" ht="14.25">
      <c r="B4" s="1452"/>
      <c r="C4" s="1452"/>
      <c r="D4" s="1453"/>
      <c r="E4" s="1453"/>
      <c r="F4" s="1452"/>
      <c r="G4" s="1454"/>
      <c r="H4" s="1455"/>
      <c r="I4" s="2920"/>
      <c r="J4" s="2920"/>
      <c r="K4" s="2920"/>
      <c r="L4" s="2920"/>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3036</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36">
        <v>2018</v>
      </c>
      <c r="H5" s="1728">
        <v>2</v>
      </c>
      <c r="I5" s="2921">
        <v>0</v>
      </c>
      <c r="J5" s="2921">
        <v>0</v>
      </c>
      <c r="K5" s="2921">
        <v>0</v>
      </c>
      <c r="L5" s="2921">
        <v>0</v>
      </c>
      <c r="N5" s="1465">
        <f t="shared" ref="N5" si="7">I5/100</f>
        <v>0</v>
      </c>
      <c r="O5" s="1465">
        <f t="shared" ref="O5" si="8">J5/100</f>
        <v>0</v>
      </c>
      <c r="P5" s="1465">
        <f t="shared" ref="P5" si="9">K5/100</f>
        <v>0</v>
      </c>
      <c r="Q5" s="1465">
        <f t="shared" ref="Q5" si="10">L5/100</f>
        <v>0</v>
      </c>
      <c r="R5" s="1730"/>
      <c r="S5" s="1731"/>
      <c r="T5" s="1730"/>
      <c r="U5" s="1730"/>
      <c r="V5" s="1730"/>
      <c r="W5" s="2925" t="s">
        <v>3031</v>
      </c>
      <c r="X5" s="1724">
        <f>ROUND(SUMPRODUCT(PRODUCT(1+N5:N$21)),4)</f>
        <v>1.4274</v>
      </c>
      <c r="Y5" s="1724">
        <f>ROUND(SUMPRODUCT(PRODUCT(1+O5:O$21)),4)</f>
        <v>1.2685</v>
      </c>
      <c r="Z5" s="1724">
        <f t="shared" ref="Z5" si="11">Y5</f>
        <v>1.2685</v>
      </c>
      <c r="AA5" s="1724">
        <f>ROUND(SUMPRODUCT(PRODUCT(1+P5:P$21)),4)</f>
        <v>1.4825999999999999</v>
      </c>
      <c r="AB5" s="1724">
        <f>ROUND(SUMPRODUCT(PRODUCT(1+Q5:Q$21)),4)</f>
        <v>1.2309000000000001</v>
      </c>
      <c r="AD5" s="1466">
        <f>ROUND(AVERAGE(I5:I$22)/100,4)</f>
        <v>2.1700000000000001E-2</v>
      </c>
      <c r="AE5" s="1466">
        <f>ROUND(AVERAGE(J5:J$22)/100,4)</f>
        <v>1.46E-2</v>
      </c>
      <c r="AF5" s="1466">
        <f t="shared" ref="AF5" si="12">AE5</f>
        <v>1.46E-2</v>
      </c>
      <c r="AG5" s="1466">
        <f>ROUND(AVERAGE(K5:K$22)/100,4)</f>
        <v>2.41E-2</v>
      </c>
      <c r="AH5" s="1466">
        <f>ROUND(AVERAGE(L5:L$22)/100,4)</f>
        <v>1.24E-2</v>
      </c>
    </row>
    <row r="6" spans="1:34" s="1464" customFormat="1" ht="13.5" thickBot="1">
      <c r="A6" s="1459" t="s">
        <v>3029</v>
      </c>
      <c r="B6" s="1475">
        <f t="shared" ref="B6" si="13">B7*(1+N6)</f>
        <v>439.19121308559727</v>
      </c>
      <c r="C6" s="1475">
        <f t="shared" ref="C6" si="14">C7*(1+O6)</f>
        <v>326.28510789673351</v>
      </c>
      <c r="D6" s="1475">
        <f t="shared" ref="D6" si="15">C6</f>
        <v>326.28510789673351</v>
      </c>
      <c r="E6" s="1475">
        <f t="shared" ref="E6" si="16">E7*(1+P6)</f>
        <v>626.49404043656455</v>
      </c>
      <c r="F6" s="1475">
        <f t="shared" ref="F6" si="17">F7*(1+Q6)</f>
        <v>283.46416215500358</v>
      </c>
      <c r="G6" s="2937">
        <v>2018</v>
      </c>
      <c r="H6" s="1462">
        <v>1</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f>B6/B7-1</f>
        <v>0</v>
      </c>
      <c r="T6" s="1471">
        <f t="shared" ref="T6" si="22">C6/C7-1</f>
        <v>0</v>
      </c>
      <c r="U6" s="1471">
        <f t="shared" ref="U6" si="23">D6/D7-1</f>
        <v>0</v>
      </c>
      <c r="V6" s="1471">
        <f t="shared" ref="V6" si="24">E6/E7-1</f>
        <v>0</v>
      </c>
      <c r="W6" s="1788"/>
      <c r="X6" s="1786">
        <f>ROUND(SUMPRODUCT(PRODUCT(1+N6:N$21)),4)</f>
        <v>1.4274</v>
      </c>
      <c r="Y6" s="1786">
        <f>ROUND(SUMPRODUCT(PRODUCT(1+O6:O$21)),4)</f>
        <v>1.2685</v>
      </c>
      <c r="Z6" s="1786">
        <f t="shared" ref="Z6" si="25">Y6</f>
        <v>1.2685</v>
      </c>
      <c r="AA6" s="1786">
        <f>ROUND(SUMPRODUCT(PRODUCT(1+P6:P$21)),4)</f>
        <v>1.4825999999999999</v>
      </c>
      <c r="AB6" s="1786">
        <f>ROUND(SUMPRODUCT(PRODUCT(1+Q6:Q$21)),4)</f>
        <v>1.2309000000000001</v>
      </c>
      <c r="AC6" s="1788"/>
      <c r="AD6" s="1787">
        <f>ROUND(AVERAGE(I6:I$22)/100,4)</f>
        <v>2.3E-2</v>
      </c>
      <c r="AE6" s="1787">
        <f>ROUND(AVERAGE(J6:J$22)/100,4)</f>
        <v>1.55E-2</v>
      </c>
      <c r="AF6" s="1787">
        <f t="shared" ref="AF6" si="26">AE6</f>
        <v>1.55E-2</v>
      </c>
      <c r="AG6" s="1787">
        <f>ROUND(AVERAGE(K6:K$22)/100,4)</f>
        <v>2.5499999999999998E-2</v>
      </c>
      <c r="AH6" s="1787">
        <f>ROUND(AVERAGE(L6:L$22)/100,4)</f>
        <v>1.3100000000000001E-2</v>
      </c>
    </row>
    <row r="7" spans="1:34">
      <c r="A7" s="1459" t="s">
        <v>3026</v>
      </c>
      <c r="B7" s="1467">
        <f t="shared" ref="B7" si="27">B8*(1+N7)</f>
        <v>439.19121308559727</v>
      </c>
      <c r="C7" s="1467">
        <f t="shared" ref="C7" si="28">C8*(1+O7)</f>
        <v>326.28510789673351</v>
      </c>
      <c r="D7" s="1467">
        <f t="shared" ref="D7" si="29">C7</f>
        <v>326.28510789673351</v>
      </c>
      <c r="E7" s="1467">
        <f t="shared" ref="E7" si="30">E8*(1+P7)</f>
        <v>626.49404043656455</v>
      </c>
      <c r="F7" s="1468">
        <f t="shared" ref="F7" si="31">F8*(1+Q7)</f>
        <v>283.46416215500358</v>
      </c>
      <c r="G7" s="2923">
        <v>2017</v>
      </c>
      <c r="H7" s="1460">
        <v>4</v>
      </c>
      <c r="I7" s="1460">
        <v>1.71</v>
      </c>
      <c r="J7" s="1460">
        <v>1.78</v>
      </c>
      <c r="K7" s="1460">
        <v>1.71</v>
      </c>
      <c r="L7" s="1461">
        <v>1.43</v>
      </c>
      <c r="N7" s="1470">
        <f t="shared" si="18"/>
        <v>1.7100000000000001E-2</v>
      </c>
      <c r="O7" s="1471">
        <f t="shared" ref="O7" si="32">J7/100</f>
        <v>1.78E-2</v>
      </c>
      <c r="P7" s="1471">
        <f t="shared" ref="P7" si="33">K7/100</f>
        <v>1.7100000000000001E-2</v>
      </c>
      <c r="Q7" s="1471">
        <f t="shared" ref="Q7" si="34">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3027</v>
      </c>
      <c r="B8" s="1475">
        <f t="shared" ref="B8:B9" si="35">B9*(1+N8)</f>
        <v>431.80730811680002</v>
      </c>
      <c r="C8" s="1475">
        <f t="shared" ref="C8:C9" si="36">C9*(1+O8)</f>
        <v>320.57880516480003</v>
      </c>
      <c r="D8" s="1475">
        <f t="shared" ref="D8:D9" si="37">C8</f>
        <v>320.57880516480003</v>
      </c>
      <c r="E8" s="1475">
        <f t="shared" ref="E8:E9" si="38">E9*(1+P8)</f>
        <v>615.96110553196797</v>
      </c>
      <c r="F8" s="1475">
        <f t="shared" ref="F8:F9" si="39">F9*(1+Q8)</f>
        <v>279.46777300108801</v>
      </c>
      <c r="G8" s="2919"/>
      <c r="H8" s="1462">
        <v>3</v>
      </c>
      <c r="I8" s="1462">
        <v>2.98</v>
      </c>
      <c r="J8" s="1462">
        <v>2.11</v>
      </c>
      <c r="K8" s="1462">
        <v>3.24</v>
      </c>
      <c r="L8" s="1476">
        <v>1.72</v>
      </c>
      <c r="M8" s="1469"/>
      <c r="N8" s="1470">
        <f t="shared" si="18"/>
        <v>2.98E-2</v>
      </c>
      <c r="O8" s="1471">
        <f t="shared" ref="O8" si="40">J8/100</f>
        <v>2.1099999999999997E-2</v>
      </c>
      <c r="P8" s="1471">
        <f t="shared" ref="P8" si="41">K8/100</f>
        <v>3.2400000000000005E-2</v>
      </c>
      <c r="Q8" s="1471">
        <f t="shared" ref="Q8" si="42">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5"/>
        <v>419.31181600000002</v>
      </c>
      <c r="C9" s="1475">
        <f t="shared" si="36"/>
        <v>313.95436800000004</v>
      </c>
      <c r="D9" s="1475">
        <f t="shared" si="37"/>
        <v>313.95436800000004</v>
      </c>
      <c r="E9" s="1475">
        <f t="shared" si="38"/>
        <v>596.63028431999999</v>
      </c>
      <c r="F9" s="1475">
        <f t="shared" si="39"/>
        <v>274.74220703999998</v>
      </c>
      <c r="G9" s="2918"/>
      <c r="H9" s="1463">
        <v>2</v>
      </c>
      <c r="I9" s="1463">
        <v>3.4</v>
      </c>
      <c r="J9" s="1463">
        <v>2</v>
      </c>
      <c r="K9" s="1463">
        <v>3.82</v>
      </c>
      <c r="L9" s="1477">
        <v>1.68</v>
      </c>
      <c r="M9" s="1469"/>
      <c r="N9" s="1470">
        <f t="shared" si="18"/>
        <v>3.4000000000000002E-2</v>
      </c>
      <c r="O9" s="1471">
        <f t="shared" ref="O9" si="43">J9/100</f>
        <v>0.02</v>
      </c>
      <c r="P9" s="1471">
        <f t="shared" ref="P9" si="44">K9/100</f>
        <v>3.8199999999999998E-2</v>
      </c>
      <c r="Q9" s="1471">
        <f t="shared" ref="Q9" si="45">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9"/>
      <c r="H10" s="1462">
        <v>1</v>
      </c>
      <c r="I10" s="1462">
        <v>3.45</v>
      </c>
      <c r="J10" s="1462">
        <v>1.92</v>
      </c>
      <c r="K10" s="1462">
        <v>3.92</v>
      </c>
      <c r="L10" s="1476">
        <v>1.58</v>
      </c>
      <c r="M10" s="1469"/>
      <c r="N10" s="1470">
        <f t="shared" si="18"/>
        <v>3.4500000000000003E-2</v>
      </c>
      <c r="O10" s="1471">
        <f t="shared" ref="O10:Q25" si="46">J10/100</f>
        <v>1.9199999999999998E-2</v>
      </c>
      <c r="P10" s="1471">
        <f t="shared" si="46"/>
        <v>3.9199999999999999E-2</v>
      </c>
      <c r="Q10" s="1471">
        <f t="shared" si="46"/>
        <v>1.5800000000000002E-2</v>
      </c>
      <c r="R10" s="1472"/>
      <c r="S10" s="1470">
        <f>B10/B11-1</f>
        <v>3.4499999999999975E-2</v>
      </c>
      <c r="T10" s="1471">
        <f t="shared" ref="T10:V10" si="47">C10/C11-1</f>
        <v>1.9200000000000106E-2</v>
      </c>
      <c r="U10" s="1471">
        <f t="shared" si="47"/>
        <v>1.9200000000000106E-2</v>
      </c>
      <c r="V10" s="1471">
        <f t="shared" si="47"/>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271">
        <v>2016</v>
      </c>
      <c r="H11" s="1460">
        <v>4</v>
      </c>
      <c r="I11" s="1460">
        <v>4.5599999999999996</v>
      </c>
      <c r="J11" s="1460">
        <v>2.15</v>
      </c>
      <c r="K11" s="1460">
        <v>5.32</v>
      </c>
      <c r="L11" s="1461">
        <v>1.57</v>
      </c>
      <c r="N11" s="1470">
        <f t="shared" si="18"/>
        <v>4.5599999999999995E-2</v>
      </c>
      <c r="O11" s="1471">
        <f t="shared" si="46"/>
        <v>2.1499999999999998E-2</v>
      </c>
      <c r="P11" s="1471">
        <f t="shared" si="46"/>
        <v>5.3200000000000004E-2</v>
      </c>
      <c r="Q11" s="1471">
        <f t="shared" si="46"/>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8">B11/(1+N11)</f>
        <v>374.90436113236416</v>
      </c>
      <c r="C12" s="1475">
        <f t="shared" si="48"/>
        <v>295.64366128242779</v>
      </c>
      <c r="D12" s="1475">
        <f t="shared" ref="D12:D71" si="49">C12</f>
        <v>295.64366128242779</v>
      </c>
      <c r="E12" s="1475">
        <f t="shared" ref="E12:F14" si="50">E11/(1+P11)</f>
        <v>525.06646410938095</v>
      </c>
      <c r="F12" s="1475">
        <f t="shared" si="50"/>
        <v>261.88835286009646</v>
      </c>
      <c r="G12" s="3268"/>
      <c r="H12" s="1462">
        <v>3</v>
      </c>
      <c r="I12" s="1462">
        <v>4.12</v>
      </c>
      <c r="J12" s="1462">
        <v>2</v>
      </c>
      <c r="K12" s="1462">
        <v>4.79</v>
      </c>
      <c r="L12" s="1476">
        <v>1.97</v>
      </c>
      <c r="N12" s="1470">
        <f t="shared" ref="N12:Q46" si="51">I12/100</f>
        <v>4.1200000000000001E-2</v>
      </c>
      <c r="O12" s="1471">
        <f t="shared" si="46"/>
        <v>0.02</v>
      </c>
      <c r="P12" s="1471">
        <f t="shared" si="46"/>
        <v>4.7899999999999998E-2</v>
      </c>
      <c r="Q12" s="1471">
        <f t="shared" si="46"/>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8"/>
        <v>360.06949782209392</v>
      </c>
      <c r="C13" s="1475">
        <f t="shared" si="48"/>
        <v>289.84672674747821</v>
      </c>
      <c r="D13" s="1475">
        <f t="shared" si="49"/>
        <v>289.84672674747821</v>
      </c>
      <c r="E13" s="1475">
        <f t="shared" si="50"/>
        <v>501.06543001181495</v>
      </c>
      <c r="F13" s="1475">
        <f t="shared" si="50"/>
        <v>256.82882500744967</v>
      </c>
      <c r="G13" s="3268"/>
      <c r="H13" s="1463">
        <v>2</v>
      </c>
      <c r="I13" s="1463">
        <v>3.85</v>
      </c>
      <c r="J13" s="1463">
        <v>1.95</v>
      </c>
      <c r="K13" s="1463">
        <v>4.4800000000000004</v>
      </c>
      <c r="L13" s="1477">
        <v>1.41</v>
      </c>
      <c r="N13" s="1470">
        <f t="shared" si="51"/>
        <v>3.85E-2</v>
      </c>
      <c r="O13" s="1471">
        <f t="shared" si="46"/>
        <v>1.95E-2</v>
      </c>
      <c r="P13" s="1471">
        <f t="shared" si="46"/>
        <v>4.4800000000000006E-2</v>
      </c>
      <c r="Q13" s="1471">
        <f t="shared" si="46"/>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8"/>
        <v>346.720748986128</v>
      </c>
      <c r="C14" s="1475">
        <f t="shared" si="48"/>
        <v>284.30282172386285</v>
      </c>
      <c r="D14" s="1475">
        <f t="shared" si="49"/>
        <v>284.30282172386285</v>
      </c>
      <c r="E14" s="1475">
        <f t="shared" si="50"/>
        <v>479.58023546306947</v>
      </c>
      <c r="F14" s="1475">
        <f t="shared" si="50"/>
        <v>253.25788877571213</v>
      </c>
      <c r="G14" s="3269"/>
      <c r="H14" s="1462">
        <v>1</v>
      </c>
      <c r="I14" s="1462">
        <v>4.09</v>
      </c>
      <c r="J14" s="1462">
        <v>2.93</v>
      </c>
      <c r="K14" s="1462">
        <v>4.54</v>
      </c>
      <c r="L14" s="1476">
        <v>1.48</v>
      </c>
      <c r="N14" s="1470">
        <f t="shared" si="51"/>
        <v>4.0899999999999999E-2</v>
      </c>
      <c r="O14" s="1471">
        <f t="shared" si="46"/>
        <v>2.9300000000000003E-2</v>
      </c>
      <c r="P14" s="1471">
        <f t="shared" si="46"/>
        <v>4.5400000000000003E-2</v>
      </c>
      <c r="Q14" s="1471">
        <f t="shared" si="46"/>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9"/>
        <v>277</v>
      </c>
      <c r="E15" s="1467">
        <v>459</v>
      </c>
      <c r="F15" s="1468">
        <v>249</v>
      </c>
      <c r="G15" s="3267">
        <v>2015</v>
      </c>
      <c r="H15" s="1480">
        <v>4</v>
      </c>
      <c r="I15" s="1480">
        <v>1.63</v>
      </c>
      <c r="J15" s="1480">
        <v>1.1100000000000001</v>
      </c>
      <c r="K15" s="1480">
        <v>1.77</v>
      </c>
      <c r="L15" s="1481">
        <v>1.89</v>
      </c>
      <c r="N15" s="1482">
        <f t="shared" si="51"/>
        <v>1.6299999999999999E-2</v>
      </c>
      <c r="O15" s="1483">
        <f t="shared" si="46"/>
        <v>1.11E-2</v>
      </c>
      <c r="P15" s="1483">
        <f t="shared" si="46"/>
        <v>1.77E-2</v>
      </c>
      <c r="Q15" s="1483">
        <f t="shared" si="46"/>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52">B15/(1+N15)</f>
        <v>327.65915576109415</v>
      </c>
      <c r="C16" s="1475">
        <f t="shared" si="52"/>
        <v>273.95905449510434</v>
      </c>
      <c r="D16" s="1475">
        <f t="shared" si="49"/>
        <v>273.95905449510434</v>
      </c>
      <c r="E16" s="1475">
        <f t="shared" ref="E16:F18" si="53">E15/(1+P15)</f>
        <v>451.01699911565294</v>
      </c>
      <c r="F16" s="1475">
        <f t="shared" si="53"/>
        <v>244.38119540681129</v>
      </c>
      <c r="G16" s="3268"/>
      <c r="H16" s="1485">
        <v>3</v>
      </c>
      <c r="I16" s="1485">
        <v>1.65</v>
      </c>
      <c r="J16" s="1485">
        <v>0.92</v>
      </c>
      <c r="K16" s="1485">
        <v>1.88</v>
      </c>
      <c r="L16" s="1486">
        <v>1.26</v>
      </c>
      <c r="N16" s="1470">
        <f t="shared" si="51"/>
        <v>1.6500000000000001E-2</v>
      </c>
      <c r="O16" s="1487">
        <f t="shared" si="46"/>
        <v>9.1999999999999998E-3</v>
      </c>
      <c r="P16" s="1487">
        <f t="shared" si="46"/>
        <v>1.8799999999999997E-2</v>
      </c>
      <c r="Q16" s="1487">
        <f t="shared" si="46"/>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52"/>
        <v>322.34053690220776</v>
      </c>
      <c r="C17" s="1475">
        <f t="shared" si="52"/>
        <v>271.46160770422546</v>
      </c>
      <c r="D17" s="1475">
        <f t="shared" si="49"/>
        <v>271.46160770422546</v>
      </c>
      <c r="E17" s="1475">
        <f t="shared" si="53"/>
        <v>442.69434542172456</v>
      </c>
      <c r="F17" s="1475">
        <f t="shared" si="53"/>
        <v>241.34030753190925</v>
      </c>
      <c r="G17" s="3268"/>
      <c r="H17" s="1463">
        <v>2</v>
      </c>
      <c r="I17" s="1463">
        <v>0.77</v>
      </c>
      <c r="J17" s="1463">
        <v>0.69</v>
      </c>
      <c r="K17" s="1463">
        <v>0.8</v>
      </c>
      <c r="L17" s="1477">
        <v>0.88</v>
      </c>
      <c r="N17" s="1470">
        <f t="shared" si="51"/>
        <v>7.7000000000000002E-3</v>
      </c>
      <c r="O17" s="1487">
        <f t="shared" si="46"/>
        <v>6.8999999999999999E-3</v>
      </c>
      <c r="P17" s="1487">
        <f t="shared" si="46"/>
        <v>8.0000000000000002E-3</v>
      </c>
      <c r="Q17" s="1487">
        <f t="shared" si="46"/>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52"/>
        <v>319.87748030386797</v>
      </c>
      <c r="C18" s="1475">
        <f t="shared" si="52"/>
        <v>269.60135833173649</v>
      </c>
      <c r="D18" s="1475">
        <f t="shared" si="49"/>
        <v>269.60135833173649</v>
      </c>
      <c r="E18" s="1475">
        <f t="shared" si="53"/>
        <v>439.18089823583784</v>
      </c>
      <c r="F18" s="1475">
        <f t="shared" si="53"/>
        <v>239.23503918706311</v>
      </c>
      <c r="G18" s="3269"/>
      <c r="H18" s="1462">
        <v>1</v>
      </c>
      <c r="I18" s="1462">
        <v>0.51</v>
      </c>
      <c r="J18" s="1462">
        <v>0.54</v>
      </c>
      <c r="K18" s="1462">
        <v>0.48</v>
      </c>
      <c r="L18" s="1476">
        <v>0.93</v>
      </c>
      <c r="N18" s="1478">
        <f t="shared" si="51"/>
        <v>5.1000000000000004E-3</v>
      </c>
      <c r="O18" s="1479">
        <f t="shared" si="46"/>
        <v>5.4000000000000003E-3</v>
      </c>
      <c r="P18" s="1479">
        <f t="shared" si="46"/>
        <v>4.7999999999999996E-3</v>
      </c>
      <c r="Q18" s="1479">
        <f t="shared" si="46"/>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9"/>
        <v>268</v>
      </c>
      <c r="E19" s="1488">
        <v>437</v>
      </c>
      <c r="F19" s="1489">
        <v>237</v>
      </c>
      <c r="G19" s="3267">
        <v>2014</v>
      </c>
      <c r="H19" s="1480">
        <v>4</v>
      </c>
      <c r="I19" s="1480">
        <v>0.21</v>
      </c>
      <c r="J19" s="1480">
        <v>0.41</v>
      </c>
      <c r="K19" s="1480">
        <v>0.12</v>
      </c>
      <c r="L19" s="1481">
        <v>0.89</v>
      </c>
      <c r="N19" s="1470">
        <f t="shared" si="51"/>
        <v>2.0999999999999999E-3</v>
      </c>
      <c r="O19" s="1471">
        <f t="shared" si="46"/>
        <v>4.0999999999999995E-3</v>
      </c>
      <c r="P19" s="1471">
        <f t="shared" si="46"/>
        <v>1.1999999999999999E-3</v>
      </c>
      <c r="Q19" s="1471">
        <f t="shared" si="46"/>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54">B19/(1+N19)</f>
        <v>317.33359944117353</v>
      </c>
      <c r="C20" s="1475">
        <f t="shared" si="54"/>
        <v>266.90568668459315</v>
      </c>
      <c r="D20" s="1475">
        <f t="shared" si="49"/>
        <v>266.90568668459315</v>
      </c>
      <c r="E20" s="1475">
        <f t="shared" ref="E20:F22" si="55">E19/(1+P19)</f>
        <v>436.47622852576905</v>
      </c>
      <c r="F20" s="1475">
        <f t="shared" si="55"/>
        <v>234.90930716622066</v>
      </c>
      <c r="G20" s="3268"/>
      <c r="H20" s="1490">
        <v>3</v>
      </c>
      <c r="I20" s="1490">
        <v>0.83</v>
      </c>
      <c r="J20" s="1490">
        <v>1.47</v>
      </c>
      <c r="K20" s="1490">
        <v>0.65</v>
      </c>
      <c r="L20" s="1491">
        <v>0.72</v>
      </c>
      <c r="N20" s="1470">
        <f t="shared" si="51"/>
        <v>8.3000000000000001E-3</v>
      </c>
      <c r="O20" s="1471">
        <f t="shared" si="46"/>
        <v>1.47E-2</v>
      </c>
      <c r="P20" s="1471">
        <f t="shared" si="46"/>
        <v>6.5000000000000006E-3</v>
      </c>
      <c r="Q20" s="1471">
        <f t="shared" si="46"/>
        <v>7.1999999999999998E-3</v>
      </c>
      <c r="R20" s="1472"/>
      <c r="S20" s="1470"/>
      <c r="T20" s="1471"/>
      <c r="U20" s="1471"/>
      <c r="V20" s="1471"/>
      <c r="X20" s="1457">
        <f>ROUND(SUMPRODUCT(PRODUCT(1+N20:N$21)),4)</f>
        <v>1.0325</v>
      </c>
      <c r="Y20" s="1457">
        <f>ROUND(SUMPRODUCT(PRODUCT(1+O20:O$21)),4)</f>
        <v>1.0353000000000001</v>
      </c>
      <c r="Z20" s="1457">
        <f t="shared" ref="Z20:Z21" si="56">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54"/>
        <v>314.72141172386546</v>
      </c>
      <c r="C21" s="1475">
        <f t="shared" si="54"/>
        <v>263.03901319069001</v>
      </c>
      <c r="D21" s="1475">
        <f t="shared" si="49"/>
        <v>263.03901319069001</v>
      </c>
      <c r="E21" s="1475">
        <f t="shared" si="55"/>
        <v>433.65745506782821</v>
      </c>
      <c r="F21" s="1475">
        <f t="shared" si="55"/>
        <v>233.23005080045735</v>
      </c>
      <c r="G21" s="3268"/>
      <c r="H21" s="1480">
        <v>2</v>
      </c>
      <c r="I21" s="1480">
        <v>2.4</v>
      </c>
      <c r="J21" s="1480">
        <v>2.0299999999999998</v>
      </c>
      <c r="K21" s="1480">
        <v>2.59</v>
      </c>
      <c r="L21" s="1481">
        <v>1.52</v>
      </c>
      <c r="N21" s="1470">
        <f t="shared" si="51"/>
        <v>2.4E-2</v>
      </c>
      <c r="O21" s="1471">
        <f t="shared" si="46"/>
        <v>2.0299999999999999E-2</v>
      </c>
      <c r="P21" s="1471">
        <f t="shared" si="46"/>
        <v>2.5899999999999999E-2</v>
      </c>
      <c r="Q21" s="1471">
        <f t="shared" si="46"/>
        <v>1.52E-2</v>
      </c>
      <c r="R21" s="1472"/>
      <c r="S21" s="1470"/>
      <c r="T21" s="1471"/>
      <c r="U21" s="1471"/>
      <c r="V21" s="1471"/>
      <c r="X21" s="1457">
        <f>1+N21</f>
        <v>1.024</v>
      </c>
      <c r="Y21" s="1457">
        <f>1+O21</f>
        <v>1.0203</v>
      </c>
      <c r="Z21" s="1457">
        <f t="shared" si="56"/>
        <v>1.0203</v>
      </c>
      <c r="AA21" s="1457">
        <f>1+P21</f>
        <v>1.0259</v>
      </c>
      <c r="AB21" s="1457">
        <f>1+Q21</f>
        <v>1.0152000000000001</v>
      </c>
      <c r="AD21" s="1458">
        <f>ROUND(AVERAGE(I21:I$22)/100,4)</f>
        <v>2.69E-2</v>
      </c>
      <c r="AE21" s="1458">
        <f>ROUND(AVERAGE(J21:J$22)/100,4)</f>
        <v>2.1899999999999999E-2</v>
      </c>
      <c r="AF21" s="1458">
        <f t="shared" ref="AF21" si="57">AE21</f>
        <v>2.1899999999999999E-2</v>
      </c>
      <c r="AG21" s="1458">
        <f>ROUND(AVERAGE(K21:K$22)/100,4)</f>
        <v>2.9399999999999999E-2</v>
      </c>
      <c r="AH21" s="1458">
        <f>ROUND(AVERAGE(L21:L$22)/100,4)</f>
        <v>1.44E-2</v>
      </c>
    </row>
    <row r="22" spans="1:34" s="1496" customFormat="1" ht="13.5" thickBot="1">
      <c r="A22" s="1492" t="s">
        <v>144</v>
      </c>
      <c r="B22" s="1493">
        <f t="shared" si="54"/>
        <v>307.34512863658733</v>
      </c>
      <c r="C22" s="1493">
        <f t="shared" si="54"/>
        <v>257.80556031626975</v>
      </c>
      <c r="D22" s="1493">
        <f t="shared" si="49"/>
        <v>257.80556031626975</v>
      </c>
      <c r="E22" s="1493">
        <f t="shared" si="55"/>
        <v>422.70928459677179</v>
      </c>
      <c r="F22" s="1493">
        <f t="shared" si="55"/>
        <v>229.73803270336617</v>
      </c>
      <c r="G22" s="3269"/>
      <c r="H22" s="1494">
        <v>1</v>
      </c>
      <c r="I22" s="1494">
        <v>2.97</v>
      </c>
      <c r="J22" s="1494">
        <v>2.34</v>
      </c>
      <c r="K22" s="1494">
        <v>3.28</v>
      </c>
      <c r="L22" s="1495">
        <v>1.36</v>
      </c>
      <c r="N22" s="1497">
        <f t="shared" si="51"/>
        <v>2.9700000000000001E-2</v>
      </c>
      <c r="O22" s="1498">
        <f t="shared" si="46"/>
        <v>2.3399999999999997E-2</v>
      </c>
      <c r="P22" s="1498">
        <f t="shared" si="46"/>
        <v>3.2799999999999996E-2</v>
      </c>
      <c r="Q22" s="1498">
        <f t="shared" si="46"/>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9"/>
        <v>252</v>
      </c>
      <c r="E23" s="1467">
        <v>409</v>
      </c>
      <c r="F23" s="1468">
        <v>227</v>
      </c>
      <c r="G23" s="3272">
        <v>2013</v>
      </c>
      <c r="H23" s="1504">
        <v>4</v>
      </c>
      <c r="I23" s="1504">
        <v>1.83</v>
      </c>
      <c r="J23" s="1504">
        <v>1.68</v>
      </c>
      <c r="K23" s="1504">
        <v>1.97</v>
      </c>
      <c r="L23" s="1505">
        <v>0.87</v>
      </c>
      <c r="N23" s="1482">
        <f t="shared" si="51"/>
        <v>1.83E-2</v>
      </c>
      <c r="O23" s="1483">
        <f t="shared" si="46"/>
        <v>1.6799999999999999E-2</v>
      </c>
      <c r="P23" s="1483">
        <f t="shared" si="46"/>
        <v>1.9699999999999999E-2</v>
      </c>
      <c r="Q23" s="1483">
        <f t="shared" si="46"/>
        <v>8.6999999999999994E-3</v>
      </c>
      <c r="R23" s="1472"/>
      <c r="S23" s="1473"/>
      <c r="T23" s="1474"/>
      <c r="U23" s="1474"/>
      <c r="V23" s="1474"/>
      <c r="X23" s="1474"/>
      <c r="Y23" s="1474"/>
      <c r="Z23" s="1474"/>
    </row>
    <row r="24" spans="1:34">
      <c r="A24" s="1459" t="s">
        <v>1164</v>
      </c>
      <c r="B24" s="1475">
        <f t="shared" ref="B24:C26" si="58">B23/(1+N23)</f>
        <v>293.62663262299913</v>
      </c>
      <c r="C24" s="1475">
        <f t="shared" si="58"/>
        <v>247.83634933123525</v>
      </c>
      <c r="D24" s="1475">
        <f t="shared" si="49"/>
        <v>247.83634933123525</v>
      </c>
      <c r="E24" s="1475">
        <f t="shared" ref="E24:F26" si="59">E23/(1+P23)</f>
        <v>401.09836226341076</v>
      </c>
      <c r="F24" s="1475">
        <f t="shared" si="59"/>
        <v>225.04213343908003</v>
      </c>
      <c r="G24" s="3273"/>
      <c r="H24" s="1485">
        <v>3</v>
      </c>
      <c r="I24" s="1485">
        <v>1.86</v>
      </c>
      <c r="J24" s="1485">
        <v>1.72</v>
      </c>
      <c r="K24" s="1485">
        <v>1.98</v>
      </c>
      <c r="L24" s="1486">
        <v>0.88</v>
      </c>
      <c r="N24" s="1470">
        <f t="shared" si="51"/>
        <v>1.8600000000000002E-2</v>
      </c>
      <c r="O24" s="1487">
        <f t="shared" si="46"/>
        <v>1.72E-2</v>
      </c>
      <c r="P24" s="1487">
        <f t="shared" si="46"/>
        <v>1.9799999999999998E-2</v>
      </c>
      <c r="Q24" s="1487">
        <f t="shared" si="46"/>
        <v>8.8000000000000005E-3</v>
      </c>
      <c r="R24" s="1472"/>
      <c r="S24" s="1470"/>
      <c r="T24" s="1471"/>
      <c r="U24" s="1471"/>
      <c r="V24" s="1471"/>
    </row>
    <row r="25" spans="1:34">
      <c r="A25" s="1459" t="s">
        <v>1165</v>
      </c>
      <c r="B25" s="1475">
        <f t="shared" si="58"/>
        <v>288.2649053828776</v>
      </c>
      <c r="C25" s="1475">
        <f t="shared" si="58"/>
        <v>243.64564425013293</v>
      </c>
      <c r="D25" s="1475">
        <f t="shared" si="49"/>
        <v>243.64564425013293</v>
      </c>
      <c r="E25" s="1475">
        <f t="shared" si="59"/>
        <v>393.31080825986544</v>
      </c>
      <c r="F25" s="1475">
        <f t="shared" si="59"/>
        <v>223.07903790551154</v>
      </c>
      <c r="G25" s="3273"/>
      <c r="H25" s="1463">
        <v>2</v>
      </c>
      <c r="I25" s="1463">
        <v>2.04</v>
      </c>
      <c r="J25" s="1463">
        <v>2.33</v>
      </c>
      <c r="K25" s="1463">
        <v>2.0699999999999998</v>
      </c>
      <c r="L25" s="1477">
        <v>0.69</v>
      </c>
      <c r="N25" s="1470">
        <f t="shared" si="51"/>
        <v>2.0400000000000001E-2</v>
      </c>
      <c r="O25" s="1487">
        <f t="shared" si="46"/>
        <v>2.3300000000000001E-2</v>
      </c>
      <c r="P25" s="1487">
        <f t="shared" si="46"/>
        <v>2.07E-2</v>
      </c>
      <c r="Q25" s="1487">
        <f t="shared" si="46"/>
        <v>6.8999999999999999E-3</v>
      </c>
      <c r="R25" s="1472"/>
      <c r="S25" s="1470"/>
      <c r="T25" s="1471"/>
      <c r="U25" s="1471"/>
      <c r="V25" s="1471"/>
      <c r="X25" s="1506"/>
      <c r="Y25" s="1507"/>
    </row>
    <row r="26" spans="1:34">
      <c r="A26" s="1459" t="s">
        <v>1166</v>
      </c>
      <c r="B26" s="1475">
        <f t="shared" si="58"/>
        <v>282.50186729015837</v>
      </c>
      <c r="C26" s="1475">
        <f t="shared" si="58"/>
        <v>238.09796174155468</v>
      </c>
      <c r="D26" s="1475">
        <f t="shared" si="49"/>
        <v>238.09796174155468</v>
      </c>
      <c r="E26" s="1475">
        <f t="shared" si="59"/>
        <v>385.33438646014054</v>
      </c>
      <c r="F26" s="1475">
        <f t="shared" si="59"/>
        <v>221.55034055567739</v>
      </c>
      <c r="G26" s="3274"/>
      <c r="H26" s="1462">
        <v>1</v>
      </c>
      <c r="I26" s="1462">
        <v>1.67</v>
      </c>
      <c r="J26" s="1462">
        <v>1.31</v>
      </c>
      <c r="K26" s="1462">
        <v>1.85</v>
      </c>
      <c r="L26" s="1476">
        <v>0.96</v>
      </c>
      <c r="N26" s="1478">
        <f t="shared" si="51"/>
        <v>1.67E-2</v>
      </c>
      <c r="O26" s="1479">
        <f t="shared" si="51"/>
        <v>1.3100000000000001E-2</v>
      </c>
      <c r="P26" s="1479">
        <f t="shared" si="51"/>
        <v>1.8500000000000003E-2</v>
      </c>
      <c r="Q26" s="1479">
        <f t="shared" si="51"/>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9"/>
        <v>234</v>
      </c>
      <c r="E27" s="1509">
        <v>379</v>
      </c>
      <c r="F27" s="1510">
        <v>220</v>
      </c>
      <c r="G27" s="3267">
        <v>2012</v>
      </c>
      <c r="H27" s="1480">
        <v>4</v>
      </c>
      <c r="I27" s="1480">
        <v>0.91</v>
      </c>
      <c r="J27" s="1480">
        <v>0.68</v>
      </c>
      <c r="K27" s="1480">
        <v>0.98</v>
      </c>
      <c r="L27" s="1481">
        <v>0.9</v>
      </c>
      <c r="N27" s="1470">
        <f t="shared" si="51"/>
        <v>9.1000000000000004E-3</v>
      </c>
      <c r="O27" s="1471">
        <f t="shared" si="51"/>
        <v>6.8000000000000005E-3</v>
      </c>
      <c r="P27" s="1471">
        <f t="shared" si="51"/>
        <v>9.7999999999999997E-3</v>
      </c>
      <c r="Q27" s="1471">
        <f t="shared" si="51"/>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9"/>
        <v>232.41954707985698</v>
      </c>
      <c r="E28" s="1475">
        <f t="shared" ref="E28:F30" si="60">E27/(1+P27)</f>
        <v>375.32184591008121</v>
      </c>
      <c r="F28" s="1475">
        <f t="shared" si="60"/>
        <v>218.03766105054513</v>
      </c>
      <c r="G28" s="3268"/>
      <c r="H28" s="1485">
        <v>3</v>
      </c>
      <c r="I28" s="1485">
        <v>0.09</v>
      </c>
      <c r="J28" s="1485">
        <v>0.28999999999999998</v>
      </c>
      <c r="K28" s="1485">
        <v>-0.01</v>
      </c>
      <c r="L28" s="1486">
        <v>0.57999999999999996</v>
      </c>
      <c r="N28" s="1470">
        <f t="shared" si="51"/>
        <v>8.9999999999999998E-4</v>
      </c>
      <c r="O28" s="1471">
        <f t="shared" si="51"/>
        <v>2.8999999999999998E-3</v>
      </c>
      <c r="P28" s="1471">
        <f t="shared" si="51"/>
        <v>-1E-4</v>
      </c>
      <c r="Q28" s="1471">
        <f t="shared" si="51"/>
        <v>5.7999999999999996E-3</v>
      </c>
      <c r="R28" s="1472"/>
      <c r="S28" s="1470"/>
      <c r="T28" s="1471"/>
      <c r="U28" s="1471"/>
      <c r="V28" s="1471"/>
    </row>
    <row r="29" spans="1:34">
      <c r="A29" s="1459" t="s">
        <v>1169</v>
      </c>
      <c r="B29" s="1475">
        <f>B28/(1+N28)</f>
        <v>275.24529281292263</v>
      </c>
      <c r="C29" s="1475">
        <f>C28/(1+O28)</f>
        <v>231.74747938962707</v>
      </c>
      <c r="D29" s="1475">
        <f t="shared" si="49"/>
        <v>231.74747938962707</v>
      </c>
      <c r="E29" s="1475">
        <f t="shared" si="60"/>
        <v>375.35938184826603</v>
      </c>
      <c r="F29" s="1475">
        <f t="shared" si="60"/>
        <v>216.78033510692495</v>
      </c>
      <c r="G29" s="3268"/>
      <c r="H29" s="1463">
        <v>2</v>
      </c>
      <c r="I29" s="1463">
        <v>0.02</v>
      </c>
      <c r="J29" s="1463">
        <v>0.12</v>
      </c>
      <c r="K29" s="1463">
        <v>-0.08</v>
      </c>
      <c r="L29" s="1477">
        <v>1.24</v>
      </c>
      <c r="N29" s="1470">
        <f t="shared" si="51"/>
        <v>2.0000000000000001E-4</v>
      </c>
      <c r="O29" s="1471">
        <f t="shared" si="51"/>
        <v>1.1999999999999999E-3</v>
      </c>
      <c r="P29" s="1471">
        <f t="shared" si="51"/>
        <v>-8.0000000000000004E-4</v>
      </c>
      <c r="Q29" s="1471">
        <f t="shared" si="51"/>
        <v>1.24E-2</v>
      </c>
      <c r="R29" s="1472"/>
      <c r="S29" s="1470"/>
      <c r="T29" s="1471"/>
      <c r="U29" s="1471"/>
      <c r="V29" s="1471"/>
    </row>
    <row r="30" spans="1:34" ht="13.5" thickBot="1">
      <c r="A30" s="1459" t="s">
        <v>1170</v>
      </c>
      <c r="B30" s="1475">
        <f>B29/(1+N29)</f>
        <v>275.19025476197027</v>
      </c>
      <c r="C30" s="1511">
        <v>232</v>
      </c>
      <c r="D30" s="1511">
        <f t="shared" si="49"/>
        <v>232</v>
      </c>
      <c r="E30" s="1475">
        <f t="shared" si="60"/>
        <v>375.65990977608692</v>
      </c>
      <c r="F30" s="1475">
        <f t="shared" si="60"/>
        <v>214.12518283971252</v>
      </c>
      <c r="G30" s="3269"/>
      <c r="H30" s="1462">
        <v>1</v>
      </c>
      <c r="I30" s="1462">
        <v>0.02</v>
      </c>
      <c r="J30" s="1462">
        <v>0.13</v>
      </c>
      <c r="K30" s="1462">
        <v>-0.04</v>
      </c>
      <c r="L30" s="1476">
        <v>0.46</v>
      </c>
      <c r="N30" s="1470">
        <f t="shared" si="51"/>
        <v>2.0000000000000001E-4</v>
      </c>
      <c r="O30" s="1471">
        <f t="shared" si="51"/>
        <v>1.2999999999999999E-3</v>
      </c>
      <c r="P30" s="1471">
        <f t="shared" si="51"/>
        <v>-4.0000000000000002E-4</v>
      </c>
      <c r="Q30" s="1471">
        <f t="shared" si="51"/>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9"/>
        <v>232</v>
      </c>
      <c r="E31" s="1467">
        <v>376</v>
      </c>
      <c r="F31" s="1468">
        <v>213</v>
      </c>
      <c r="G31" s="3267">
        <v>2011</v>
      </c>
      <c r="H31" s="1480">
        <v>4</v>
      </c>
      <c r="I31" s="1480">
        <v>-0.2</v>
      </c>
      <c r="J31" s="1480">
        <v>0.04</v>
      </c>
      <c r="K31" s="1480">
        <v>-0.34</v>
      </c>
      <c r="L31" s="1481">
        <v>0.46</v>
      </c>
      <c r="N31" s="1482">
        <f t="shared" si="51"/>
        <v>-2E-3</v>
      </c>
      <c r="O31" s="1483">
        <f t="shared" si="51"/>
        <v>4.0000000000000002E-4</v>
      </c>
      <c r="P31" s="1483">
        <f t="shared" si="51"/>
        <v>-3.4000000000000002E-3</v>
      </c>
      <c r="Q31" s="1483">
        <f t="shared" si="51"/>
        <v>4.5999999999999999E-3</v>
      </c>
      <c r="R31" s="1472"/>
      <c r="S31" s="1473"/>
      <c r="T31" s="1474"/>
      <c r="U31" s="1474"/>
      <c r="V31" s="1474"/>
      <c r="X31" s="1474"/>
      <c r="Y31" s="1474"/>
      <c r="Z31" s="1474"/>
    </row>
    <row r="32" spans="1:34">
      <c r="A32" s="1459" t="s">
        <v>1172</v>
      </c>
      <c r="B32" s="1475">
        <f t="shared" ref="B32:C34" si="61">B31/(1+N31)</f>
        <v>275.55110220440883</v>
      </c>
      <c r="C32" s="1475">
        <f t="shared" si="61"/>
        <v>231.90723710515795</v>
      </c>
      <c r="D32" s="1475">
        <f t="shared" si="49"/>
        <v>231.90723710515795</v>
      </c>
      <c r="E32" s="1475">
        <f t="shared" ref="E32:F34" si="62">E31/(1+P31)</f>
        <v>377.28276138872161</v>
      </c>
      <c r="F32" s="1475">
        <f t="shared" si="62"/>
        <v>212.02468644236512</v>
      </c>
      <c r="G32" s="3268">
        <v>2011</v>
      </c>
      <c r="H32" s="1485">
        <v>3</v>
      </c>
      <c r="I32" s="1485">
        <v>0.13</v>
      </c>
      <c r="J32" s="1485">
        <v>0.75</v>
      </c>
      <c r="K32" s="1485">
        <v>-0.08</v>
      </c>
      <c r="L32" s="1486">
        <v>0.53</v>
      </c>
      <c r="N32" s="1470">
        <f t="shared" si="51"/>
        <v>1.2999999999999999E-3</v>
      </c>
      <c r="O32" s="1487">
        <f t="shared" si="51"/>
        <v>7.4999999999999997E-3</v>
      </c>
      <c r="P32" s="1487">
        <f t="shared" si="51"/>
        <v>-8.0000000000000004E-4</v>
      </c>
      <c r="Q32" s="1487">
        <f t="shared" si="51"/>
        <v>5.3E-3</v>
      </c>
      <c r="R32" s="1472"/>
      <c r="S32" s="1470"/>
      <c r="T32" s="1471"/>
      <c r="U32" s="1471"/>
      <c r="V32" s="1471"/>
    </row>
    <row r="33" spans="1:26">
      <c r="A33" s="1459" t="s">
        <v>1173</v>
      </c>
      <c r="B33" s="1475">
        <f t="shared" si="61"/>
        <v>275.19335084830601</v>
      </c>
      <c r="C33" s="1475">
        <f t="shared" si="61"/>
        <v>230.18088050139744</v>
      </c>
      <c r="D33" s="1475">
        <f t="shared" si="49"/>
        <v>230.18088050139744</v>
      </c>
      <c r="E33" s="1475">
        <f t="shared" si="62"/>
        <v>377.58482925212331</v>
      </c>
      <c r="F33" s="1475">
        <f t="shared" si="62"/>
        <v>210.90687997847917</v>
      </c>
      <c r="G33" s="3268">
        <v>2011</v>
      </c>
      <c r="H33" s="1463">
        <v>2</v>
      </c>
      <c r="I33" s="1463">
        <v>-0.4</v>
      </c>
      <c r="J33" s="1463">
        <v>0.17</v>
      </c>
      <c r="K33" s="1463">
        <v>-0.57999999999999996</v>
      </c>
      <c r="L33" s="1477">
        <v>-0.2</v>
      </c>
      <c r="N33" s="1470">
        <f t="shared" si="51"/>
        <v>-4.0000000000000001E-3</v>
      </c>
      <c r="O33" s="1487">
        <f t="shared" si="51"/>
        <v>1.7000000000000001E-3</v>
      </c>
      <c r="P33" s="1487">
        <f t="shared" si="51"/>
        <v>-5.7999999999999996E-3</v>
      </c>
      <c r="Q33" s="1487">
        <f t="shared" si="51"/>
        <v>-2E-3</v>
      </c>
      <c r="R33" s="1472"/>
      <c r="S33" s="1470"/>
      <c r="T33" s="1471"/>
      <c r="U33" s="1471"/>
      <c r="V33" s="1471"/>
    </row>
    <row r="34" spans="1:26" ht="13.5" thickBot="1">
      <c r="A34" s="1459" t="s">
        <v>1174</v>
      </c>
      <c r="B34" s="1475">
        <f t="shared" si="61"/>
        <v>276.29854502841971</v>
      </c>
      <c r="C34" s="1475">
        <f t="shared" si="61"/>
        <v>229.79023709833027</v>
      </c>
      <c r="D34" s="1475">
        <f t="shared" si="49"/>
        <v>229.79023709833027</v>
      </c>
      <c r="E34" s="1475">
        <f t="shared" si="62"/>
        <v>379.78759731655936</v>
      </c>
      <c r="F34" s="1475">
        <f t="shared" si="62"/>
        <v>211.32953905659235</v>
      </c>
      <c r="G34" s="3269">
        <v>2011</v>
      </c>
      <c r="H34" s="1462">
        <v>1</v>
      </c>
      <c r="I34" s="1462">
        <v>2.65</v>
      </c>
      <c r="J34" s="1462">
        <v>3.76</v>
      </c>
      <c r="K34" s="1462">
        <v>1.89</v>
      </c>
      <c r="L34" s="1476">
        <v>7.95</v>
      </c>
      <c r="N34" s="1478">
        <f t="shared" si="51"/>
        <v>2.6499999999999999E-2</v>
      </c>
      <c r="O34" s="1479">
        <f t="shared" si="51"/>
        <v>3.7599999999999995E-2</v>
      </c>
      <c r="P34" s="1479">
        <f t="shared" si="51"/>
        <v>1.89E-2</v>
      </c>
      <c r="Q34" s="1479">
        <f t="shared" si="51"/>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9"/>
        <v>221</v>
      </c>
      <c r="E35" s="1467">
        <v>373</v>
      </c>
      <c r="F35" s="1468">
        <v>196</v>
      </c>
      <c r="G35" s="3267">
        <v>2010</v>
      </c>
      <c r="H35" s="1480">
        <v>4</v>
      </c>
      <c r="I35" s="1480">
        <v>5.72</v>
      </c>
      <c r="J35" s="1480">
        <v>6.57</v>
      </c>
      <c r="K35" s="1480">
        <v>5.72</v>
      </c>
      <c r="L35" s="1481">
        <v>2.72</v>
      </c>
      <c r="N35" s="1470">
        <f t="shared" si="51"/>
        <v>5.7200000000000001E-2</v>
      </c>
      <c r="O35" s="1471">
        <f t="shared" si="51"/>
        <v>6.5700000000000008E-2</v>
      </c>
      <c r="P35" s="1471">
        <f t="shared" si="51"/>
        <v>5.7200000000000001E-2</v>
      </c>
      <c r="Q35" s="1471">
        <f t="shared" si="51"/>
        <v>2.7200000000000002E-2</v>
      </c>
      <c r="R35" s="1472"/>
      <c r="S35" s="1473"/>
      <c r="T35" s="1474"/>
      <c r="U35" s="1474"/>
      <c r="V35" s="1474"/>
      <c r="X35" s="1474"/>
      <c r="Y35" s="1474"/>
      <c r="Z35" s="1474"/>
    </row>
    <row r="36" spans="1:26">
      <c r="A36" s="1459" t="s">
        <v>1176</v>
      </c>
      <c r="B36" s="1475">
        <f t="shared" ref="B36:C38" si="63">B35/(1+N35)</f>
        <v>254.44570563753314</v>
      </c>
      <c r="C36" s="1475">
        <f t="shared" si="63"/>
        <v>207.37543398705074</v>
      </c>
      <c r="D36" s="1475">
        <f t="shared" si="49"/>
        <v>207.37543398705074</v>
      </c>
      <c r="E36" s="1475">
        <f t="shared" ref="E36:F38" si="64">E35/(1+P35)</f>
        <v>352.81876655315932</v>
      </c>
      <c r="F36" s="1475">
        <f t="shared" si="64"/>
        <v>190.809968847352</v>
      </c>
      <c r="G36" s="3268">
        <v>2010</v>
      </c>
      <c r="H36" s="1485">
        <v>3</v>
      </c>
      <c r="I36" s="1485">
        <v>4.7300000000000004</v>
      </c>
      <c r="J36" s="1485">
        <v>3.9</v>
      </c>
      <c r="K36" s="1485">
        <v>5.03</v>
      </c>
      <c r="L36" s="1486">
        <v>4.21</v>
      </c>
      <c r="N36" s="1470">
        <f t="shared" si="51"/>
        <v>4.7300000000000002E-2</v>
      </c>
      <c r="O36" s="1471">
        <f t="shared" si="51"/>
        <v>3.9E-2</v>
      </c>
      <c r="P36" s="1471">
        <f t="shared" si="51"/>
        <v>5.0300000000000004E-2</v>
      </c>
      <c r="Q36" s="1471">
        <f t="shared" si="51"/>
        <v>4.2099999999999999E-2</v>
      </c>
      <c r="R36" s="1472"/>
      <c r="S36" s="1470"/>
      <c r="T36" s="1471"/>
      <c r="U36" s="1471"/>
      <c r="V36" s="1471"/>
    </row>
    <row r="37" spans="1:26">
      <c r="A37" s="1459" t="s">
        <v>1177</v>
      </c>
      <c r="B37" s="1475">
        <f t="shared" si="63"/>
        <v>242.95398227588385</v>
      </c>
      <c r="C37" s="1475">
        <f t="shared" si="63"/>
        <v>199.59137053614126</v>
      </c>
      <c r="D37" s="1475">
        <f t="shared" si="49"/>
        <v>199.59137053614126</v>
      </c>
      <c r="E37" s="1475">
        <f t="shared" si="64"/>
        <v>335.92189522342125</v>
      </c>
      <c r="F37" s="1475">
        <f t="shared" si="64"/>
        <v>183.10139991109489</v>
      </c>
      <c r="G37" s="3268">
        <v>2010</v>
      </c>
      <c r="H37" s="1463">
        <v>2</v>
      </c>
      <c r="I37" s="1463">
        <v>4.6900000000000004</v>
      </c>
      <c r="J37" s="1463">
        <v>3.55</v>
      </c>
      <c r="K37" s="1463">
        <v>5.07</v>
      </c>
      <c r="L37" s="1477">
        <v>4.2300000000000004</v>
      </c>
      <c r="N37" s="1470">
        <f t="shared" si="51"/>
        <v>4.6900000000000004E-2</v>
      </c>
      <c r="O37" s="1471">
        <f t="shared" si="51"/>
        <v>3.5499999999999997E-2</v>
      </c>
      <c r="P37" s="1471">
        <f t="shared" si="51"/>
        <v>5.0700000000000002E-2</v>
      </c>
      <c r="Q37" s="1471">
        <f t="shared" si="51"/>
        <v>4.2300000000000004E-2</v>
      </c>
      <c r="R37" s="1472"/>
      <c r="S37" s="1470"/>
      <c r="T37" s="1471"/>
      <c r="U37" s="1471"/>
      <c r="V37" s="1471"/>
    </row>
    <row r="38" spans="1:26" ht="13.5" thickBot="1">
      <c r="A38" s="1459" t="s">
        <v>1178</v>
      </c>
      <c r="B38" s="1475">
        <f t="shared" si="63"/>
        <v>232.06990378821649</v>
      </c>
      <c r="C38" s="1475">
        <f t="shared" si="63"/>
        <v>192.74878854286936</v>
      </c>
      <c r="D38" s="1475">
        <f t="shared" si="49"/>
        <v>192.74878854286936</v>
      </c>
      <c r="E38" s="1475">
        <f t="shared" si="64"/>
        <v>319.71247284992984</v>
      </c>
      <c r="F38" s="1475">
        <f t="shared" si="64"/>
        <v>175.67053622862409</v>
      </c>
      <c r="G38" s="3269">
        <v>2010</v>
      </c>
      <c r="H38" s="1462">
        <v>1</v>
      </c>
      <c r="I38" s="1462">
        <v>5.4</v>
      </c>
      <c r="J38" s="1462">
        <v>3.2</v>
      </c>
      <c r="K38" s="1462">
        <v>6.16</v>
      </c>
      <c r="L38" s="1476">
        <v>4.51</v>
      </c>
      <c r="N38" s="1470">
        <f t="shared" si="51"/>
        <v>5.4000000000000006E-2</v>
      </c>
      <c r="O38" s="1471">
        <f t="shared" si="51"/>
        <v>3.2000000000000001E-2</v>
      </c>
      <c r="P38" s="1471">
        <f t="shared" si="51"/>
        <v>6.1600000000000002E-2</v>
      </c>
      <c r="Q38" s="1471">
        <f t="shared" si="51"/>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9"/>
        <v>187</v>
      </c>
      <c r="E39" s="1467">
        <v>301</v>
      </c>
      <c r="F39" s="1468">
        <v>168</v>
      </c>
      <c r="G39" s="3267">
        <v>2009</v>
      </c>
      <c r="H39" s="1480">
        <v>4</v>
      </c>
      <c r="I39" s="1480">
        <v>2.2999999999999998</v>
      </c>
      <c r="J39" s="1480">
        <v>1.04</v>
      </c>
      <c r="K39" s="1480">
        <v>2.84</v>
      </c>
      <c r="L39" s="1481">
        <v>0.67</v>
      </c>
      <c r="N39" s="1482">
        <f t="shared" si="51"/>
        <v>2.3E-2</v>
      </c>
      <c r="O39" s="1483">
        <f t="shared" si="51"/>
        <v>1.04E-2</v>
      </c>
      <c r="P39" s="1483">
        <f t="shared" si="51"/>
        <v>2.8399999999999998E-2</v>
      </c>
      <c r="Q39" s="1483">
        <f t="shared" si="51"/>
        <v>6.7000000000000002E-3</v>
      </c>
      <c r="R39" s="1472"/>
      <c r="S39" s="1473"/>
      <c r="T39" s="1474"/>
      <c r="U39" s="1474"/>
      <c r="V39" s="1474"/>
      <c r="X39" s="1474"/>
      <c r="Y39" s="1474"/>
      <c r="Z39" s="1474"/>
    </row>
    <row r="40" spans="1:26">
      <c r="A40" s="1459" t="s">
        <v>1180</v>
      </c>
      <c r="B40" s="1475">
        <f t="shared" ref="B40:C42" si="65">B39/(1+N39)</f>
        <v>215.05376344086022</v>
      </c>
      <c r="C40" s="1475">
        <f t="shared" si="65"/>
        <v>185.0752177355503</v>
      </c>
      <c r="D40" s="1475">
        <f t="shared" si="49"/>
        <v>185.0752177355503</v>
      </c>
      <c r="E40" s="1475">
        <f t="shared" ref="E40:F42" si="66">E39/(1+P39)</f>
        <v>292.68767016725008</v>
      </c>
      <c r="F40" s="1475">
        <f t="shared" si="66"/>
        <v>166.88189132810174</v>
      </c>
      <c r="G40" s="3268">
        <v>2009</v>
      </c>
      <c r="H40" s="1485">
        <v>3</v>
      </c>
      <c r="I40" s="1485">
        <v>2.1</v>
      </c>
      <c r="J40" s="1485">
        <v>1.86</v>
      </c>
      <c r="K40" s="1485">
        <v>2.29</v>
      </c>
      <c r="L40" s="1486">
        <v>0.85</v>
      </c>
      <c r="N40" s="1470">
        <f t="shared" si="51"/>
        <v>2.1000000000000001E-2</v>
      </c>
      <c r="O40" s="1487">
        <f t="shared" si="51"/>
        <v>1.8600000000000002E-2</v>
      </c>
      <c r="P40" s="1487">
        <f t="shared" si="51"/>
        <v>2.29E-2</v>
      </c>
      <c r="Q40" s="1487">
        <f t="shared" si="51"/>
        <v>8.5000000000000006E-3</v>
      </c>
      <c r="R40" s="1472"/>
      <c r="S40" s="1470"/>
      <c r="T40" s="1471"/>
      <c r="U40" s="1471"/>
      <c r="V40" s="1471"/>
    </row>
    <row r="41" spans="1:26">
      <c r="A41" s="1459" t="s">
        <v>1181</v>
      </c>
      <c r="B41" s="1475">
        <f t="shared" si="65"/>
        <v>210.630522469011</v>
      </c>
      <c r="C41" s="1475">
        <f t="shared" si="65"/>
        <v>181.69567812247232</v>
      </c>
      <c r="D41" s="1475">
        <f t="shared" si="49"/>
        <v>181.69567812247232</v>
      </c>
      <c r="E41" s="1475">
        <f t="shared" si="66"/>
        <v>286.13517466736738</v>
      </c>
      <c r="F41" s="1475">
        <f t="shared" si="66"/>
        <v>165.47535084591149</v>
      </c>
      <c r="G41" s="3268">
        <v>2009</v>
      </c>
      <c r="H41" s="1463">
        <v>2</v>
      </c>
      <c r="I41" s="1463">
        <v>0.86</v>
      </c>
      <c r="J41" s="1463">
        <v>-1.1299999999999999</v>
      </c>
      <c r="K41" s="1463">
        <v>1.79</v>
      </c>
      <c r="L41" s="1477">
        <v>-2.0699999999999998</v>
      </c>
      <c r="N41" s="1470">
        <f t="shared" si="51"/>
        <v>8.6E-3</v>
      </c>
      <c r="O41" s="1487">
        <f t="shared" si="51"/>
        <v>-1.1299999999999999E-2</v>
      </c>
      <c r="P41" s="1487">
        <f t="shared" si="51"/>
        <v>1.7899999999999999E-2</v>
      </c>
      <c r="Q41" s="1487">
        <f t="shared" si="51"/>
        <v>-2.07E-2</v>
      </c>
      <c r="R41" s="1472"/>
      <c r="S41" s="1470"/>
      <c r="T41" s="1471"/>
      <c r="U41" s="1471"/>
      <c r="V41" s="1471"/>
    </row>
    <row r="42" spans="1:26">
      <c r="A42" s="1459" t="s">
        <v>1182</v>
      </c>
      <c r="B42" s="1475">
        <f t="shared" si="65"/>
        <v>208.83454537875372</v>
      </c>
      <c r="C42" s="1475">
        <f t="shared" si="65"/>
        <v>183.77230517090351</v>
      </c>
      <c r="D42" s="1475">
        <f t="shared" si="49"/>
        <v>183.77230517090351</v>
      </c>
      <c r="E42" s="1475">
        <f t="shared" si="66"/>
        <v>281.10342338870947</v>
      </c>
      <c r="F42" s="1475">
        <f t="shared" si="66"/>
        <v>168.97309388942256</v>
      </c>
      <c r="G42" s="3269">
        <v>2009</v>
      </c>
      <c r="H42" s="1462">
        <v>1</v>
      </c>
      <c r="I42" s="1462">
        <v>-2.64</v>
      </c>
      <c r="J42" s="1462">
        <v>-2.5299999999999998</v>
      </c>
      <c r="K42" s="1462">
        <v>-3.02</v>
      </c>
      <c r="L42" s="1476">
        <v>1.52</v>
      </c>
      <c r="N42" s="1478">
        <f t="shared" si="51"/>
        <v>-2.64E-2</v>
      </c>
      <c r="O42" s="1479">
        <f t="shared" si="51"/>
        <v>-2.53E-2</v>
      </c>
      <c r="P42" s="1479">
        <f t="shared" si="51"/>
        <v>-3.0200000000000001E-2</v>
      </c>
      <c r="Q42" s="1479">
        <f t="shared" si="51"/>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9"/>
        <v>188</v>
      </c>
      <c r="E43" s="1509">
        <v>289</v>
      </c>
      <c r="F43" s="1510">
        <v>166</v>
      </c>
      <c r="G43" s="3267">
        <v>2008</v>
      </c>
      <c r="H43" s="1480">
        <v>4</v>
      </c>
      <c r="I43" s="1480">
        <v>1.73</v>
      </c>
      <c r="J43" s="1480">
        <v>0.03</v>
      </c>
      <c r="K43" s="1480">
        <v>2.59</v>
      </c>
      <c r="L43" s="1481">
        <v>-1.66</v>
      </c>
      <c r="N43" s="1470">
        <f t="shared" si="51"/>
        <v>1.7299999999999999E-2</v>
      </c>
      <c r="O43" s="1471">
        <f t="shared" si="51"/>
        <v>2.9999999999999997E-4</v>
      </c>
      <c r="P43" s="1471">
        <f t="shared" si="51"/>
        <v>2.5899999999999999E-2</v>
      </c>
      <c r="Q43" s="1471">
        <f t="shared" si="51"/>
        <v>-1.66E-2</v>
      </c>
      <c r="R43" s="1472"/>
      <c r="S43" s="1473"/>
      <c r="T43" s="1474"/>
      <c r="U43" s="1474"/>
      <c r="V43" s="1474"/>
      <c r="X43" s="1474"/>
      <c r="Y43" s="1474"/>
      <c r="Z43" s="1474"/>
    </row>
    <row r="44" spans="1:26">
      <c r="A44" s="1459" t="s">
        <v>1184</v>
      </c>
      <c r="B44" s="1475">
        <f t="shared" ref="B44:C46" si="67">B43/(1+N43)</f>
        <v>210.36075887152265</v>
      </c>
      <c r="C44" s="1475">
        <f t="shared" si="67"/>
        <v>187.94361691492554</v>
      </c>
      <c r="D44" s="1475">
        <f t="shared" si="49"/>
        <v>187.94361691492554</v>
      </c>
      <c r="E44" s="1475">
        <f t="shared" ref="E44:F46" si="68">E43/(1+P43)</f>
        <v>281.70386977288234</v>
      </c>
      <c r="F44" s="1475">
        <f t="shared" si="68"/>
        <v>168.80211511083994</v>
      </c>
      <c r="G44" s="3268">
        <v>2008</v>
      </c>
      <c r="H44" s="1485">
        <v>3</v>
      </c>
      <c r="I44" s="1485">
        <v>1.96</v>
      </c>
      <c r="J44" s="1485">
        <v>2.36</v>
      </c>
      <c r="K44" s="1485">
        <v>1.82</v>
      </c>
      <c r="L44" s="1486">
        <v>2.2200000000000002</v>
      </c>
      <c r="N44" s="1470">
        <f t="shared" si="51"/>
        <v>1.9599999999999999E-2</v>
      </c>
      <c r="O44" s="1471">
        <f t="shared" si="51"/>
        <v>2.3599999999999999E-2</v>
      </c>
      <c r="P44" s="1471">
        <f t="shared" si="51"/>
        <v>1.8200000000000001E-2</v>
      </c>
      <c r="Q44" s="1471">
        <f t="shared" si="51"/>
        <v>2.2200000000000001E-2</v>
      </c>
      <c r="R44" s="1472"/>
      <c r="S44" s="1470"/>
      <c r="T44" s="1471"/>
      <c r="U44" s="1471"/>
      <c r="V44" s="1471"/>
    </row>
    <row r="45" spans="1:26">
      <c r="A45" s="1459" t="s">
        <v>1185</v>
      </c>
      <c r="B45" s="1475">
        <f t="shared" si="67"/>
        <v>206.31694671589116</v>
      </c>
      <c r="C45" s="1475">
        <f t="shared" si="67"/>
        <v>183.61041121036101</v>
      </c>
      <c r="D45" s="1475">
        <f t="shared" si="49"/>
        <v>183.61041121036101</v>
      </c>
      <c r="E45" s="1475">
        <f t="shared" si="68"/>
        <v>276.66850301795557</v>
      </c>
      <c r="F45" s="1475">
        <f t="shared" si="68"/>
        <v>165.1360938278614</v>
      </c>
      <c r="G45" s="3268">
        <v>2008</v>
      </c>
      <c r="H45" s="1463">
        <v>2</v>
      </c>
      <c r="I45" s="1463">
        <v>4.93</v>
      </c>
      <c r="J45" s="1463">
        <v>7.38</v>
      </c>
      <c r="K45" s="1463">
        <v>3.98</v>
      </c>
      <c r="L45" s="1477">
        <v>6.86</v>
      </c>
      <c r="N45" s="1470">
        <f t="shared" si="51"/>
        <v>4.9299999999999997E-2</v>
      </c>
      <c r="O45" s="1471">
        <f t="shared" si="51"/>
        <v>7.3800000000000004E-2</v>
      </c>
      <c r="P45" s="1471">
        <f t="shared" si="51"/>
        <v>3.9800000000000002E-2</v>
      </c>
      <c r="Q45" s="1471">
        <f t="shared" si="51"/>
        <v>6.8600000000000008E-2</v>
      </c>
      <c r="R45" s="1472"/>
      <c r="S45" s="1470"/>
      <c r="T45" s="1471"/>
      <c r="U45" s="1471"/>
      <c r="V45" s="1471"/>
    </row>
    <row r="46" spans="1:26" s="1515" customFormat="1" ht="13.5" thickBot="1">
      <c r="A46" s="1459" t="s">
        <v>1186</v>
      </c>
      <c r="B46" s="1512">
        <f t="shared" si="67"/>
        <v>196.62341248059772</v>
      </c>
      <c r="C46" s="1512">
        <f t="shared" si="67"/>
        <v>170.99125648199012</v>
      </c>
      <c r="D46" s="1512">
        <f t="shared" si="49"/>
        <v>170.99125648199012</v>
      </c>
      <c r="E46" s="1512">
        <f t="shared" si="68"/>
        <v>266.07857570490052</v>
      </c>
      <c r="F46" s="1512">
        <f t="shared" si="68"/>
        <v>154.53499328828505</v>
      </c>
      <c r="G46" s="3269">
        <v>2008</v>
      </c>
      <c r="H46" s="1513">
        <v>1</v>
      </c>
      <c r="I46" s="1513">
        <v>4.1399999999999997</v>
      </c>
      <c r="J46" s="1513">
        <v>3.45</v>
      </c>
      <c r="K46" s="1513">
        <v>4.95</v>
      </c>
      <c r="L46" s="1514">
        <v>4.82</v>
      </c>
      <c r="N46" s="1516">
        <f t="shared" si="51"/>
        <v>4.1399999999999999E-2</v>
      </c>
      <c r="O46" s="1517">
        <f t="shared" si="51"/>
        <v>3.4500000000000003E-2</v>
      </c>
      <c r="P46" s="1517">
        <f t="shared" si="51"/>
        <v>4.9500000000000002E-2</v>
      </c>
      <c r="Q46" s="1517">
        <f t="shared" si="51"/>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9"/>
        <v>165</v>
      </c>
      <c r="E47" s="1467">
        <v>254</v>
      </c>
      <c r="F47" s="1468">
        <v>148</v>
      </c>
      <c r="G47" s="3267">
        <v>2007</v>
      </c>
      <c r="H47" s="1520">
        <v>4</v>
      </c>
      <c r="I47" s="1520">
        <v>5.51</v>
      </c>
      <c r="J47" s="1520">
        <v>4.8899999999999997</v>
      </c>
      <c r="K47" s="1520">
        <v>6.43</v>
      </c>
      <c r="L47" s="1521">
        <v>5.36</v>
      </c>
      <c r="N47" s="1522">
        <f t="shared" ref="N47:O50" si="69">B47/B48-1</f>
        <v>4.1339718365245526E-2</v>
      </c>
      <c r="O47" s="1523">
        <f t="shared" si="69"/>
        <v>4.0324492593776018E-2</v>
      </c>
      <c r="P47" s="1523">
        <f t="shared" ref="P47:Q50" si="70">E47/E48-1</f>
        <v>6.1625555347990968E-2</v>
      </c>
      <c r="Q47" s="1523">
        <f t="shared" si="70"/>
        <v>4.6757569250590603E-2</v>
      </c>
      <c r="R47" s="1472"/>
      <c r="S47" s="1473"/>
      <c r="T47" s="1474"/>
      <c r="U47" s="1474"/>
      <c r="V47" s="1474"/>
      <c r="X47" s="1474"/>
      <c r="Y47" s="1474"/>
      <c r="Z47" s="1474"/>
    </row>
    <row r="48" spans="1:26">
      <c r="A48" s="1459" t="s">
        <v>1188</v>
      </c>
      <c r="B48" s="1475">
        <f t="shared" ref="B48:C50" si="71">B49+(B$47-B$51)*I48/SUM(I$47:I$50)</f>
        <v>180.5366651097618</v>
      </c>
      <c r="C48" s="1475">
        <f t="shared" si="71"/>
        <v>158.60435967302453</v>
      </c>
      <c r="D48" s="1475">
        <f t="shared" si="49"/>
        <v>158.60435967302453</v>
      </c>
      <c r="E48" s="1475">
        <f t="shared" ref="E48:F50" si="72">E49+(E$47-E$51)*K48/SUM(K$47:K$50)</f>
        <v>239.25573260785075</v>
      </c>
      <c r="F48" s="1475">
        <f t="shared" si="72"/>
        <v>141.38899430740037</v>
      </c>
      <c r="G48" s="3268">
        <v>2007</v>
      </c>
      <c r="H48" s="1485">
        <v>3</v>
      </c>
      <c r="I48" s="1485">
        <v>8.65</v>
      </c>
      <c r="J48" s="1485">
        <v>8.06</v>
      </c>
      <c r="K48" s="1485">
        <v>9.94</v>
      </c>
      <c r="L48" s="1486">
        <v>5.8</v>
      </c>
      <c r="N48" s="1522">
        <f t="shared" si="69"/>
        <v>6.940217571740015E-2</v>
      </c>
      <c r="O48" s="1523">
        <f t="shared" si="69"/>
        <v>7.1197482471153428E-2</v>
      </c>
      <c r="P48" s="1523">
        <f t="shared" si="70"/>
        <v>0.10529679922579582</v>
      </c>
      <c r="Q48" s="1523">
        <f t="shared" si="70"/>
        <v>5.3292245059512133E-2</v>
      </c>
      <c r="R48" s="1472"/>
      <c r="S48" s="1470"/>
      <c r="T48" s="1471"/>
      <c r="U48" s="1471"/>
      <c r="V48" s="1471"/>
      <c r="X48" s="1524"/>
      <c r="Y48" s="1524"/>
      <c r="Z48" s="1524"/>
    </row>
    <row r="49" spans="1:26">
      <c r="A49" s="1459" t="s">
        <v>1189</v>
      </c>
      <c r="B49" s="1475">
        <f t="shared" si="71"/>
        <v>168.82017748715555</v>
      </c>
      <c r="C49" s="1475">
        <f t="shared" si="71"/>
        <v>148.06267029972753</v>
      </c>
      <c r="D49" s="1475">
        <f t="shared" si="49"/>
        <v>148.06267029972753</v>
      </c>
      <c r="E49" s="1475">
        <f t="shared" si="72"/>
        <v>216.46288379323747</v>
      </c>
      <c r="F49" s="1475">
        <f t="shared" si="72"/>
        <v>134.23529411764704</v>
      </c>
      <c r="G49" s="3268">
        <v>2007</v>
      </c>
      <c r="H49" s="1463">
        <v>2</v>
      </c>
      <c r="I49" s="1463">
        <v>3.67</v>
      </c>
      <c r="J49" s="1463">
        <v>2.3199999999999998</v>
      </c>
      <c r="K49" s="1463">
        <v>5.0199999999999996</v>
      </c>
      <c r="L49" s="1477">
        <v>6.71</v>
      </c>
      <c r="N49" s="1522">
        <f t="shared" si="69"/>
        <v>3.0339138143848032E-2</v>
      </c>
      <c r="O49" s="1523">
        <f t="shared" si="69"/>
        <v>2.0922341588790472E-2</v>
      </c>
      <c r="P49" s="1523">
        <f t="shared" si="70"/>
        <v>5.6164796592717003E-2</v>
      </c>
      <c r="Q49" s="1523">
        <f t="shared" si="70"/>
        <v>6.5704536723887319E-2</v>
      </c>
      <c r="R49" s="1472"/>
      <c r="S49" s="1470"/>
      <c r="T49" s="1471"/>
      <c r="U49" s="1471"/>
      <c r="V49" s="1471"/>
      <c r="X49" s="1524"/>
      <c r="Y49" s="1524"/>
      <c r="Z49" s="1524"/>
    </row>
    <row r="50" spans="1:26">
      <c r="A50" s="1459" t="s">
        <v>1190</v>
      </c>
      <c r="B50" s="1475">
        <f t="shared" si="71"/>
        <v>163.84913591779542</v>
      </c>
      <c r="C50" s="1475">
        <f t="shared" si="71"/>
        <v>145.0283378746594</v>
      </c>
      <c r="D50" s="1475">
        <f t="shared" si="49"/>
        <v>145.0283378746594</v>
      </c>
      <c r="E50" s="1475">
        <f t="shared" si="72"/>
        <v>204.95180722891567</v>
      </c>
      <c r="F50" s="1475">
        <f t="shared" si="72"/>
        <v>125.95920303605313</v>
      </c>
      <c r="G50" s="3269">
        <v>2007</v>
      </c>
      <c r="H50" s="1462">
        <v>1</v>
      </c>
      <c r="I50" s="1462">
        <v>3.58</v>
      </c>
      <c r="J50" s="1462">
        <v>3.08</v>
      </c>
      <c r="K50" s="1462">
        <v>4.34</v>
      </c>
      <c r="L50" s="1476">
        <v>3.21</v>
      </c>
      <c r="N50" s="1525">
        <f t="shared" si="69"/>
        <v>3.0497710174814063E-2</v>
      </c>
      <c r="O50" s="1526">
        <f t="shared" si="69"/>
        <v>2.8569772160704998E-2</v>
      </c>
      <c r="P50" s="1526">
        <f t="shared" si="70"/>
        <v>5.1034908866234296E-2</v>
      </c>
      <c r="Q50" s="1526">
        <f t="shared" si="70"/>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9"/>
        <v>141</v>
      </c>
      <c r="E51" s="1488">
        <v>195</v>
      </c>
      <c r="F51" s="1489">
        <v>122</v>
      </c>
      <c r="G51" s="3267">
        <v>2006</v>
      </c>
      <c r="H51" s="1480">
        <v>4</v>
      </c>
      <c r="I51" s="1480">
        <v>3.79</v>
      </c>
      <c r="J51" s="1480">
        <v>2.21</v>
      </c>
      <c r="K51" s="1480">
        <v>5.65</v>
      </c>
      <c r="L51" s="1481">
        <v>5.41</v>
      </c>
      <c r="N51" s="1522">
        <f t="shared" ref="N51:O54" si="73">I51/SUM(I$51:I$54)*(B$51/B$55-1)</f>
        <v>7.245466462748526E-2</v>
      </c>
      <c r="O51" s="1523">
        <f t="shared" si="73"/>
        <v>2.3237230038062766E-2</v>
      </c>
      <c r="P51" s="1523">
        <f t="shared" ref="P51:Q54" si="74">K51/SUM(K$51:K$54)*(E$51/E$55-1)</f>
        <v>0.16146893866323722</v>
      </c>
      <c r="Q51" s="1523">
        <f t="shared" si="74"/>
        <v>5.0755230321793784E-2</v>
      </c>
      <c r="R51" s="1472"/>
      <c r="S51" s="1473"/>
      <c r="T51" s="1474"/>
      <c r="U51" s="1474"/>
      <c r="V51" s="1474"/>
      <c r="X51" s="1524"/>
      <c r="Y51" s="1524"/>
      <c r="Z51" s="1524"/>
    </row>
    <row r="52" spans="1:26">
      <c r="A52" s="1459" t="s">
        <v>1192</v>
      </c>
      <c r="B52" s="1475">
        <f t="shared" ref="B52:C54" si="75">B53+(B$51-B$55)*I52/SUM(I$51:I$54)</f>
        <v>149.00125628140702</v>
      </c>
      <c r="C52" s="1475">
        <f t="shared" si="75"/>
        <v>137.95592286501378</v>
      </c>
      <c r="D52" s="1475">
        <f t="shared" si="49"/>
        <v>137.95592286501378</v>
      </c>
      <c r="E52" s="1475">
        <f t="shared" ref="E52:F54" si="76">E53+(E$51-E$55)*K52/SUM(K$51:K$54)</f>
        <v>169.97231450719823</v>
      </c>
      <c r="F52" s="1475">
        <f t="shared" si="76"/>
        <v>116.21390374331551</v>
      </c>
      <c r="G52" s="3268">
        <v>2006</v>
      </c>
      <c r="H52" s="1485">
        <v>3</v>
      </c>
      <c r="I52" s="1485">
        <v>0.92</v>
      </c>
      <c r="J52" s="1485">
        <v>1.08</v>
      </c>
      <c r="K52" s="1485">
        <v>0.73</v>
      </c>
      <c r="L52" s="1486">
        <v>1.08</v>
      </c>
      <c r="N52" s="1522">
        <f t="shared" si="73"/>
        <v>1.7587939698492462E-2</v>
      </c>
      <c r="O52" s="1523">
        <f t="shared" si="73"/>
        <v>1.1355750425840628E-2</v>
      </c>
      <c r="P52" s="1523">
        <f t="shared" si="74"/>
        <v>2.0862358446754544E-2</v>
      </c>
      <c r="Q52" s="1523">
        <f t="shared" si="74"/>
        <v>1.0132282578103011E-2</v>
      </c>
      <c r="R52" s="1472"/>
      <c r="S52" s="1470"/>
      <c r="T52" s="1471"/>
      <c r="U52" s="1471"/>
      <c r="V52" s="1471"/>
      <c r="X52" s="1524"/>
      <c r="Y52" s="1524"/>
      <c r="Z52" s="1524"/>
    </row>
    <row r="53" spans="1:26">
      <c r="A53" s="1459" t="s">
        <v>1193</v>
      </c>
      <c r="B53" s="1475">
        <f t="shared" si="75"/>
        <v>146.57412060301507</v>
      </c>
      <c r="C53" s="1475">
        <f t="shared" si="75"/>
        <v>136.46831955922866</v>
      </c>
      <c r="D53" s="1475">
        <f t="shared" si="49"/>
        <v>136.46831955922866</v>
      </c>
      <c r="E53" s="1475">
        <f t="shared" si="76"/>
        <v>166.73864894795128</v>
      </c>
      <c r="F53" s="1475">
        <f t="shared" si="76"/>
        <v>115.05882352941177</v>
      </c>
      <c r="G53" s="3268">
        <v>2006</v>
      </c>
      <c r="H53" s="1463">
        <v>2</v>
      </c>
      <c r="I53" s="1463">
        <v>0.96</v>
      </c>
      <c r="J53" s="1463">
        <v>0.25</v>
      </c>
      <c r="K53" s="1463">
        <v>1.9</v>
      </c>
      <c r="L53" s="1477">
        <v>0.95</v>
      </c>
      <c r="N53" s="1522">
        <f t="shared" si="73"/>
        <v>1.8352632728861701E-2</v>
      </c>
      <c r="O53" s="1523">
        <f t="shared" si="73"/>
        <v>2.6286459319075526E-3</v>
      </c>
      <c r="P53" s="1523">
        <f t="shared" si="74"/>
        <v>5.4299289107991269E-2</v>
      </c>
      <c r="Q53" s="1523">
        <f t="shared" si="74"/>
        <v>8.9126559714794995E-3</v>
      </c>
      <c r="R53" s="1472"/>
      <c r="S53" s="1470"/>
      <c r="T53" s="1471"/>
      <c r="U53" s="1471"/>
      <c r="V53" s="1471"/>
      <c r="X53" s="1524"/>
      <c r="Y53" s="1524"/>
      <c r="Z53" s="1524"/>
    </row>
    <row r="54" spans="1:26">
      <c r="A54" s="1459" t="s">
        <v>1194</v>
      </c>
      <c r="B54" s="1475">
        <f t="shared" si="75"/>
        <v>144.04145728643215</v>
      </c>
      <c r="C54" s="1475">
        <f t="shared" si="75"/>
        <v>136.12396694214877</v>
      </c>
      <c r="D54" s="1475">
        <f t="shared" si="49"/>
        <v>136.12396694214877</v>
      </c>
      <c r="E54" s="1475">
        <f t="shared" si="76"/>
        <v>158.32225913621264</v>
      </c>
      <c r="F54" s="1475">
        <f t="shared" si="76"/>
        <v>114.04278074866311</v>
      </c>
      <c r="G54" s="3269">
        <v>2006</v>
      </c>
      <c r="H54" s="1462">
        <v>1</v>
      </c>
      <c r="I54" s="1462">
        <v>2.29</v>
      </c>
      <c r="J54" s="1462">
        <v>3.72</v>
      </c>
      <c r="K54" s="1462">
        <v>0.75</v>
      </c>
      <c r="L54" s="1476">
        <v>0.04</v>
      </c>
      <c r="N54" s="1525">
        <f t="shared" si="73"/>
        <v>4.3778675988638847E-2</v>
      </c>
      <c r="O54" s="1526">
        <f t="shared" si="73"/>
        <v>3.9114251466784385E-2</v>
      </c>
      <c r="P54" s="1526">
        <f t="shared" si="74"/>
        <v>2.1433929911049188E-2</v>
      </c>
      <c r="Q54" s="1526">
        <f t="shared" si="74"/>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9"/>
        <v>131</v>
      </c>
      <c r="E55" s="1488">
        <v>155</v>
      </c>
      <c r="F55" s="1489">
        <v>114</v>
      </c>
      <c r="G55" s="3267">
        <v>2005</v>
      </c>
      <c r="H55" s="1480">
        <v>4</v>
      </c>
      <c r="I55" s="1480">
        <v>3.29</v>
      </c>
      <c r="J55" s="1480">
        <v>1.44</v>
      </c>
      <c r="K55" s="1480">
        <v>0.66</v>
      </c>
      <c r="L55" s="1481">
        <v>7.78</v>
      </c>
      <c r="N55" s="1522">
        <f t="shared" ref="N55:O58" si="77">I55/SUM(I$55:I$58)*(B$55/B$59-1)</f>
        <v>9.9404603216919935E-2</v>
      </c>
      <c r="O55" s="1523">
        <f t="shared" si="77"/>
        <v>4.7636550760861554E-2</v>
      </c>
      <c r="P55" s="1523">
        <f t="shared" ref="P55:Q58" si="78">K55/SUM(K$55:K$58)*(E$55/E$59-1)</f>
        <v>8.3756345177664976E-2</v>
      </c>
      <c r="Q55" s="1523">
        <f t="shared" si="78"/>
        <v>5.2148766661559584E-2</v>
      </c>
      <c r="R55" s="1472"/>
      <c r="S55" s="1473"/>
      <c r="T55" s="1474"/>
      <c r="U55" s="1474"/>
      <c r="V55" s="1474"/>
      <c r="X55" s="1524"/>
      <c r="Y55" s="1524"/>
      <c r="Z55" s="1524"/>
    </row>
    <row r="56" spans="1:26">
      <c r="A56" s="1459" t="s">
        <v>1196</v>
      </c>
      <c r="B56" s="1475">
        <f t="shared" ref="B56:C58" si="79">B57+(B$55-B$59)*I56/SUM(I$55:I$58)</f>
        <v>125.9720430107527</v>
      </c>
      <c r="C56" s="1475">
        <f t="shared" si="79"/>
        <v>125.1883408071749</v>
      </c>
      <c r="D56" s="1475">
        <f t="shared" si="49"/>
        <v>125.1883408071749</v>
      </c>
      <c r="E56" s="1475">
        <f t="shared" ref="E56:F58" si="80">E57+(E$55-E$59)*K56/SUM(K$55:K$58)</f>
        <v>144.61421319796952</v>
      </c>
      <c r="F56" s="1475">
        <f t="shared" si="80"/>
        <v>108.42008196721311</v>
      </c>
      <c r="G56" s="3268">
        <v>2005</v>
      </c>
      <c r="H56" s="1485">
        <v>3</v>
      </c>
      <c r="I56" s="1485">
        <v>0.46</v>
      </c>
      <c r="J56" s="1485">
        <v>0.32</v>
      </c>
      <c r="K56" s="1485">
        <v>0.42</v>
      </c>
      <c r="L56" s="1486">
        <v>0.64</v>
      </c>
      <c r="N56" s="1522">
        <f t="shared" si="77"/>
        <v>1.3898515951301874E-2</v>
      </c>
      <c r="O56" s="1523">
        <f t="shared" si="77"/>
        <v>1.0585900169080346E-2</v>
      </c>
      <c r="P56" s="1523">
        <f t="shared" si="78"/>
        <v>5.3299492385786795E-2</v>
      </c>
      <c r="Q56" s="1523">
        <f t="shared" si="78"/>
        <v>4.2898728359123568E-3</v>
      </c>
      <c r="R56" s="1472"/>
      <c r="S56" s="1470"/>
      <c r="T56" s="1471"/>
      <c r="U56" s="1471"/>
      <c r="V56" s="1471"/>
      <c r="X56" s="1524"/>
      <c r="Y56" s="1524"/>
      <c r="Z56" s="1524"/>
    </row>
    <row r="57" spans="1:26">
      <c r="A57" s="1459" t="s">
        <v>1197</v>
      </c>
      <c r="B57" s="1475">
        <f t="shared" si="79"/>
        <v>124.29032258064517</v>
      </c>
      <c r="C57" s="1475">
        <f t="shared" si="79"/>
        <v>123.8968609865471</v>
      </c>
      <c r="D57" s="1475">
        <f t="shared" si="49"/>
        <v>123.8968609865471</v>
      </c>
      <c r="E57" s="1475">
        <f t="shared" si="80"/>
        <v>138.00507614213197</v>
      </c>
      <c r="F57" s="1475">
        <f t="shared" si="80"/>
        <v>107.96106557377048</v>
      </c>
      <c r="G57" s="3268">
        <v>2005</v>
      </c>
      <c r="H57" s="1463">
        <v>2</v>
      </c>
      <c r="I57" s="1463">
        <v>0.47</v>
      </c>
      <c r="J57" s="1463">
        <v>0.1</v>
      </c>
      <c r="K57" s="1463">
        <v>0.52</v>
      </c>
      <c r="L57" s="1477">
        <v>0.79</v>
      </c>
      <c r="N57" s="1522">
        <f t="shared" si="77"/>
        <v>1.420065760241713E-2</v>
      </c>
      <c r="O57" s="1523">
        <f t="shared" si="77"/>
        <v>3.3080938028376083E-3</v>
      </c>
      <c r="P57" s="1523">
        <f t="shared" si="78"/>
        <v>6.598984771573603E-2</v>
      </c>
      <c r="Q57" s="1523">
        <f t="shared" si="78"/>
        <v>5.2953117818293153E-3</v>
      </c>
      <c r="R57" s="1472"/>
      <c r="S57" s="1470"/>
      <c r="T57" s="1471"/>
      <c r="U57" s="1471"/>
      <c r="V57" s="1471"/>
      <c r="X57" s="1524"/>
      <c r="Y57" s="1524"/>
      <c r="Z57" s="1524"/>
    </row>
    <row r="58" spans="1:26">
      <c r="A58" s="1459" t="s">
        <v>1198</v>
      </c>
      <c r="B58" s="1475">
        <f t="shared" si="79"/>
        <v>122.57204301075269</v>
      </c>
      <c r="C58" s="1475">
        <f t="shared" si="79"/>
        <v>123.4932735426009</v>
      </c>
      <c r="D58" s="1475">
        <f t="shared" si="49"/>
        <v>123.4932735426009</v>
      </c>
      <c r="E58" s="1475">
        <f t="shared" si="80"/>
        <v>129.82233502538071</v>
      </c>
      <c r="F58" s="1475">
        <f t="shared" si="80"/>
        <v>107.39446721311475</v>
      </c>
      <c r="G58" s="3269">
        <v>2005</v>
      </c>
      <c r="H58" s="1462">
        <v>1</v>
      </c>
      <c r="I58" s="1462">
        <v>0.43</v>
      </c>
      <c r="J58" s="1462">
        <v>0.37</v>
      </c>
      <c r="K58" s="1462">
        <v>0.37</v>
      </c>
      <c r="L58" s="1476">
        <v>0.55000000000000004</v>
      </c>
      <c r="N58" s="1525">
        <f t="shared" si="77"/>
        <v>1.2992090997956099E-2</v>
      </c>
      <c r="O58" s="1526">
        <f t="shared" si="77"/>
        <v>1.2239947070499151E-2</v>
      </c>
      <c r="P58" s="1526">
        <f t="shared" si="78"/>
        <v>4.6954314720812178E-2</v>
      </c>
      <c r="Q58" s="1526">
        <f t="shared" si="78"/>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9"/>
        <v>122</v>
      </c>
      <c r="E59" s="1509">
        <v>124</v>
      </c>
      <c r="F59" s="1510">
        <v>107</v>
      </c>
      <c r="G59" s="3267">
        <v>2004</v>
      </c>
      <c r="H59" s="1480">
        <v>4</v>
      </c>
      <c r="I59" s="1480">
        <v>0.33</v>
      </c>
      <c r="J59" s="1480">
        <v>0.5</v>
      </c>
      <c r="K59" s="1480">
        <v>0.5</v>
      </c>
      <c r="L59" s="1481">
        <v>0</v>
      </c>
      <c r="N59" s="1522">
        <f t="shared" ref="N59:O62" si="81">I59/SUM(I$59:I$62)*(B$59/B$63-1)</f>
        <v>1.3391770148526898E-2</v>
      </c>
      <c r="O59" s="1523">
        <f t="shared" si="81"/>
        <v>1.063264221158958E-2</v>
      </c>
      <c r="P59" s="1523">
        <f t="shared" ref="P59:Q62" si="82">K59/SUM(K$59:K$62)*(E$59/E$63-1)</f>
        <v>2.2244466688911134E-2</v>
      </c>
      <c r="Q59" s="1523">
        <f t="shared" si="82"/>
        <v>0</v>
      </c>
      <c r="R59" s="1472"/>
      <c r="S59" s="1473"/>
      <c r="T59" s="1474"/>
      <c r="U59" s="1474"/>
      <c r="V59" s="1474"/>
      <c r="X59" s="1524"/>
      <c r="Y59" s="1524"/>
      <c r="Z59" s="1524"/>
    </row>
    <row r="60" spans="1:26">
      <c r="A60" s="1459" t="s">
        <v>1200</v>
      </c>
      <c r="B60" s="1475">
        <f t="shared" ref="B60:C62" si="83">B61+(B$59-B$63)*I60/SUM(I$59:I$62)</f>
        <v>119.51351351351352</v>
      </c>
      <c r="C60" s="1475">
        <f t="shared" si="83"/>
        <v>120.7878787878788</v>
      </c>
      <c r="D60" s="1475">
        <f t="shared" si="49"/>
        <v>120.7878787878788</v>
      </c>
      <c r="E60" s="1475">
        <f t="shared" ref="E60:F62" si="84">E61+(E$59-E$63)*K60/SUM(K$59:K$62)</f>
        <v>121.5975975975976</v>
      </c>
      <c r="F60" s="1475">
        <f t="shared" si="84"/>
        <v>107</v>
      </c>
      <c r="G60" s="3268">
        <v>2004</v>
      </c>
      <c r="H60" s="1485">
        <v>3</v>
      </c>
      <c r="I60" s="1485">
        <v>0.56000000000000005</v>
      </c>
      <c r="J60" s="1485">
        <v>0.8</v>
      </c>
      <c r="K60" s="1485">
        <v>0.83</v>
      </c>
      <c r="L60" s="1486">
        <v>0.06</v>
      </c>
      <c r="N60" s="1522">
        <f t="shared" si="81"/>
        <v>2.2725428130833527E-2</v>
      </c>
      <c r="O60" s="1523">
        <f t="shared" si="81"/>
        <v>1.7012227538543329E-2</v>
      </c>
      <c r="P60" s="1523">
        <f t="shared" si="82"/>
        <v>3.6925814703592477E-2</v>
      </c>
      <c r="Q60" s="1523">
        <f t="shared" si="82"/>
        <v>2.8846153846153744E-2</v>
      </c>
      <c r="R60" s="1472"/>
      <c r="S60" s="1470"/>
      <c r="T60" s="1471"/>
      <c r="U60" s="1471"/>
      <c r="V60" s="1471"/>
      <c r="X60" s="1524"/>
      <c r="Y60" s="1524"/>
      <c r="Z60" s="1524"/>
    </row>
    <row r="61" spans="1:26">
      <c r="A61" s="1459" t="s">
        <v>1201</v>
      </c>
      <c r="B61" s="1475">
        <f t="shared" si="83"/>
        <v>116.99099099099099</v>
      </c>
      <c r="C61" s="1475">
        <f t="shared" si="83"/>
        <v>118.84848484848486</v>
      </c>
      <c r="D61" s="1475">
        <f t="shared" si="49"/>
        <v>118.84848484848486</v>
      </c>
      <c r="E61" s="1475">
        <f t="shared" si="84"/>
        <v>117.60960960960961</v>
      </c>
      <c r="F61" s="1475">
        <f t="shared" si="84"/>
        <v>104</v>
      </c>
      <c r="G61" s="3268">
        <v>2004</v>
      </c>
      <c r="H61" s="1463">
        <v>2</v>
      </c>
      <c r="I61" s="1463">
        <v>1</v>
      </c>
      <c r="J61" s="1463">
        <v>1.5</v>
      </c>
      <c r="K61" s="1463">
        <v>1.5</v>
      </c>
      <c r="L61" s="1477">
        <v>0</v>
      </c>
      <c r="N61" s="1522">
        <f t="shared" si="81"/>
        <v>4.0581121662202721E-2</v>
      </c>
      <c r="O61" s="1523">
        <f t="shared" si="81"/>
        <v>3.1897926634768738E-2</v>
      </c>
      <c r="P61" s="1523">
        <f t="shared" si="82"/>
        <v>6.6733400066733395E-2</v>
      </c>
      <c r="Q61" s="1523">
        <f t="shared" si="82"/>
        <v>0</v>
      </c>
      <c r="R61" s="1472"/>
      <c r="S61" s="1470"/>
      <c r="T61" s="1471"/>
      <c r="U61" s="1471"/>
      <c r="V61" s="1471"/>
      <c r="X61" s="1524"/>
      <c r="Y61" s="1524"/>
      <c r="Z61" s="1524"/>
    </row>
    <row r="62" spans="1:26" s="1515" customFormat="1" ht="13.5" thickBot="1">
      <c r="A62" s="1459" t="s">
        <v>1202</v>
      </c>
      <c r="B62" s="1512">
        <f t="shared" si="83"/>
        <v>112.48648648648648</v>
      </c>
      <c r="C62" s="1512">
        <f t="shared" si="83"/>
        <v>115.21212121212122</v>
      </c>
      <c r="D62" s="1512">
        <f t="shared" si="49"/>
        <v>115.21212121212122</v>
      </c>
      <c r="E62" s="1512">
        <f t="shared" si="84"/>
        <v>110.4024024024024</v>
      </c>
      <c r="F62" s="1512">
        <f t="shared" si="84"/>
        <v>104</v>
      </c>
      <c r="G62" s="3269">
        <v>2004</v>
      </c>
      <c r="H62" s="1513">
        <v>1</v>
      </c>
      <c r="I62" s="1513">
        <v>0.33</v>
      </c>
      <c r="J62" s="1513">
        <v>0.5</v>
      </c>
      <c r="K62" s="1513">
        <v>0.5</v>
      </c>
      <c r="L62" s="1514">
        <v>0</v>
      </c>
      <c r="N62" s="1527">
        <f t="shared" si="81"/>
        <v>1.3391770148526898E-2</v>
      </c>
      <c r="O62" s="1528">
        <f t="shared" si="81"/>
        <v>1.063264221158958E-2</v>
      </c>
      <c r="P62" s="1528">
        <f t="shared" si="82"/>
        <v>2.2244466688911134E-2</v>
      </c>
      <c r="Q62" s="1528">
        <f t="shared" si="82"/>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9"/>
        <v>114</v>
      </c>
      <c r="E63" s="1530">
        <v>108</v>
      </c>
      <c r="F63" s="1531">
        <v>104</v>
      </c>
      <c r="G63" s="3267">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5">B65+(B$63-B$67)/4</f>
        <v>109.75</v>
      </c>
      <c r="C64" s="1534">
        <f t="shared" si="85"/>
        <v>112.25</v>
      </c>
      <c r="D64" s="1534">
        <f t="shared" si="49"/>
        <v>112.25</v>
      </c>
      <c r="E64" s="1534">
        <f t="shared" ref="E64:F66" si="86">E65+(E$63-E$67)/4</f>
        <v>107.25</v>
      </c>
      <c r="F64" s="1534">
        <f t="shared" si="86"/>
        <v>103.5</v>
      </c>
      <c r="G64" s="3268">
        <v>2003</v>
      </c>
      <c r="H64" s="1485">
        <v>3</v>
      </c>
      <c r="I64" s="1532"/>
      <c r="J64" s="1532"/>
      <c r="K64" s="1532"/>
      <c r="L64" s="1532"/>
      <c r="X64" s="1524"/>
      <c r="Y64" s="1524"/>
      <c r="Z64" s="1524"/>
    </row>
    <row r="65" spans="1:26">
      <c r="A65" s="1459" t="s">
        <v>1205</v>
      </c>
      <c r="B65" s="1534">
        <f t="shared" si="85"/>
        <v>108.5</v>
      </c>
      <c r="C65" s="1534">
        <f t="shared" si="85"/>
        <v>110.5</v>
      </c>
      <c r="D65" s="1534">
        <f t="shared" si="49"/>
        <v>110.5</v>
      </c>
      <c r="E65" s="1534">
        <f t="shared" si="86"/>
        <v>106.5</v>
      </c>
      <c r="F65" s="1534">
        <f t="shared" si="86"/>
        <v>103</v>
      </c>
      <c r="G65" s="3268">
        <v>2003</v>
      </c>
      <c r="H65" s="1463">
        <v>2</v>
      </c>
      <c r="I65" s="1532"/>
      <c r="J65" s="1532"/>
      <c r="K65" s="1532"/>
      <c r="L65" s="1532"/>
      <c r="X65" s="1524"/>
      <c r="Y65" s="1524"/>
      <c r="Z65" s="1524"/>
    </row>
    <row r="66" spans="1:26" ht="13.5" thickBot="1">
      <c r="A66" s="1459" t="s">
        <v>1206</v>
      </c>
      <c r="B66" s="1534">
        <f t="shared" si="85"/>
        <v>107.25</v>
      </c>
      <c r="C66" s="1534">
        <f t="shared" si="85"/>
        <v>108.75</v>
      </c>
      <c r="D66" s="1534">
        <f t="shared" si="49"/>
        <v>108.75</v>
      </c>
      <c r="E66" s="1534">
        <f t="shared" si="86"/>
        <v>105.75</v>
      </c>
      <c r="F66" s="1534">
        <f t="shared" si="86"/>
        <v>102.5</v>
      </c>
      <c r="G66" s="3269">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9"/>
        <v>107</v>
      </c>
      <c r="E67" s="1536">
        <v>105</v>
      </c>
      <c r="F67" s="1537">
        <v>102</v>
      </c>
      <c r="G67" s="3267">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7">B69+(B$67-B$71)/4</f>
        <v>105</v>
      </c>
      <c r="C68" s="1534">
        <f t="shared" si="87"/>
        <v>106</v>
      </c>
      <c r="D68" s="1534">
        <f t="shared" si="49"/>
        <v>106</v>
      </c>
      <c r="E68" s="1534">
        <f t="shared" ref="E68:F70" si="88">E69+(E$67-E$71)/4</f>
        <v>104.5</v>
      </c>
      <c r="F68" s="1534">
        <f t="shared" si="88"/>
        <v>101.5</v>
      </c>
      <c r="G68" s="3268">
        <v>2002</v>
      </c>
      <c r="H68" s="1485">
        <v>3</v>
      </c>
      <c r="I68" s="1532"/>
      <c r="J68" s="1532"/>
      <c r="K68" s="1532"/>
      <c r="L68" s="1532"/>
      <c r="X68" s="1524"/>
      <c r="Y68" s="1524"/>
      <c r="Z68" s="1524"/>
    </row>
    <row r="69" spans="1:26">
      <c r="A69" s="1459" t="s">
        <v>1209</v>
      </c>
      <c r="B69" s="1534">
        <f t="shared" si="87"/>
        <v>104</v>
      </c>
      <c r="C69" s="1534">
        <f t="shared" si="87"/>
        <v>105</v>
      </c>
      <c r="D69" s="1534">
        <f t="shared" si="49"/>
        <v>105</v>
      </c>
      <c r="E69" s="1534">
        <f t="shared" si="88"/>
        <v>104</v>
      </c>
      <c r="F69" s="1534">
        <f t="shared" si="88"/>
        <v>101</v>
      </c>
      <c r="G69" s="3268">
        <v>2002</v>
      </c>
      <c r="H69" s="1463">
        <v>2</v>
      </c>
      <c r="I69" s="1532"/>
      <c r="J69" s="1532"/>
      <c r="K69" s="1532"/>
      <c r="L69" s="1532"/>
      <c r="X69" s="1524"/>
      <c r="Y69" s="1524"/>
      <c r="Z69" s="1524"/>
    </row>
    <row r="70" spans="1:26" s="1496" customFormat="1" ht="13.5" thickBot="1">
      <c r="A70" s="1492" t="s">
        <v>1210</v>
      </c>
      <c r="B70" s="1538">
        <f t="shared" si="87"/>
        <v>103</v>
      </c>
      <c r="C70" s="1538">
        <f t="shared" si="87"/>
        <v>104</v>
      </c>
      <c r="D70" s="1538">
        <f t="shared" si="49"/>
        <v>104</v>
      </c>
      <c r="E70" s="1538">
        <f t="shared" si="88"/>
        <v>103.5</v>
      </c>
      <c r="F70" s="1538">
        <f t="shared" si="88"/>
        <v>100.5</v>
      </c>
      <c r="G70" s="3269">
        <v>2002</v>
      </c>
      <c r="H70" s="1539">
        <v>1</v>
      </c>
      <c r="I70" s="1540"/>
      <c r="J70" s="1540"/>
      <c r="K70" s="1540"/>
      <c r="L70" s="1540"/>
      <c r="N70" s="1541"/>
      <c r="S70" s="1541"/>
      <c r="X70" s="1542"/>
      <c r="Y70" s="1542"/>
      <c r="Z70" s="1542"/>
    </row>
    <row r="71" spans="1:26" ht="13.5" thickBot="1">
      <c r="B71" s="1543">
        <v>102</v>
      </c>
      <c r="C71" s="1544">
        <v>103</v>
      </c>
      <c r="D71" s="1544">
        <f t="shared" si="49"/>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2997</v>
      </c>
      <c r="C1" s="3276" t="s">
        <v>2998</v>
      </c>
      <c r="D1" s="3277"/>
      <c r="E1" s="3277"/>
      <c r="F1" s="3277"/>
      <c r="G1" s="3277"/>
      <c r="H1" s="3277"/>
      <c r="I1" s="3277"/>
      <c r="J1" s="3277"/>
      <c r="K1" s="3277"/>
      <c r="L1" s="3277"/>
      <c r="M1" s="3277"/>
      <c r="N1" s="3277"/>
      <c r="O1" s="3277"/>
      <c r="P1" s="3277"/>
      <c r="Q1" s="3277"/>
      <c r="R1" s="3277"/>
      <c r="S1" s="3278"/>
      <c r="T1" s="1202" t="s">
        <v>2999</v>
      </c>
    </row>
    <row r="2" spans="1:45" s="707" customFormat="1">
      <c r="A2" s="1203"/>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3001</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3002</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3003</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3007</v>
      </c>
      <c r="B17" s="2914"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5" t="s">
        <v>3009</v>
      </c>
      <c r="E19" s="1790"/>
      <c r="F19" s="1790"/>
      <c r="G19" s="1790"/>
      <c r="H19" s="1278"/>
      <c r="I19" s="168"/>
      <c r="J19" s="168"/>
      <c r="K19" s="168"/>
      <c r="L19" s="168"/>
      <c r="M19" s="168"/>
      <c r="N19" s="168"/>
      <c r="O19" s="168"/>
      <c r="P19" s="168"/>
      <c r="Q19" s="168"/>
      <c r="R19" s="788"/>
      <c r="S19" s="138"/>
    </row>
    <row r="20" spans="1:45" ht="16.5" thickBot="1">
      <c r="A20" s="715" t="s">
        <v>3010</v>
      </c>
      <c r="B20" s="338" t="e">
        <f ca="1">IF(D20="——",S22,S22-F20)</f>
        <v>#REF!</v>
      </c>
      <c r="C20" s="168"/>
      <c r="D20" s="2916" t="s">
        <v>3011</v>
      </c>
      <c r="E20" s="1791"/>
      <c r="F20" s="1202" t="e">
        <f ca="1">SUMIF(INDIRECT("'"&amp;H20&amp;"'"&amp;"!A:A"),"承租人权益价值",INDIRECT("'"&amp;H20&amp;"'"&amp;"!c:c"))</f>
        <v>#REF!</v>
      </c>
      <c r="G20" s="1202" t="s">
        <v>3012</v>
      </c>
      <c r="H20" s="2917"/>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59" t="s">
        <v>33</v>
      </c>
      <c r="D22" s="3060"/>
      <c r="E22" s="3060"/>
      <c r="F22" s="3060"/>
      <c r="G22" s="3060"/>
      <c r="H22" s="3060"/>
      <c r="I22" s="3060"/>
      <c r="J22" s="3060"/>
      <c r="K22" s="3060"/>
      <c r="L22" s="3060"/>
      <c r="M22" s="3060"/>
      <c r="N22" s="3060"/>
      <c r="O22" s="3060"/>
      <c r="P22" s="3060"/>
      <c r="Q22" s="3275"/>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233</v>
      </c>
      <c r="D10" s="1030">
        <f>'数据-汇总表'!E6</f>
        <v>11628.210000000001</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233</v>
      </c>
      <c r="D19" s="1034">
        <f>'数据-汇总表'!E3</f>
        <v>11628.210000000001</v>
      </c>
      <c r="E19" s="255">
        <f>'数据-取费表'!B31</f>
        <v>200</v>
      </c>
      <c r="F19" s="275"/>
      <c r="G19" s="1" t="s">
        <v>1074</v>
      </c>
    </row>
    <row r="20" spans="1:7" s="258" customFormat="1" ht="13.5" customHeight="1">
      <c r="A20" s="946" t="s">
        <v>1057</v>
      </c>
      <c r="B20" s="254" t="s">
        <v>104</v>
      </c>
      <c r="C20" s="276">
        <f>ROUND((C5+C19)*F20,0)</f>
        <v>417</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2047</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23</v>
      </c>
      <c r="D24" s="282"/>
      <c r="E24" s="282"/>
      <c r="F24" s="283"/>
      <c r="G24" s="284" t="s">
        <v>109</v>
      </c>
    </row>
    <row r="25" spans="1:7" s="258" customFormat="1" ht="24">
      <c r="A25" s="949" t="s">
        <v>793</v>
      </c>
      <c r="B25" s="259" t="s">
        <v>1058</v>
      </c>
      <c r="C25" s="1353">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3189</v>
      </c>
      <c r="D27" s="279">
        <f>C29</f>
        <v>4.4999999999999997E-3</v>
      </c>
      <c r="E27" s="280" t="s">
        <v>126</v>
      </c>
      <c r="F27" s="290">
        <f>'数据-取费表'!Q16</f>
        <v>0.15</v>
      </c>
      <c r="G27" s="291" t="s">
        <v>1069</v>
      </c>
    </row>
    <row r="28" spans="1:7" s="258" customFormat="1" ht="13.5" customHeight="1">
      <c r="A28" s="949" t="s">
        <v>794</v>
      </c>
      <c r="B28" s="292" t="s">
        <v>1062</v>
      </c>
      <c r="C28" s="293">
        <f>ROUND((C5+C19+C20)*F27*'数据-取费表'!B21/'数据-取费表'!B20,0)</f>
        <v>3189</v>
      </c>
      <c r="D28" s="279"/>
      <c r="E28" s="280"/>
      <c r="F28" s="290"/>
      <c r="G28" s="291"/>
    </row>
    <row r="29" spans="1:7" s="258" customFormat="1" ht="13.5" customHeight="1">
      <c r="A29" s="949" t="s">
        <v>792</v>
      </c>
      <c r="B29" s="292" t="s">
        <v>1063</v>
      </c>
      <c r="C29" s="282">
        <f>ROUND(C21*F27*'数据-取费表'!B21/'数据-取费表'!B20,4)</f>
        <v>4.4999999999999997E-3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9" t="s">
        <v>796</v>
      </c>
      <c r="B35" s="259" t="s">
        <v>60</v>
      </c>
      <c r="C35" s="264">
        <f>ROUND(C34*F35,0)</f>
        <v>102</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233</v>
      </c>
      <c r="D37" s="261">
        <f>'数据-汇总表'!E3</f>
        <v>11628.210000000001</v>
      </c>
      <c r="E37" s="293">
        <f>'数据-取费表'!B35</f>
        <v>200</v>
      </c>
      <c r="F37" s="303"/>
      <c r="G37" s="305" t="s">
        <v>119</v>
      </c>
    </row>
    <row r="38" spans="1:7" ht="13.5" customHeight="1">
      <c r="A38" s="949" t="s">
        <v>799</v>
      </c>
      <c r="B38" s="259" t="s">
        <v>63</v>
      </c>
      <c r="C38" s="264">
        <f>ROUND(C34*F38,0)</f>
        <v>51</v>
      </c>
      <c r="D38" s="264"/>
      <c r="E38" s="264"/>
      <c r="F38" s="303">
        <f>'数据-取费表'!B36</f>
        <v>1.4999999999999999E-2</v>
      </c>
      <c r="G38" s="263" t="s">
        <v>117</v>
      </c>
    </row>
    <row r="39" spans="1:7" s="258" customFormat="1" ht="13.5" customHeight="1">
      <c r="A39" s="946" t="s">
        <v>783</v>
      </c>
      <c r="B39" s="254" t="s">
        <v>104</v>
      </c>
      <c r="C39" s="276">
        <f>ROUND(C33*F20,0)</f>
        <v>76</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183</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179</v>
      </c>
      <c r="D42" s="282"/>
      <c r="E42" s="282"/>
      <c r="F42" s="283"/>
      <c r="G42" s="3144" t="s">
        <v>121</v>
      </c>
    </row>
    <row r="43" spans="1:7" ht="13.5" customHeight="1">
      <c r="A43" s="949" t="s">
        <v>792</v>
      </c>
      <c r="B43" s="259" t="s">
        <v>1064</v>
      </c>
      <c r="C43" s="282">
        <f ca="1">ROUND(IF('数据-取费表'!B22&lt;=1,C39*F22*'数据-取费表'!B21/2,C39*(POWER((1+F22),'数据-取费表'!B21/2)-1)),0)</f>
        <v>4</v>
      </c>
      <c r="D43" s="282"/>
      <c r="E43" s="282"/>
      <c r="F43" s="283"/>
      <c r="G43" s="3145"/>
    </row>
    <row r="44" spans="1:7" ht="13.5" customHeight="1">
      <c r="A44" s="949" t="s">
        <v>793</v>
      </c>
      <c r="B44" s="259" t="s">
        <v>1066</v>
      </c>
      <c r="C44" s="282">
        <f ca="1">ROUND(IF('数据-取费表'!B22&lt;=1,C40*F22*'数据-取费表'!B21/2,C40*(POWER((1+F22),'数据-取费表'!B21/2)-1)),4)</f>
        <v>1.4E-3</v>
      </c>
      <c r="D44" s="282"/>
      <c r="E44" s="282"/>
      <c r="F44" s="283"/>
      <c r="G44" s="3146"/>
    </row>
    <row r="45" spans="1:7" s="258" customFormat="1" ht="13.5" customHeight="1">
      <c r="A45" s="946" t="s">
        <v>786</v>
      </c>
      <c r="B45" s="288" t="s">
        <v>112</v>
      </c>
      <c r="C45" s="289">
        <f>C46</f>
        <v>578</v>
      </c>
      <c r="D45" s="279">
        <f>C47</f>
        <v>4.4999999999999997E-3</v>
      </c>
      <c r="E45" s="280" t="s">
        <v>129</v>
      </c>
      <c r="F45" s="290"/>
      <c r="G45" s="291" t="s">
        <v>1072</v>
      </c>
    </row>
    <row r="46" spans="1:7" s="258" customFormat="1" ht="13.5" customHeight="1">
      <c r="A46" s="949" t="s">
        <v>794</v>
      </c>
      <c r="B46" s="292" t="s">
        <v>1065</v>
      </c>
      <c r="C46" s="293">
        <f>ROUND((C33+C39)*F27,0)</f>
        <v>578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5064</v>
      </c>
      <c r="D49" s="276"/>
      <c r="E49" s="276"/>
      <c r="F49" s="308"/>
      <c r="G49" s="278" t="s">
        <v>1073</v>
      </c>
    </row>
    <row r="50" spans="1:7" s="302" customFormat="1" ht="24">
      <c r="A50" s="946" t="s">
        <v>789</v>
      </c>
      <c r="B50" s="254" t="s">
        <v>124</v>
      </c>
      <c r="C50" s="276"/>
      <c r="D50" s="276"/>
      <c r="E50" s="276"/>
      <c r="F50" s="308">
        <f>IF('数据-取费表'!B24=0,'数据-取费表'!N16,1)</f>
        <v>0.9</v>
      </c>
      <c r="G50" s="291" t="s">
        <v>125</v>
      </c>
    </row>
    <row r="51" spans="1:7" ht="16.5" customHeight="1">
      <c r="A51" s="946"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1641</v>
      </c>
      <c r="B2" s="2971" t="s">
        <v>1642</v>
      </c>
      <c r="C2" s="2971" t="s">
        <v>1643</v>
      </c>
      <c r="D2" s="2971" t="str">
        <f>'结果表（办公）'!D116</f>
        <v>出让国有建设用地使用权价值</v>
      </c>
      <c r="E2" s="2971"/>
      <c r="F2" s="2971" t="str">
        <f>'结果表（办公）'!F116</f>
        <v>在建建筑物价值</v>
      </c>
      <c r="G2" s="2971"/>
      <c r="H2" s="2971" t="str">
        <f>IF(项目基本情况!B9="房地产市场价值","房地产市场价值","房地产价值")</f>
        <v>房地产价值</v>
      </c>
      <c r="I2" s="2971"/>
    </row>
    <row r="3" spans="1:9" ht="15">
      <c r="A3" s="2972"/>
      <c r="B3" s="2972"/>
      <c r="C3" s="2972"/>
      <c r="D3" s="1042" t="s">
        <v>1638</v>
      </c>
      <c r="E3" s="1042" t="s">
        <v>1644</v>
      </c>
      <c r="F3" s="1042" t="s">
        <v>1638</v>
      </c>
      <c r="G3" s="1042" t="s">
        <v>1639</v>
      </c>
      <c r="H3" s="1042" t="s">
        <v>1638</v>
      </c>
      <c r="I3" s="1042" t="s">
        <v>1639</v>
      </c>
    </row>
    <row r="4" spans="1:9" ht="30">
      <c r="A4" s="1971" t="str">
        <f>项目基本情况!S2</f>
        <v>北京市海淀区西四环北路160号房地产</v>
      </c>
      <c r="B4" s="1042">
        <f>项目基本情况!C17</f>
        <v>11628.210000000001</v>
      </c>
      <c r="C4" s="1042">
        <f>项目基本情况!C18</f>
        <v>0</v>
      </c>
      <c r="D4" s="1042" t="e">
        <f ca="1">'结果表（办公）'!D118</f>
        <v>#REF!</v>
      </c>
      <c r="E4" s="1042" t="e">
        <f ca="1">'结果表（办公）'!E118</f>
        <v>#REF!</v>
      </c>
      <c r="F4" s="1042" t="e">
        <f ca="1">'结果表（办公）'!F118</f>
        <v>#REF!</v>
      </c>
      <c r="G4" s="1042" t="e">
        <f ca="1">'结果表（办公）'!G118</f>
        <v>#REF!</v>
      </c>
      <c r="H4" s="1042">
        <f ca="1">'结果表（办公）'!H118</f>
        <v>43077</v>
      </c>
      <c r="I4" s="1042">
        <f ca="1">'结果表（办公）'!I118</f>
        <v>37045</v>
      </c>
    </row>
    <row r="5" spans="1:9" ht="30" customHeight="1">
      <c r="A5" s="2972" t="s">
        <v>1640</v>
      </c>
      <c r="B5" s="2972"/>
      <c r="C5" s="2972"/>
      <c r="D5" s="2973" t="e">
        <f ca="1">'结果表（办公）'!D119</f>
        <v>#REF!</v>
      </c>
      <c r="E5" s="2973"/>
      <c r="F5" s="2973" t="e">
        <f ca="1">'结果表（办公）'!F119</f>
        <v>#REF!</v>
      </c>
      <c r="G5" s="2973"/>
      <c r="H5" s="2973" t="str">
        <f ca="1">'结果表（办公）'!H119</f>
        <v>肆亿叁仟零柒拾柒万元整</v>
      </c>
      <c r="I5" s="2973"/>
    </row>
    <row r="6" spans="1:9" ht="15.75">
      <c r="A6" s="2974" t="str">
        <f>'结果表（办公）'!A120</f>
        <v>估价师知悉的法定优先受偿款</v>
      </c>
      <c r="B6" s="2974"/>
      <c r="C6" s="2974"/>
      <c r="D6" s="2974">
        <f>'结果表（办公）'!D120</f>
        <v>0</v>
      </c>
      <c r="E6" s="2974"/>
      <c r="F6" s="2974"/>
      <c r="G6" s="2974"/>
      <c r="H6" s="2974"/>
      <c r="I6" s="2974"/>
    </row>
    <row r="7" spans="1:9" ht="15">
      <c r="A7" s="2972" t="s">
        <v>1640</v>
      </c>
      <c r="B7" s="2972"/>
      <c r="C7" s="2972"/>
      <c r="D7" s="2975" t="str">
        <f>'结果表（办公）'!D121</f>
        <v>零元整</v>
      </c>
      <c r="E7" s="2976"/>
      <c r="F7" s="2976"/>
      <c r="G7" s="2976"/>
      <c r="H7" s="2976"/>
      <c r="I7" s="2977"/>
    </row>
    <row r="8" spans="1:9" ht="15.75">
      <c r="A8" s="2974" t="str">
        <f>'结果表（办公）'!A122</f>
        <v>房地产抵押价值</v>
      </c>
      <c r="B8" s="2974"/>
      <c r="C8" s="2974"/>
      <c r="D8" s="2974">
        <f ca="1">'结果表（办公）'!D122</f>
        <v>43077</v>
      </c>
      <c r="E8" s="2974"/>
      <c r="F8" s="2974"/>
      <c r="G8" s="2974"/>
      <c r="H8" s="2974"/>
      <c r="I8" s="2974"/>
    </row>
    <row r="9" spans="1:9" ht="15">
      <c r="A9" s="2972" t="s">
        <v>1640</v>
      </c>
      <c r="B9" s="2972"/>
      <c r="C9" s="2972"/>
      <c r="D9" s="2973" t="str">
        <f ca="1">'结果表（办公）'!D123</f>
        <v>肆亿叁仟零柒拾柒万元整</v>
      </c>
      <c r="E9" s="2973"/>
      <c r="F9" s="2973"/>
      <c r="G9" s="2973"/>
      <c r="H9" s="2973"/>
      <c r="I9" s="2973"/>
    </row>
    <row r="10" spans="1:9" ht="15.75">
      <c r="A10" s="2974" t="str">
        <f>'结果表（办公）'!A124</f>
        <v/>
      </c>
      <c r="B10" s="2974"/>
      <c r="C10" s="2974"/>
      <c r="D10" s="2974" t="str">
        <f>'结果表（办公）'!D124</f>
        <v>——</v>
      </c>
      <c r="E10" s="2974"/>
      <c r="F10" s="2974"/>
      <c r="G10" s="2974"/>
      <c r="H10" s="2974"/>
      <c r="I10" s="2974"/>
    </row>
    <row r="11" spans="1:9" ht="15">
      <c r="A11" s="2972" t="s">
        <v>1640</v>
      </c>
      <c r="B11" s="2972"/>
      <c r="C11" s="2972"/>
      <c r="D11" s="2973" t="e">
        <f>'结果表（办公）'!D125</f>
        <v>#VALUE!</v>
      </c>
      <c r="E11" s="2973"/>
      <c r="F11" s="2973"/>
      <c r="G11" s="2973"/>
      <c r="H11" s="2973"/>
      <c r="I11" s="2973"/>
    </row>
    <row r="12" spans="1:9" ht="15.75">
      <c r="A12" s="2974" t="str">
        <f>'结果表（办公）'!A126</f>
        <v/>
      </c>
      <c r="B12" s="2974"/>
      <c r="C12" s="2974"/>
      <c r="D12" s="2974" t="str">
        <f>'结果表（办公）'!D126</f>
        <v>——</v>
      </c>
      <c r="E12" s="2974"/>
      <c r="F12" s="2974"/>
      <c r="G12" s="2974"/>
      <c r="H12" s="2974"/>
      <c r="I12" s="2974"/>
    </row>
    <row r="13" spans="1:9" ht="15.75" thickBot="1">
      <c r="A13" s="2978" t="s">
        <v>1640</v>
      </c>
      <c r="B13" s="2978"/>
      <c r="C13" s="2978"/>
      <c r="D13" s="2979" t="e">
        <f>'结果表（办公）'!D127</f>
        <v>#VALUE!</v>
      </c>
      <c r="E13" s="2979"/>
      <c r="F13" s="2979"/>
      <c r="G13" s="2979"/>
      <c r="H13" s="2979"/>
      <c r="I13" s="2979"/>
    </row>
    <row r="14" spans="1:9" ht="15" thickTop="1">
      <c r="A14" s="2980" t="s">
        <v>1645</v>
      </c>
      <c r="B14" s="2980"/>
      <c r="C14" s="2980"/>
      <c r="D14" s="2980"/>
      <c r="E14" s="2980"/>
      <c r="F14" s="2980"/>
      <c r="G14" s="2980"/>
      <c r="H14" s="2980"/>
      <c r="I14" s="2980"/>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79" t="s">
        <v>156</v>
      </c>
      <c r="B1" s="3279"/>
      <c r="C1" s="3279"/>
      <c r="D1" s="3279"/>
      <c r="E1" s="3279"/>
      <c r="F1" s="3279"/>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0" t="s">
        <v>169</v>
      </c>
      <c r="B2" s="3280"/>
      <c r="C2" s="3280"/>
      <c r="D2" s="3280"/>
      <c r="E2" s="3280"/>
      <c r="F2" s="3280"/>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1"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2"/>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79" t="s">
        <v>871</v>
      </c>
      <c r="B1" s="3279"/>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43185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81" t="s">
        <v>1662</v>
      </c>
      <c r="B1" s="2981"/>
      <c r="C1" s="2981"/>
      <c r="D1" s="2981"/>
    </row>
    <row r="2" spans="1:4" ht="18">
      <c r="A2" s="2982" t="s">
        <v>1646</v>
      </c>
      <c r="B2" s="2982"/>
      <c r="C2" s="2982"/>
      <c r="D2" s="2982"/>
    </row>
    <row r="3" spans="1:4" ht="18.75">
      <c r="A3" s="1975" t="s">
        <v>1647</v>
      </c>
      <c r="B3" s="1975" t="s">
        <v>1648</v>
      </c>
      <c r="C3" s="1975" t="s">
        <v>1649</v>
      </c>
      <c r="D3" s="1975" t="s">
        <v>1650</v>
      </c>
    </row>
    <row r="4" spans="1:4" ht="56.25" customHeight="1">
      <c r="A4" s="1976" t="str">
        <f>项目基本情况!B4</f>
        <v>郑燚</v>
      </c>
      <c r="B4" s="1977">
        <f ca="1">项目基本情况!C4</f>
        <v>1120070131</v>
      </c>
      <c r="C4" s="1978"/>
      <c r="D4" s="1979" t="s">
        <v>1651</v>
      </c>
    </row>
    <row r="5" spans="1:4" ht="56.25" customHeight="1">
      <c r="A5" s="1976" t="str">
        <f>项目基本情况!D4</f>
        <v>王鹏</v>
      </c>
      <c r="B5" s="1977">
        <f ca="1">项目基本情况!E4</f>
        <v>1120050019</v>
      </c>
      <c r="C5" s="1980"/>
      <c r="D5" s="1979" t="s">
        <v>1651</v>
      </c>
    </row>
    <row r="6" spans="1:4" ht="18">
      <c r="A6" s="2982" t="s">
        <v>1652</v>
      </c>
      <c r="B6" s="2982"/>
      <c r="C6" s="2982"/>
      <c r="D6" s="2982"/>
    </row>
    <row r="7" spans="1:4" ht="18.75">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8.75">
      <c r="A10" s="1982" t="s">
        <v>1654</v>
      </c>
      <c r="B10" s="728"/>
      <c r="C10" s="728"/>
      <c r="D10" s="728"/>
    </row>
    <row r="11" spans="1:4" ht="30" customHeight="1">
      <c r="A11" s="2983"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7" t="s">
        <v>1656</v>
      </c>
      <c r="B16" s="2987"/>
      <c r="C16" s="2987"/>
      <c r="D16" s="2987"/>
    </row>
    <row r="17" spans="1:4" ht="144" customHeight="1">
      <c r="A17" s="2987" t="s">
        <v>1657</v>
      </c>
      <c r="B17" s="2987"/>
      <c r="C17" s="2987"/>
      <c r="D17" s="2987"/>
    </row>
    <row r="18" spans="1:4" ht="15.75" customHeight="1">
      <c r="A18" s="2984" t="str">
        <f>IF(项目基本情况!B8="抵押",'结果表（办公）'!K120,"——")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1658</v>
      </c>
      <c r="B22" s="2989"/>
      <c r="C22" s="2989"/>
      <c r="D22" s="2989"/>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2995" t="s">
        <v>1669</v>
      </c>
      <c r="B15" s="2990" t="s">
        <v>136</v>
      </c>
      <c r="C15" s="2991"/>
    </row>
    <row r="16" spans="1:7" ht="13.5">
      <c r="A16" s="2996"/>
      <c r="B16" s="2990" t="s">
        <v>69</v>
      </c>
      <c r="C16" s="2991"/>
    </row>
    <row r="17" spans="1:3" ht="13.5">
      <c r="A17" s="2996"/>
      <c r="B17" s="2993" t="s">
        <v>1670</v>
      </c>
      <c r="C17" s="1998" t="s">
        <v>1669</v>
      </c>
    </row>
    <row r="18" spans="1:3" ht="13.5">
      <c r="A18" s="2996"/>
      <c r="B18" s="2993"/>
      <c r="C18" s="1998" t="s">
        <v>1671</v>
      </c>
    </row>
    <row r="19" spans="1:3" ht="13.5">
      <c r="A19" s="2996"/>
      <c r="B19" s="2993"/>
      <c r="C19" s="1998" t="s">
        <v>1672</v>
      </c>
    </row>
    <row r="20" spans="1:3" ht="13.5">
      <c r="A20" s="2997"/>
      <c r="B20" s="2992" t="s">
        <v>1673</v>
      </c>
      <c r="C20" s="2991"/>
    </row>
    <row r="21" spans="1:3" ht="13.5">
      <c r="A21" s="1999" t="s">
        <v>1674</v>
      </c>
      <c r="B21" s="2000"/>
      <c r="C21" s="2001"/>
    </row>
    <row r="22" spans="1:3" ht="13.5">
      <c r="A22" s="2994" t="s">
        <v>1675</v>
      </c>
      <c r="B22" s="2992" t="s">
        <v>1676</v>
      </c>
      <c r="C22" s="2991"/>
    </row>
    <row r="23" spans="1:3" ht="13.5">
      <c r="A23" s="2994"/>
      <c r="B23" s="2992" t="s">
        <v>1677</v>
      </c>
      <c r="C23" s="2991"/>
    </row>
    <row r="24" spans="1:3" ht="13.5">
      <c r="A24" s="2994"/>
      <c r="B24" s="2992" t="s">
        <v>1678</v>
      </c>
      <c r="C24" s="2991"/>
    </row>
    <row r="25" spans="1:3" ht="13.5">
      <c r="A25" s="2994"/>
      <c r="B25" s="2993" t="s">
        <v>1679</v>
      </c>
      <c r="C25" s="1998" t="s">
        <v>1680</v>
      </c>
    </row>
    <row r="26" spans="1:3" ht="13.5">
      <c r="A26" s="2994"/>
      <c r="B26" s="2993"/>
      <c r="C26" s="1998" t="s">
        <v>1681</v>
      </c>
    </row>
    <row r="27" spans="1:3" ht="13.5">
      <c r="A27" s="2994"/>
      <c r="B27" s="2993"/>
      <c r="C27" s="1998" t="s">
        <v>1682</v>
      </c>
    </row>
    <row r="28" spans="1:3" ht="13.5">
      <c r="A28" s="2994"/>
      <c r="B28" s="2993"/>
      <c r="C28" s="1998" t="s">
        <v>1683</v>
      </c>
    </row>
    <row r="29" spans="1:3" ht="13.5">
      <c r="A29" s="2994"/>
      <c r="B29" s="2993"/>
      <c r="C29" s="1998" t="s">
        <v>1684</v>
      </c>
    </row>
    <row r="30" spans="1:3" ht="13.5">
      <c r="A30" s="2994"/>
      <c r="B30" s="2993"/>
      <c r="C30" s="1998" t="s">
        <v>1685</v>
      </c>
    </row>
    <row r="31" spans="1:3" ht="13.5">
      <c r="A31" s="2994"/>
      <c r="B31" s="2993"/>
      <c r="C31" s="1998" t="s">
        <v>1686</v>
      </c>
    </row>
    <row r="32" spans="1:3" ht="13.5">
      <c r="A32" s="2994"/>
      <c r="B32" s="2993"/>
      <c r="C32" s="1998" t="s">
        <v>1687</v>
      </c>
    </row>
    <row r="33" spans="1:3" ht="13.5">
      <c r="A33" s="2994"/>
      <c r="B33" s="2993"/>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43214</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43359</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c r="B12" s="1020"/>
      <c r="C12" s="2343"/>
      <c r="D12" s="2346"/>
      <c r="E12" s="1020"/>
      <c r="F12" s="1020"/>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343">
        <v>43304</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2998" t="s">
        <v>846</v>
      </c>
      <c r="B25" s="2998"/>
      <c r="C25" s="2998"/>
      <c r="D25" s="2998"/>
      <c r="E25" s="2998"/>
      <c r="F25" s="2998"/>
      <c r="G25" s="2998"/>
    </row>
    <row r="26" spans="1:7" s="1023" customFormat="1" ht="24" customHeight="1">
      <c r="A26" s="2999" t="s">
        <v>847</v>
      </c>
      <c r="B26" s="2999"/>
      <c r="C26" s="3000"/>
      <c r="D26" s="3001" t="s">
        <v>848</v>
      </c>
      <c r="E26" s="2999"/>
      <c r="F26" s="2999"/>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49" priority="55">
      <formula>AND($C28-TODAY()&lt;30,TODAY()&lt;$C28)</formula>
    </cfRule>
  </conditionalFormatting>
  <conditionalFormatting sqref="C28 F4">
    <cfRule type="cellIs" dxfId="248" priority="57" stopIfTrue="1" operator="lessThan">
      <formula>$B$2</formula>
    </cfRule>
  </conditionalFormatting>
  <conditionalFormatting sqref="C5">
    <cfRule type="expression" dxfId="247" priority="52">
      <formula>AND($C5-TODAY()&lt;30,TODAY()&lt;$C5)</formula>
    </cfRule>
  </conditionalFormatting>
  <conditionalFormatting sqref="C5 F5">
    <cfRule type="cellIs" dxfId="246" priority="53" stopIfTrue="1" operator="lessThan">
      <formula>$B$2</formula>
    </cfRule>
  </conditionalFormatting>
  <conditionalFormatting sqref="F6 F8 F10">
    <cfRule type="cellIs" dxfId="245" priority="51" stopIfTrue="1" operator="lessThan">
      <formula>$B$2</formula>
    </cfRule>
  </conditionalFormatting>
  <conditionalFormatting sqref="C4:C23">
    <cfRule type="expression" dxfId="244" priority="49">
      <formula>AND($C4-TODAY()&lt;30,TODAY()&lt;$C4)</formula>
    </cfRule>
  </conditionalFormatting>
  <conditionalFormatting sqref="F7 F9 F11 C4:C23">
    <cfRule type="cellIs" dxfId="243" priority="50" stopIfTrue="1" operator="lessThan">
      <formula>$B$2</formula>
    </cfRule>
  </conditionalFormatting>
  <conditionalFormatting sqref="C12">
    <cfRule type="expression" dxfId="242" priority="47">
      <formula>AND($C12-TODAY()&lt;30,TODAY()&lt;$C12)</formula>
    </cfRule>
  </conditionalFormatting>
  <conditionalFormatting sqref="C12">
    <cfRule type="cellIs" dxfId="241" priority="48" stopIfTrue="1" operator="lessThan">
      <formula>$B$2</formula>
    </cfRule>
  </conditionalFormatting>
  <conditionalFormatting sqref="C14">
    <cfRule type="expression" dxfId="240" priority="43">
      <formula>AND($C14-TODAY()&lt;30,TODAY()&lt;$C14)</formula>
    </cfRule>
  </conditionalFormatting>
  <conditionalFormatting sqref="C14">
    <cfRule type="cellIs" dxfId="239" priority="44" stopIfTrue="1" operator="lessThan">
      <formula>$B$2</formula>
    </cfRule>
  </conditionalFormatting>
  <conditionalFormatting sqref="C16">
    <cfRule type="expression" dxfId="238" priority="41">
      <formula>AND($C16-TODAY()&lt;30,TODAY()&lt;$C16)</formula>
    </cfRule>
  </conditionalFormatting>
  <conditionalFormatting sqref="C16">
    <cfRule type="cellIs" dxfId="237" priority="42" stopIfTrue="1" operator="lessThan">
      <formula>$B$2</formula>
    </cfRule>
  </conditionalFormatting>
  <conditionalFormatting sqref="C18">
    <cfRule type="expression" dxfId="236" priority="39">
      <formula>AND($C18-TODAY()&lt;30,TODAY()&lt;$C18)</formula>
    </cfRule>
  </conditionalFormatting>
  <conditionalFormatting sqref="C18">
    <cfRule type="cellIs" dxfId="235" priority="40" stopIfTrue="1" operator="lessThan">
      <formula>$B$2</formula>
    </cfRule>
  </conditionalFormatting>
  <conditionalFormatting sqref="C20">
    <cfRule type="expression" dxfId="234" priority="37">
      <formula>AND($C20-TODAY()&lt;30,TODAY()&lt;$C20)</formula>
    </cfRule>
  </conditionalFormatting>
  <conditionalFormatting sqref="C20">
    <cfRule type="cellIs" dxfId="233" priority="38" stopIfTrue="1" operator="lessThan">
      <formula>$B$2</formula>
    </cfRule>
  </conditionalFormatting>
  <conditionalFormatting sqref="C22">
    <cfRule type="expression" dxfId="232" priority="35">
      <formula>AND($C22-TODAY()&lt;30,TODAY()&lt;$C22)</formula>
    </cfRule>
  </conditionalFormatting>
  <conditionalFormatting sqref="C22">
    <cfRule type="cellIs" dxfId="231" priority="36" stopIfTrue="1" operator="lessThan">
      <formula>$B$2</formula>
    </cfRule>
  </conditionalFormatting>
  <conditionalFormatting sqref="C15">
    <cfRule type="expression" dxfId="230" priority="33">
      <formula>AND($C15-TODAY()&lt;30,TODAY()&lt;$C15)</formula>
    </cfRule>
  </conditionalFormatting>
  <conditionalFormatting sqref="C15">
    <cfRule type="cellIs" dxfId="229" priority="34" stopIfTrue="1" operator="lessThan">
      <formula>$B$2</formula>
    </cfRule>
  </conditionalFormatting>
  <conditionalFormatting sqref="C17">
    <cfRule type="expression" dxfId="228" priority="31">
      <formula>AND($C17-TODAY()&lt;30,TODAY()&lt;$C17)</formula>
    </cfRule>
  </conditionalFormatting>
  <conditionalFormatting sqref="C17">
    <cfRule type="cellIs" dxfId="227" priority="32" stopIfTrue="1" operator="lessThan">
      <formula>$B$2</formula>
    </cfRule>
  </conditionalFormatting>
  <conditionalFormatting sqref="C19">
    <cfRule type="expression" dxfId="226" priority="29">
      <formula>AND($C19-TODAY()&lt;30,TODAY()&lt;$C19)</formula>
    </cfRule>
  </conditionalFormatting>
  <conditionalFormatting sqref="C19">
    <cfRule type="cellIs" dxfId="225" priority="30" stopIfTrue="1" operator="lessThan">
      <formula>$B$2</formula>
    </cfRule>
  </conditionalFormatting>
  <conditionalFormatting sqref="C21">
    <cfRule type="expression" dxfId="224" priority="27">
      <formula>AND($C21-TODAY()&lt;30,TODAY()&lt;$C21)</formula>
    </cfRule>
  </conditionalFormatting>
  <conditionalFormatting sqref="C21">
    <cfRule type="cellIs" dxfId="223" priority="28" stopIfTrue="1" operator="lessThan">
      <formula>$B$2</formula>
    </cfRule>
  </conditionalFormatting>
  <conditionalFormatting sqref="C23">
    <cfRule type="expression" dxfId="222" priority="25">
      <formula>AND($C23-TODAY()&lt;30,TODAY()&lt;$C23)</formula>
    </cfRule>
  </conditionalFormatting>
  <conditionalFormatting sqref="C23">
    <cfRule type="cellIs" dxfId="221" priority="26" stopIfTrue="1" operator="lessThan">
      <formula>$B$2</formula>
    </cfRule>
  </conditionalFormatting>
  <conditionalFormatting sqref="F16">
    <cfRule type="cellIs" dxfId="220" priority="23" stopIfTrue="1" operator="lessThan">
      <formula>$B$2</formula>
    </cfRule>
  </conditionalFormatting>
  <conditionalFormatting sqref="F18">
    <cfRule type="cellIs" dxfId="219" priority="22" stopIfTrue="1" operator="lessThan">
      <formula>$B$2</formula>
    </cfRule>
  </conditionalFormatting>
  <conditionalFormatting sqref="F22">
    <cfRule type="cellIs" dxfId="218" priority="21" stopIfTrue="1" operator="lessThan">
      <formula>$B$2</formula>
    </cfRule>
  </conditionalFormatting>
  <conditionalFormatting sqref="F21">
    <cfRule type="cellIs" dxfId="217" priority="20" stopIfTrue="1" operator="lessThan">
      <formula>$B$2</formula>
    </cfRule>
  </conditionalFormatting>
  <conditionalFormatting sqref="F17">
    <cfRule type="cellIs" dxfId="216" priority="19" stopIfTrue="1" operator="lessThan">
      <formula>$B$2</formula>
    </cfRule>
  </conditionalFormatting>
  <conditionalFormatting sqref="B4:B14 E4:E14 B16:B23 E16:E23">
    <cfRule type="cellIs" dxfId="215" priority="18" stopIfTrue="1" operator="equal">
      <formula>"已过期"</formula>
    </cfRule>
  </conditionalFormatting>
  <conditionalFormatting sqref="A24:F24">
    <cfRule type="cellIs" dxfId="214" priority="14" stopIfTrue="1" operator="equal">
      <formula>"已过期"</formula>
    </cfRule>
  </conditionalFormatting>
  <conditionalFormatting sqref="F28">
    <cfRule type="expression" dxfId="213" priority="12">
      <formula>AND($E28-TODAY()&lt;30,TODAY()&lt;$E28)</formula>
    </cfRule>
  </conditionalFormatting>
  <conditionalFormatting sqref="F28">
    <cfRule type="cellIs" dxfId="212" priority="13" stopIfTrue="1" operator="lessThan">
      <formula>$B$2</formula>
    </cfRule>
  </conditionalFormatting>
  <conditionalFormatting sqref="F29">
    <cfRule type="expression" dxfId="211" priority="8" stopIfTrue="1">
      <formula>AND($E29-TODAY()&lt;30,TODAY()&lt;$E29)</formula>
    </cfRule>
  </conditionalFormatting>
  <conditionalFormatting sqref="F29">
    <cfRule type="cellIs" dxfId="210" priority="9" stopIfTrue="1" operator="lessThan">
      <formula>$B$2</formula>
    </cfRule>
  </conditionalFormatting>
  <conditionalFormatting sqref="B15">
    <cfRule type="cellIs" dxfId="209" priority="6" stopIfTrue="1" operator="equal">
      <formula>"已过期"</formula>
    </cfRule>
  </conditionalFormatting>
  <conditionalFormatting sqref="A15">
    <cfRule type="cellIs" dxfId="208" priority="5" stopIfTrue="1" operator="equal">
      <formula>"已过期"</formula>
    </cfRule>
  </conditionalFormatting>
  <conditionalFormatting sqref="C15">
    <cfRule type="expression" dxfId="207" priority="4">
      <formula>AND($C15-TODAY()&lt;30,TODAY()&lt;$C15)</formula>
    </cfRule>
  </conditionalFormatting>
  <conditionalFormatting sqref="E15">
    <cfRule type="cellIs" dxfId="206" priority="3" stopIfTrue="1" operator="equal">
      <formula>"已过期"</formula>
    </cfRule>
  </conditionalFormatting>
  <conditionalFormatting sqref="D15">
    <cfRule type="cellIs" dxfId="205" priority="2" stopIfTrue="1" operator="equal">
      <formula>"已过期"</formula>
    </cfRule>
  </conditionalFormatting>
  <conditionalFormatting sqref="F13">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151</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结果表（办公）</vt:lpstr>
      <vt:lpstr>成本法</vt:lpstr>
      <vt:lpstr>成本法 (元)</vt:lpstr>
      <vt:lpstr>假设开发法</vt:lpstr>
      <vt:lpstr>收益法 (元)</vt:lpstr>
      <vt:lpstr>酒店收入计算</vt:lpstr>
      <vt:lpstr>比较法-住宅</vt:lpstr>
      <vt:lpstr>结果表（商业）</vt:lpstr>
      <vt:lpstr>结果表（车位）</vt:lpstr>
      <vt:lpstr>比较法-办公</vt:lpstr>
      <vt:lpstr>比较法-商业</vt:lpstr>
      <vt:lpstr>比较法-商业1</vt:lpstr>
      <vt:lpstr>商业案例</vt:lpstr>
      <vt:lpstr>比较法-车位</vt:lpstr>
      <vt:lpstr>收益法（汇总）</vt:lpstr>
      <vt:lpstr>收益法（商业）</vt:lpstr>
      <vt:lpstr>收益法（办公）</vt:lpstr>
      <vt:lpstr>收益法（车位）</vt:lpstr>
      <vt:lpstr>现金流预测审核报告</vt:lpstr>
      <vt:lpstr>租赁明细</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2018-04-24T07:49:01Z</dcterms:modified>
</cp:coreProperties>
</file>