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比较法-办公" sheetId="34" r:id="rId22"/>
    <sheet name="比较法-商业" sheetId="33" r:id="rId23"/>
    <sheet name="商业案例" sheetId="84" r:id="rId24"/>
    <sheet name="比较法-车位" sheetId="35" r:id="rId25"/>
    <sheet name="收益法（汇总）" sheetId="70" state="hidden" r:id="rId26"/>
    <sheet name="收益法（办公）" sheetId="15" r:id="rId27"/>
    <sheet name="收益法 (元)" sheetId="67" state="hidden" r:id="rId28"/>
    <sheet name="酒店收入计算" sheetId="66" state="hidden" r:id="rId29"/>
    <sheet name="比较法-住宅" sheetId="21" state="hidden" r:id="rId30"/>
    <sheet name="收益法（商业）" sheetId="78" r:id="rId31"/>
    <sheet name="收益法（车位）" sheetId="77"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 sheetId="68"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现金流预测审核报告" sheetId="79" r:id="rId49"/>
    <sheet name="租赁明细" sheetId="80" r:id="rId50"/>
  </sheets>
  <definedNames>
    <definedName name="——" localSheetId="48" hidden="1">#REF!</definedName>
    <definedName name="——" hidden="1">#REF!</definedName>
    <definedName name="\0">#REF!</definedName>
    <definedName name="\3">#N/A</definedName>
    <definedName name="\4">#N/A</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 localSheetId="48">#REF!</definedName>
    <definedName name="\l">#REF!</definedName>
    <definedName name="\m">#REF!</definedName>
    <definedName name="\n">#REF!</definedName>
    <definedName name="\o">#REF!</definedName>
    <definedName name="\P" localSheetId="48">#REF!</definedName>
    <definedName name="\P">#REF!</definedName>
    <definedName name="\q">#N/A</definedName>
    <definedName name="\r">#REF!</definedName>
    <definedName name="\s">#REF!</definedName>
    <definedName name="\t" localSheetId="48">#REF!</definedName>
    <definedName name="\t">#REF!</definedName>
    <definedName name="\TB_1">#REF!</definedName>
    <definedName name="\TB_3">#REF!</definedName>
    <definedName name="\TB_4">#REF!</definedName>
    <definedName name="\TB_6">#REF!</definedName>
    <definedName name="\TB_7">#REF!</definedName>
    <definedName name="\TB_8">#REF!</definedName>
    <definedName name="\v">#REF!</definedName>
    <definedName name="\x">#REF!</definedName>
    <definedName name="\y">#REF!</definedName>
    <definedName name="\z">#REF!</definedName>
    <definedName name="\ㅈㅂ">#REF!</definedName>
    <definedName name="_" localSheetId="48">#REF!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#REF!</definedName>
    <definedName name="___ADD1">#REF!</definedName>
    <definedName name="___ADD2">#REF!</definedName>
    <definedName name="___ADD3">#REF!</definedName>
    <definedName name="___DAT1">#REF!</definedName>
    <definedName name="___DAT12">#REF!</definedName>
    <definedName name="___DAT13">#REF!</definedName>
    <definedName name="___DAT14">#REF!</definedName>
    <definedName name="___DAT2">#REF!</definedName>
    <definedName name="___DAT3">#REF!</definedName>
    <definedName name="___DAT6">#REF!</definedName>
    <definedName name="___DAT7">#REF!</definedName>
    <definedName name="___DAT9">#REF!</definedName>
    <definedName name="___FS1">#REF!</definedName>
    <definedName name="___IRR1">#REF!</definedName>
    <definedName name="___IRR2">#REF!</definedName>
    <definedName name="___IRR3">#REF!</definedName>
    <definedName name="___IRR4">#REF!</definedName>
    <definedName name="___IRR5">#REF!</definedName>
    <definedName name="___IRR6">#REF!</definedName>
    <definedName name="___Mei97">#REF!</definedName>
    <definedName name="___NO1">#REF!</definedName>
    <definedName name="___NO2">#REF!</definedName>
    <definedName name="___NO3">#REF!</definedName>
    <definedName name="___NO4">#REF!</definedName>
    <definedName name="___NO5">#REF!</definedName>
    <definedName name="___NO6">#REF!</definedName>
    <definedName name="___NO7">#REF!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48" hidden="1">#REF!</definedName>
    <definedName name="__123Graph_B" hidden="1">#REF!</definedName>
    <definedName name="__123Graph_C" localSheetId="48" hidden="1">#REF!</definedName>
    <definedName name="__123Graph_C" hidden="1">#REF!</definedName>
    <definedName name="__123Graph_D" localSheetId="48" hidden="1">#REF!</definedName>
    <definedName name="__123Graph_D" hidden="1">#REF!</definedName>
    <definedName name="__123Graph_LBL_A" localSheetId="48" hidden="1">#REF!</definedName>
    <definedName name="__123Graph_LBL_A" hidden="1">#REF!</definedName>
    <definedName name="__123Graph_LBL_C" localSheetId="48" hidden="1">#REF!</definedName>
    <definedName name="__123Graph_LBL_C" hidden="1">#REF!</definedName>
    <definedName name="__1FS1_">#REF!</definedName>
    <definedName name="__A70000">#REF!</definedName>
    <definedName name="__ACC1">#REF!</definedName>
    <definedName name="__ADD1">#REF!</definedName>
    <definedName name="__ADD2">#REF!</definedName>
    <definedName name="__ADD3">#REF!</definedName>
    <definedName name="__Aug08">#REF!</definedName>
    <definedName name="__DAT1">#REF!</definedName>
    <definedName name="__DAT10">#REF!</definedName>
    <definedName name="__DAT11">#REF!</definedName>
    <definedName name="__DAT12">#REF!</definedName>
    <definedName name="__DAT13">#REF!</definedName>
    <definedName name="__DAT14">#REF!</definedName>
    <definedName name="__DAT16">#REF!</definedName>
    <definedName name="__DAT2">#REF!</definedName>
    <definedName name="__DAT3">#REF!</definedName>
    <definedName name="__DAT5">#REF!</definedName>
    <definedName name="__DAT6">#REF!</definedName>
    <definedName name="__DAT7">#REF!</definedName>
    <definedName name="__DAT9">#REF!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#REF!</definedName>
    <definedName name="__IntlFixup" hidden="1">TRUE</definedName>
    <definedName name="__KE8" localSheetId="48" hidden="1">#REF!</definedName>
    <definedName name="__KE8" hidden="1">#REF!</definedName>
    <definedName name="__key11" localSheetId="48" hidden="1">#REF!</definedName>
    <definedName name="__key11" hidden="1">#REF!</definedName>
    <definedName name="__key12" localSheetId="48" hidden="1">#REF!</definedName>
    <definedName name="__key12" hidden="1">#REF!</definedName>
    <definedName name="__KEY123" localSheetId="48" hidden="1">#REF!</definedName>
    <definedName name="__KEY123" hidden="1">#REF!</definedName>
    <definedName name="__key2" localSheetId="48" hidden="1">#REF!</definedName>
    <definedName name="__key2" hidden="1">#REF!</definedName>
    <definedName name="__KEY3" localSheetId="48" hidden="1">#REF!</definedName>
    <definedName name="__KEY3" hidden="1">#REF!</definedName>
    <definedName name="__KEY4" localSheetId="48" hidden="1">#REF!</definedName>
    <definedName name="__KEY4" hidden="1">#REF!</definedName>
    <definedName name="__KEY5" localSheetId="48" hidden="1">#REF!</definedName>
    <definedName name="__KEY5" hidden="1">#REF!</definedName>
    <definedName name="__KEY6" localSheetId="48" hidden="1">#REF!</definedName>
    <definedName name="__KEY6" hidden="1">#REF!</definedName>
    <definedName name="__KEY7" localSheetId="48" hidden="1">#REF!</definedName>
    <definedName name="__KEY7" hidden="1">#REF!</definedName>
    <definedName name="__key8" localSheetId="48" hidden="1">#REF!</definedName>
    <definedName name="__key8" hidden="1">#REF!</definedName>
    <definedName name="__KEY90" localSheetId="48" hidden="1">#REF!</definedName>
    <definedName name="__KEY90" hidden="1">#REF!</definedName>
    <definedName name="__Mei97">#REF!</definedName>
    <definedName name="__NO1">#REF!</definedName>
    <definedName name="__NO2">#REF!</definedName>
    <definedName name="__NO3">#REF!</definedName>
    <definedName name="__NO4">#REF!</definedName>
    <definedName name="__NO5">#REF!</definedName>
    <definedName name="__NO6">#REF!</definedName>
    <definedName name="__NO7">#REF!</definedName>
    <definedName name="__PRN10">#N/A</definedName>
    <definedName name="__PRN3">#N/A</definedName>
    <definedName name="__PRN4">#N/A</definedName>
    <definedName name="__RAN1">#N/A</definedName>
    <definedName name="__tb2">#REF!</definedName>
    <definedName name="_05年" localSheetId="48">#REF!</definedName>
    <definedName name="_05年">#REF!</definedName>
    <definedName name="_06年" localSheetId="48">#REF!</definedName>
    <definedName name="_06年">#REF!</definedName>
    <definedName name="_07年" localSheetId="48">#REF!</definedName>
    <definedName name="_07年">#REF!</definedName>
    <definedName name="_1" hidden="1">#REF!</definedName>
    <definedName name="_10_F">#N/A</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hidden="1">#REF!</definedName>
    <definedName name="_16_F">#N/A</definedName>
    <definedName name="_165__123Graph_LBL_ACHART_1" hidden="1">#REF!</definedName>
    <definedName name="_17_F">#N/A</definedName>
    <definedName name="_18_F">#N/A</definedName>
    <definedName name="_181" localSheetId="48">#REF!</definedName>
    <definedName name="_181">#REF!</definedName>
    <definedName name="_19_F">#N/A</definedName>
    <definedName name="_198__123Graph_LBL_ACHART_2" hidden="1">#REF!</definedName>
    <definedName name="_1FS1_">#REF!</definedName>
    <definedName name="_2">#REF!</definedName>
    <definedName name="_20_F">#N/A</definedName>
    <definedName name="_21_F">#N/A</definedName>
    <definedName name="_22_F">#N/A</definedName>
    <definedName name="_23_F">#N/A</definedName>
    <definedName name="_231__123Graph_XCHART_1" hidden="1">#REF!</definedName>
    <definedName name="_24_25_F">#N/A</definedName>
    <definedName name="_264__123Graph_XCHART_2" hidden="1">#REF!</definedName>
    <definedName name="_2Z1_" hidden="1">{#N/A,#N/A,FALSE,"431"}</definedName>
    <definedName name="_3item">#REF!</definedName>
    <definedName name="_5item">#REF!</definedName>
    <definedName name="_9_F">#N/A</definedName>
    <definedName name="_94FAS01">#REF!</definedName>
    <definedName name="_94FAS02">#REF!</definedName>
    <definedName name="_94FAS03">#REF!</definedName>
    <definedName name="_94FAS04">#REF!</definedName>
    <definedName name="_94FAS05">#REF!</definedName>
    <definedName name="_94PRT01">#REF!</definedName>
    <definedName name="_94PRT02">#REF!</definedName>
    <definedName name="_94PRT03">#REF!</definedName>
    <definedName name="_94PRT04">#REF!</definedName>
    <definedName name="_94PRT05">#REF!</definedName>
    <definedName name="_94STAT">#REF!</definedName>
    <definedName name="_95FAS01">#REF!</definedName>
    <definedName name="_95FAS02">#REF!</definedName>
    <definedName name="_95FAS03">#REF!</definedName>
    <definedName name="_95FAS04">#REF!</definedName>
    <definedName name="_95FAS05">#REF!</definedName>
    <definedName name="_95PRT01">#REF!</definedName>
    <definedName name="_95PRT02">#REF!</definedName>
    <definedName name="_95PRT03">#REF!</definedName>
    <definedName name="_95PRT04">#REF!</definedName>
    <definedName name="_95PRT05">#REF!</definedName>
    <definedName name="_95STAT">#REF!</definedName>
    <definedName name="_96FAS01">#REF!</definedName>
    <definedName name="_96FAS02">#REF!</definedName>
    <definedName name="_96FAS03">#REF!</definedName>
    <definedName name="_96FAS04">#REF!</definedName>
    <definedName name="_96FAS05">#REF!</definedName>
    <definedName name="_96PRT01">#REF!</definedName>
    <definedName name="_96PRT02">#REF!</definedName>
    <definedName name="_96PRT03">#REF!</definedName>
    <definedName name="_96PRT04">#REF!</definedName>
    <definedName name="_96PRT05">#REF!</definedName>
    <definedName name="_96STAT">#REF!</definedName>
    <definedName name="_99__123Graph_ACHART_1" hidden="1">#REF!</definedName>
    <definedName name="_a1" hidden="1">{#N/A,#N/A,FALSE,"Virgin Flightdeck"}</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#REF!</definedName>
    <definedName name="_ACC1">#REF!</definedName>
    <definedName name="_ADD1">#REF!</definedName>
    <definedName name="_ADD2">#REF!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48" hidden="1">#REF!</definedName>
    <definedName name="_bdm.00F15E57F23F4487A4B12F6DFD9B3626.edm" hidden="1">#REF!</definedName>
    <definedName name="_bdm.08BDE7BD22C44CE28F5D0D5B51189703.edm" localSheetId="48" hidden="1">#REF!</definedName>
    <definedName name="_bdm.08BDE7BD22C44CE28F5D0D5B51189703.edm" hidden="1">#REF!</definedName>
    <definedName name="_bdm.1391F296018E4F11AC41EB0D3E8579DE.edm" localSheetId="48" hidden="1">#REF!</definedName>
    <definedName name="_bdm.1391F296018E4F11AC41EB0D3E8579DE.edm" hidden="1">#REF!</definedName>
    <definedName name="_bdm.20391623561240B2B1EABBD67CD1E618.edm" localSheetId="48" hidden="1">#REF!</definedName>
    <definedName name="_bdm.20391623561240B2B1EABBD67CD1E618.edm" hidden="1">#REF!</definedName>
    <definedName name="_bdm.2089412A858F440D933FDC4C6076D227.edm" localSheetId="48" hidden="1">#REF!</definedName>
    <definedName name="_bdm.2089412A858F440D933FDC4C6076D227.edm" hidden="1">#REF!</definedName>
    <definedName name="_bdm.24F6897F643A4D3095D22180081521B2.edm" localSheetId="48" hidden="1">#REF!</definedName>
    <definedName name="_bdm.24F6897F643A4D3095D22180081521B2.edm" hidden="1">#REF!</definedName>
    <definedName name="_bdm.269A87A5BA1947A08BF2392CCAAF3C34.edm" localSheetId="48" hidden="1">#REF!</definedName>
    <definedName name="_bdm.269A87A5BA1947A08BF2392CCAAF3C34.edm" hidden="1">#REF!</definedName>
    <definedName name="_bdm.269E9A8900B843BA8B8696E6D8E671B0.edm" localSheetId="48" hidden="1">#REF!</definedName>
    <definedName name="_bdm.269E9A8900B843BA8B8696E6D8E671B0.edm" hidden="1">#REF!</definedName>
    <definedName name="_bdm.2798E9889B2443419E70413B48B8285F.edm" localSheetId="48" hidden="1">#REF!</definedName>
    <definedName name="_bdm.2798E9889B2443419E70413B48B8285F.edm" hidden="1">#REF!</definedName>
    <definedName name="_bdm.2CC98A3865B1492B8F5444FACFF15B23.edm" localSheetId="48" hidden="1">#REF!</definedName>
    <definedName name="_bdm.2CC98A3865B1492B8F5444FACFF15B23.edm" hidden="1">#REF!</definedName>
    <definedName name="_bdm.3E999AE41FD049FF934A4835F435E693.edm" localSheetId="48" hidden="1">#REF!</definedName>
    <definedName name="_bdm.3E999AE41FD049FF934A4835F435E693.edm" hidden="1">#REF!</definedName>
    <definedName name="_bdm.4F143A8903A34DF0BE90F9BE600C63FF.edm" localSheetId="48" hidden="1">#REF!</definedName>
    <definedName name="_bdm.4F143A8903A34DF0BE90F9BE600C63FF.edm" hidden="1">#REF!</definedName>
    <definedName name="_bdm.5010A66FDA1D4A5C89B061EBD267E018.edm" localSheetId="48" hidden="1">#REF!</definedName>
    <definedName name="_bdm.5010A66FDA1D4A5C89B061EBD267E018.edm" hidden="1">#REF!</definedName>
    <definedName name="_bdm.52B1429C5B824DC5A8D67DDDD7440A42.edm" localSheetId="48" hidden="1">#REF!</definedName>
    <definedName name="_bdm.52B1429C5B824DC5A8D67DDDD7440A42.edm" hidden="1">#REF!</definedName>
    <definedName name="_bdm.5C14DE57E1DE4731B240752EF6F87992.edm" localSheetId="48" hidden="1">#REF!</definedName>
    <definedName name="_bdm.5C14DE57E1DE4731B240752EF6F87992.edm" hidden="1">#REF!</definedName>
    <definedName name="_bdm.61C626F9AC904D82AFA3751F239AFC9D.edm" localSheetId="48" hidden="1">#REF!</definedName>
    <definedName name="_bdm.61C626F9AC904D82AFA3751F239AFC9D.edm" hidden="1">#REF!</definedName>
    <definedName name="_bdm.6E398E79F289447CB18971BBBFB150E9.edm" localSheetId="48" hidden="1">#REF!</definedName>
    <definedName name="_bdm.6E398E79F289447CB18971BBBFB150E9.edm" hidden="1">#REF!</definedName>
    <definedName name="_bdm.6EDC14A313E04D06AB5549D45D4E7113.edm" localSheetId="48" hidden="1">#REF!</definedName>
    <definedName name="_bdm.6EDC14A313E04D06AB5549D45D4E7113.edm" hidden="1">#REF!</definedName>
    <definedName name="_bdm.7C9B8B76F3D44EAA99D648133627DA83.edm" localSheetId="48" hidden="1">#REF!</definedName>
    <definedName name="_bdm.7C9B8B76F3D44EAA99D648133627DA83.edm" hidden="1">#REF!</definedName>
    <definedName name="_bdm.7CAA823E6254450BA438245FC3BC22F5.edm" localSheetId="48" hidden="1">#REF!</definedName>
    <definedName name="_bdm.7CAA823E6254450BA438245FC3BC22F5.edm" hidden="1">#REF!</definedName>
    <definedName name="_bdm.810D9907712147CCB68C743A02D482F7.edm" localSheetId="48" hidden="1">#REF!</definedName>
    <definedName name="_bdm.810D9907712147CCB68C743A02D482F7.edm" hidden="1">#REF!</definedName>
    <definedName name="_bdm.850AE4BD2D5F4500BB3E0D8176B1F489.edm" localSheetId="48" hidden="1">#REF!</definedName>
    <definedName name="_bdm.850AE4BD2D5F4500BB3E0D8176B1F489.edm" hidden="1">#REF!</definedName>
    <definedName name="_bdm.87F863D88610437AA57CDCC66CC8CF42.edm" localSheetId="48" hidden="1">#REF!</definedName>
    <definedName name="_bdm.87F863D88610437AA57CDCC66CC8CF42.edm" hidden="1">#REF!</definedName>
    <definedName name="_bdm.96F5526D5AE245D1A7838FB955649623.edm" localSheetId="48" hidden="1">#REF!</definedName>
    <definedName name="_bdm.96F5526D5AE245D1A7838FB955649623.edm" hidden="1">#REF!</definedName>
    <definedName name="_bdm.A8544A84F9A14D60A8B9990AD19421C2.edm" localSheetId="48" hidden="1">#REF!</definedName>
    <definedName name="_bdm.A8544A84F9A14D60A8B9990AD19421C2.edm" hidden="1">#REF!</definedName>
    <definedName name="_bdm.A870654FE9C74404A16CADA08E1BE2F3.edm" localSheetId="48" hidden="1">#REF!</definedName>
    <definedName name="_bdm.A870654FE9C74404A16CADA08E1BE2F3.edm" hidden="1">#REF!</definedName>
    <definedName name="_bdm.B0BB30B513BE4AEB9426F6A0B3BB5524.edm" localSheetId="48" hidden="1">#REF!</definedName>
    <definedName name="_bdm.B0BB30B513BE4AEB9426F6A0B3BB5524.edm" hidden="1">#REF!</definedName>
    <definedName name="_bdm.B3A26AE0A20349E19F08C4F7A66AA4C1.edm" localSheetId="48" hidden="1">#REF!</definedName>
    <definedName name="_bdm.B3A26AE0A20349E19F08C4F7A66AA4C1.edm" hidden="1">#REF!</definedName>
    <definedName name="_bdm.BC73C1315733463ABA8F35CF36E670D2.edm" localSheetId="48" hidden="1">#REF!</definedName>
    <definedName name="_bdm.BC73C1315733463ABA8F35CF36E670D2.edm" hidden="1">#REF!</definedName>
    <definedName name="_bdm.BE93CD1B20EF49488901783F7254DDD2.edm" localSheetId="48" hidden="1">#REF!</definedName>
    <definedName name="_bdm.BE93CD1B20EF49488901783F7254DDD2.edm" hidden="1">#REF!</definedName>
    <definedName name="_bdm.C17B2E9B3DFB41019E65CB1F8647D1CA.edm" localSheetId="48" hidden="1">#REF!</definedName>
    <definedName name="_bdm.C17B2E9B3DFB41019E65CB1F8647D1CA.edm" hidden="1">#REF!</definedName>
    <definedName name="_bdm.C5CDD6CD08B64EB3B2FAD7133534E29E.edm" localSheetId="48" hidden="1">#REF!</definedName>
    <definedName name="_bdm.C5CDD6CD08B64EB3B2FAD7133534E29E.edm" hidden="1">#REF!</definedName>
    <definedName name="_bdm.C5FD2C8CCA304694AB7FE1AB75EE358C.edm" localSheetId="48" hidden="1">#REF!</definedName>
    <definedName name="_bdm.C5FD2C8CCA304694AB7FE1AB75EE358C.edm" hidden="1">#REF!</definedName>
    <definedName name="_bdm.CC4A53A98F4E41F296FEBA798896C973.edm" localSheetId="48" hidden="1">#REF!</definedName>
    <definedName name="_bdm.CC4A53A98F4E41F296FEBA798896C973.edm" hidden="1">#REF!</definedName>
    <definedName name="_bdm.DF13B76A3159427B8FE398AD45B24A7B.edm" localSheetId="48" hidden="1">#REF!</definedName>
    <definedName name="_bdm.DF13B76A3159427B8FE398AD45B24A7B.edm" hidden="1">#REF!</definedName>
    <definedName name="_bdm.E6B8CCCF08194C44AA39E3B9CC05F2A2.edm" localSheetId="48" hidden="1">#REF!</definedName>
    <definedName name="_bdm.E6B8CCCF08194C44AA39E3B9CC05F2A2.edm" hidden="1">#REF!</definedName>
    <definedName name="_bdm.EBA558FF80A64A19BD4F367A8AE758CB.edm" localSheetId="48" hidden="1">#REF!</definedName>
    <definedName name="_bdm.EBA558FF80A64A19BD4F367A8AE758CB.edm" hidden="1">#REF!</definedName>
    <definedName name="_bdm.F4DFCF610F804F0EBC635163893E69C5.edm" localSheetId="48" hidden="1">#REF!</definedName>
    <definedName name="_bdm.F4DFCF610F804F0EBC635163893E69C5.edm" hidden="1">#REF!</definedName>
    <definedName name="_bdm.F63B51BE9B66439E9072AB263D537CF8.edm" localSheetId="48" hidden="1">#REF!</definedName>
    <definedName name="_bdm.F63B51BE9B66439E9072AB263D537CF8.edm" hidden="1">#REF!</definedName>
    <definedName name="_CAO2" localSheetId="48">#REF!</definedName>
    <definedName name="_CAO2">#REF!</definedName>
    <definedName name="_CAO3" localSheetId="48">#REF!</definedName>
    <definedName name="_CAO3">#REF!</definedName>
    <definedName name="_cc" hidden="1">#REF!</definedName>
    <definedName name="_DAT1" localSheetId="48">#REF!</definedName>
    <definedName name="_DAT1">#REF!</definedName>
    <definedName name="_DAT10" localSheetId="48">#REF!</definedName>
    <definedName name="_DAT10">#REF!</definedName>
    <definedName name="_DAT11" localSheetId="48">#REF!</definedName>
    <definedName name="_DAT11">#REF!</definedName>
    <definedName name="_DAT12" localSheetId="48">#REF!</definedName>
    <definedName name="_DAT12">#REF!</definedName>
    <definedName name="_DAT13" localSheetId="48">#REF!</definedName>
    <definedName name="_DAT13">#REF!</definedName>
    <definedName name="_DAT14" localSheetId="48">#REF!</definedName>
    <definedName name="_DAT14">#REF!</definedName>
    <definedName name="_DAT15" localSheetId="48">#REF!</definedName>
    <definedName name="_DAT15">#REF!</definedName>
    <definedName name="_DAT16" localSheetId="48">#REF!</definedName>
    <definedName name="_DAT16">#REF!</definedName>
    <definedName name="_DAT17" localSheetId="48">#REF!</definedName>
    <definedName name="_DAT17">#REF!</definedName>
    <definedName name="_DAT18" localSheetId="48">#REF!</definedName>
    <definedName name="_DAT18">#REF!</definedName>
    <definedName name="_DAT3" localSheetId="48">#REF!</definedName>
    <definedName name="_DAT3">#REF!</definedName>
    <definedName name="_DAT4" localSheetId="48">#REF!</definedName>
    <definedName name="_DAT4">#REF!</definedName>
    <definedName name="_DAT5" localSheetId="48">#REF!</definedName>
    <definedName name="_DAT5">#REF!</definedName>
    <definedName name="_DAT6" localSheetId="48">#REF!</definedName>
    <definedName name="_DAT6">#REF!</definedName>
    <definedName name="_DAT7" localSheetId="48">#REF!</definedName>
    <definedName name="_DAT7">#REF!</definedName>
    <definedName name="_DAT8" localSheetId="48">#REF!</definedName>
    <definedName name="_DAT8">#REF!</definedName>
    <definedName name="_DAT9" localSheetId="48">#REF!</definedName>
    <definedName name="_DAT9">#REF!</definedName>
    <definedName name="_DCF1" hidden="1">{#N/A,#N/A,FALSE,"DCF Summary";#N/A,#N/A,FALSE,"Casema";#N/A,#N/A,FALSE,"Casema NoTel";#N/A,#N/A,FALSE,"UK";#N/A,#N/A,FALSE,"RCF";#N/A,#N/A,FALSE,"Intercable CZ";#N/A,#N/A,FALSE,"Interkabel P"}</definedName>
    <definedName name="_Dist_Bin" localSheetId="48" hidden="1">#REF!</definedName>
    <definedName name="_Dist_Bin" hidden="1">#REF!</definedName>
    <definedName name="_Dist_Values" localSheetId="48" hidden="1">#REF!</definedName>
    <definedName name="_Dist_Values" hidden="1">#REF!</definedName>
    <definedName name="_DPU2003">#REF!</definedName>
    <definedName name="_DPU2004">#REF!</definedName>
    <definedName name="_DPU2005">#REF!</definedName>
    <definedName name="_DPU2006">#REF!</definedName>
    <definedName name="_DPU2007">#REF!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1" hidden="1">'比较法-办公'!$A$1:$L$50</definedName>
    <definedName name="_xlnm._FilterDatabase" localSheetId="33" hidden="1">'比较法-仓储'!$A$1:$L$37</definedName>
    <definedName name="_xlnm._FilterDatabase" localSheetId="24" hidden="1">'比较法-车位'!$A$1:$L$39</definedName>
    <definedName name="_xlnm._FilterDatabase" localSheetId="32"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48" hidden="1">#REF!</definedName>
    <definedName name="_xlnm._FilterDatabase" localSheetId="10" hidden="1">项目基本情况!$A$42:$N$42</definedName>
    <definedName name="_xlnm._FilterDatabase" hidden="1">#REF!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48" hidden="1">#REF!</definedName>
    <definedName name="_in2" hidden="1">#REF!</definedName>
    <definedName name="_IRR1">#REF!</definedName>
    <definedName name="_IRR2">#REF!</definedName>
    <definedName name="_IRR3">#REF!</definedName>
    <definedName name="_IRR4">#REF!</definedName>
    <definedName name="_IRR5">#REF!</definedName>
    <definedName name="_IRR6">#REF!</definedName>
    <definedName name="_KE8" localSheetId="48" hidden="1">#REF!</definedName>
    <definedName name="_KE8" hidden="1">#REF!</definedName>
    <definedName name="_KeP1">#REF!</definedName>
    <definedName name="_KeP10">#REF!</definedName>
    <definedName name="_KeP11">#REF!</definedName>
    <definedName name="_KeP12">#REF!</definedName>
    <definedName name="_KeP13">#REF!</definedName>
    <definedName name="_KeP14">#REF!</definedName>
    <definedName name="_KeP15">#REF!</definedName>
    <definedName name="_KeP16">#REF!</definedName>
    <definedName name="_KeP17">#REF!</definedName>
    <definedName name="_KeP18">#REF!</definedName>
    <definedName name="_KeP19">#REF!</definedName>
    <definedName name="_KeP2">#REF!</definedName>
    <definedName name="_KeP20">#REF!</definedName>
    <definedName name="_KeP21">#REF!</definedName>
    <definedName name="_KeP22">#REF!</definedName>
    <definedName name="_KeP23">#REF!</definedName>
    <definedName name="_KeP24">#REF!</definedName>
    <definedName name="_KeP25">#REF!</definedName>
    <definedName name="_KeP26">#REF!</definedName>
    <definedName name="_KeP27">#REF!</definedName>
    <definedName name="_KeP28">#REF!</definedName>
    <definedName name="_KeP29">#REF!</definedName>
    <definedName name="_KeP3">#REF!</definedName>
    <definedName name="_KeP30">#REF!</definedName>
    <definedName name="_KeP31">#REF!</definedName>
    <definedName name="_KeP32">#REF!</definedName>
    <definedName name="_KeP33">#REF!</definedName>
    <definedName name="_KeP34">#REF!</definedName>
    <definedName name="_KeP35">#REF!</definedName>
    <definedName name="_KeP36">#REF!</definedName>
    <definedName name="_KeP37">#REF!</definedName>
    <definedName name="_KeP38">#REF!</definedName>
    <definedName name="_KeP39">#REF!</definedName>
    <definedName name="_KeP4">#REF!</definedName>
    <definedName name="_KeP40">#REF!</definedName>
    <definedName name="_KeP41">#REF!</definedName>
    <definedName name="_KeP42">#REF!</definedName>
    <definedName name="_KeP43">#REF!</definedName>
    <definedName name="_KeP44">#REF!</definedName>
    <definedName name="_KeP45">#REF!</definedName>
    <definedName name="_KeP46">#REF!</definedName>
    <definedName name="_KeP47">#REF!</definedName>
    <definedName name="_KeP48">#REF!</definedName>
    <definedName name="_KeP49">#REF!</definedName>
    <definedName name="_KeP5">#REF!</definedName>
    <definedName name="_KeP50">#REF!</definedName>
    <definedName name="_KeP51">#REF!</definedName>
    <definedName name="_KeP52">#REF!</definedName>
    <definedName name="_KeP53">#REF!</definedName>
    <definedName name="_KeP54">#REF!</definedName>
    <definedName name="_KeP55">#REF!</definedName>
    <definedName name="_KeP56">#REF!</definedName>
    <definedName name="_KeP57">#REF!</definedName>
    <definedName name="_KeP58">#REF!</definedName>
    <definedName name="_KeP59">#REF!</definedName>
    <definedName name="_KeP6">#REF!</definedName>
    <definedName name="_KeP60">#REF!</definedName>
    <definedName name="_KeP61">#REF!</definedName>
    <definedName name="_KeP62">#REF!</definedName>
    <definedName name="_KeP63">#REF!</definedName>
    <definedName name="_KeP64">#REF!</definedName>
    <definedName name="_KeP65">#REF!</definedName>
    <definedName name="_KeP66">#REF!</definedName>
    <definedName name="_KeP67">#REF!</definedName>
    <definedName name="_KeP68">#REF!</definedName>
    <definedName name="_KeP7">#REF!</definedName>
    <definedName name="_KeP8">#REF!</definedName>
    <definedName name="_KeP9">#REF!</definedName>
    <definedName name="_Key1" localSheetId="48" hidden="1">#REF!</definedName>
    <definedName name="_Key1" hidden="1">#REF!</definedName>
    <definedName name="_key11" localSheetId="48" hidden="1">#REF!</definedName>
    <definedName name="_key11" hidden="1">#REF!</definedName>
    <definedName name="_key12" localSheetId="48" hidden="1">#REF!</definedName>
    <definedName name="_key12" hidden="1">#REF!</definedName>
    <definedName name="_KEY123" localSheetId="48" hidden="1">#REF!</definedName>
    <definedName name="_KEY123" hidden="1">#REF!</definedName>
    <definedName name="_Key2" localSheetId="48" hidden="1">#REF!</definedName>
    <definedName name="_Key2" hidden="1">#REF!</definedName>
    <definedName name="_KEY3" localSheetId="48" hidden="1">#REF!</definedName>
    <definedName name="_KEY3" hidden="1">#REF!</definedName>
    <definedName name="_KEY4" localSheetId="48" hidden="1">#REF!</definedName>
    <definedName name="_KEY4" hidden="1">#REF!</definedName>
    <definedName name="_KEY5" localSheetId="48" hidden="1">#REF!</definedName>
    <definedName name="_KEY5" hidden="1">#REF!</definedName>
    <definedName name="_KEY6" localSheetId="48" hidden="1">#REF!</definedName>
    <definedName name="_KEY6" hidden="1">#REF!</definedName>
    <definedName name="_KEY7" localSheetId="48" hidden="1">#REF!</definedName>
    <definedName name="_KEY7" hidden="1">#REF!</definedName>
    <definedName name="_key8" localSheetId="48" hidden="1">#REF!</definedName>
    <definedName name="_key8" hidden="1">#REF!</definedName>
    <definedName name="_KEY90" localSheetId="48" hidden="1">#REF!</definedName>
    <definedName name="_KEY90" hidden="1">#REF!</definedName>
    <definedName name="_km0411" localSheetId="48">#REF!</definedName>
    <definedName name="_km0411">#REF!</definedName>
    <definedName name="_LF12" localSheetId="48" hidden="1">#REF!</definedName>
    <definedName name="_LF12" hidden="1">#REF!</definedName>
    <definedName name="_M1110" hidden="1">{#N/A,#N/A,FALSE,"Aging"}</definedName>
    <definedName name="_MatInverse_In" hidden="1">#REF!</definedName>
    <definedName name="_MatInverse_Out" hidden="1">#REF!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#REF!</definedName>
    <definedName name="_NO2">#REF!</definedName>
    <definedName name="_NO3">#REF!</definedName>
    <definedName name="_NO4">#REF!</definedName>
    <definedName name="_NO5">#REF!</definedName>
    <definedName name="_NO6">#REF!</definedName>
    <definedName name="_NO7">#REF!</definedName>
    <definedName name="_Order1" hidden="1">255</definedName>
    <definedName name="_Order2" hidden="1">255</definedName>
    <definedName name="_PB01" localSheetId="48">#REF!</definedName>
    <definedName name="_PB01">#REF!</definedName>
    <definedName name="_PB02" localSheetId="48">#REF!</definedName>
    <definedName name="_PB02">#REF!</definedName>
    <definedName name="_PB04" localSheetId="48">#REF!</definedName>
    <definedName name="_PB04">#REF!</definedName>
    <definedName name="_PC01" localSheetId="48">#REF!</definedName>
    <definedName name="_PC01">#REF!</definedName>
    <definedName name="_PC02" localSheetId="48">#REF!</definedName>
    <definedName name="_PC02">#REF!</definedName>
    <definedName name="_PC03" localSheetId="48">#REF!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48">#REF!</definedName>
    <definedName name="_PZ01">#REF!</definedName>
    <definedName name="_PZ02" localSheetId="48">#REF!</definedName>
    <definedName name="_PZ02">#REF!</definedName>
    <definedName name="_PZ03" localSheetId="48">#REF!</definedName>
    <definedName name="_PZ03">#REF!</definedName>
    <definedName name="_PZ04" localSheetId="48">#REF!</definedName>
    <definedName name="_PZ04">#REF!</definedName>
    <definedName name="_PZ05" localSheetId="48">#REF!</definedName>
    <definedName name="_PZ05">#REF!</definedName>
    <definedName name="_PZ06" localSheetId="48">#REF!</definedName>
    <definedName name="_PZ06">#REF!</definedName>
    <definedName name="_RAN1">#N/A</definedName>
    <definedName name="_Regression_Out" hidden="1">#REF!</definedName>
    <definedName name="_Regression_X" hidden="1">#REF!</definedName>
    <definedName name="_Regression_Y" hidden="1">#REF!</definedName>
    <definedName name="_Sort" localSheetId="48" hidden="1">#REF!</definedName>
    <definedName name="_Sort" hidden="1">#REF!</definedName>
    <definedName name="_Table1_In1" localSheetId="48" hidden="1">#REF!</definedName>
    <definedName name="_Table1_In1" hidden="1">#REF!</definedName>
    <definedName name="_Table1_Out" localSheetId="48" hidden="1">#REF!</definedName>
    <definedName name="_Table1_Out" hidden="1">#REF!</definedName>
    <definedName name="_Table2_Out" localSheetId="48" hidden="1">#REF!</definedName>
    <definedName name="_Table2_Out" hidden="1">#REF!</definedName>
    <definedName name="_Table3_In2" hidden="1">#REF!</definedName>
    <definedName name="_tb2">#REF!</definedName>
    <definedName name="_TBC95" hidden="1">{#N/A,#N/A,FALSE,"Co_BalSht";#N/A,#N/A,FALSE,"Co_IncStmt";#N/A,#N/A,FALSE,"Cons_BalSht";#N/A,#N/A,FALSE,"Cons_IncStmt";#N/A,#N/A,FALSE,"Cashflow"}</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#REF!</definedName>
    <definedName name="a0">#REF!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#REF!</definedName>
    <definedName name="AC">#REF!</definedName>
    <definedName name="AccessDatabase" hidden="1">"Z:\FI\Finance\Liuxj\Export sales\pastdue-e 2004\France 04.mdb"</definedName>
    <definedName name="Accounts">#REF!</definedName>
    <definedName name="ActualColor" localSheetId="48">#REF!</definedName>
    <definedName name="ActualColor">#REF!</definedName>
    <definedName name="ActualLower" localSheetId="48">#REF!</definedName>
    <definedName name="ActualLower">#REF!</definedName>
    <definedName name="ActualTotal" localSheetId="48">#REF!</definedName>
    <definedName name="ActualTotal">#REF!</definedName>
    <definedName name="ActualTotalDetail" localSheetId="48">#REF!</definedName>
    <definedName name="ActualTotalDetail">#REF!</definedName>
    <definedName name="ActualTotalWeighted" localSheetId="48">#REF!</definedName>
    <definedName name="ActualTotalWeighted">#REF!</definedName>
    <definedName name="ActualUpper" localSheetId="48">#REF!</definedName>
    <definedName name="ActualUpper">#REF!</definedName>
    <definedName name="ada" hidden="1">{#N/A,#N/A,FALSE,"资产负债表";#N/A,#N/A,FALSE,"资产负债表"}</definedName>
    <definedName name="adaf" hidden="1">{#N/A,#N/A,FALSE,"资产负债表";#N/A,#N/A,FALSE,"资产负债表"}</definedName>
    <definedName name="ADD">#REF!</definedName>
    <definedName name="adee">#REF!</definedName>
    <definedName name="AdjustedITSD">#REF!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48">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48" hidden="1">#REF!</definedName>
    <definedName name="agfagagaga" hidden="1">#REF!</definedName>
    <definedName name="ahhah">#REF!</definedName>
    <definedName name="ai">#REF!</definedName>
    <definedName name="aidhaif" hidden="1">{#N/A,#N/A,FALSE,"资产负债表";#N/A,#N/A,FALSE,"资产负债表"}</definedName>
    <definedName name="AKKKKKKIIKK">#REF!</definedName>
    <definedName name="al">#REF!</definedName>
    <definedName name="ALBERT_COMPLEX">#REF!</definedName>
    <definedName name="All_Accounts" localSheetId="48">#REF!</definedName>
    <definedName name="All_Accounts">#REF!</definedName>
    <definedName name="All_Product_Houses" localSheetId="48">#REF!</definedName>
    <definedName name="All_Product_Houses">#REF!</definedName>
    <definedName name="All_Product_Lines" localSheetId="48">#REF!</definedName>
    <definedName name="All_Product_Lines">#REF!</definedName>
    <definedName name="AllCountries" localSheetId="48">#REF!</definedName>
    <definedName name="AllCountries">#REF!</definedName>
    <definedName name="Amortization">#REF!</definedName>
    <definedName name="Amortization_Charles">#REF!</definedName>
    <definedName name="anakf" hidden="1">{#N/A,#N/A,FALSE,"资产负债表";#N/A,#N/A,FALSE,"资产负债表"}</definedName>
    <definedName name="Angela" localSheetId="48">Main.SAPF4Help()</definedName>
    <definedName name="Angela">Main.SAPF4Help()</definedName>
    <definedName name="anscount" hidden="1">1</definedName>
    <definedName name="AP" localSheetId="48">Main.SAPF4Help()</definedName>
    <definedName name="AP">Main.SAPF4Help()</definedName>
    <definedName name="appl" localSheetId="48">#REF!</definedName>
    <definedName name="appl">#REF!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48" hidden="1">#REF!</definedName>
    <definedName name="AS2StaticLS" hidden="1">#REF!</definedName>
    <definedName name="AS2SyncStepLS" hidden="1">0</definedName>
    <definedName name="AS2TickmarkLS" localSheetId="48"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48" hidden="1">#REF!</definedName>
    <definedName name="asdffasfasdfasdsd" hidden="1">#REF!</definedName>
    <definedName name="asdgfdsafdsaf" localSheetId="48" hidden="1">#REF!</definedName>
    <definedName name="asdgfdsafdsaf" hidden="1">#REF!</definedName>
    <definedName name="ased">#REF!</definedName>
    <definedName name="asfd" hidden="1">{"HOMEPAGE",#N/A,FALSE,"HOME";"Report1_Q1",#N/A,FALSE,"REPORT1"}</definedName>
    <definedName name="asset_value">#REF!</definedName>
    <definedName name="ATSeXToEUR" localSheetId="48" hidden="1">1/EUReXToATS</definedName>
    <definedName name="ATSeXToEUR" hidden="1">1/EUReXToATS</definedName>
    <definedName name="August">#REF!</definedName>
    <definedName name="avavav" localSheetId="48" hidden="1">#REF!</definedName>
    <definedName name="avavav" hidden="1">#REF!</definedName>
    <definedName name="AW" localSheetId="48">#REF!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#REF!</definedName>
    <definedName name="azasxassx" localSheetId="48"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#REF!</definedName>
    <definedName name="b_3">#REF!</definedName>
    <definedName name="b_4">#REF!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48">#REF!</definedName>
    <definedName name="BalSheet">#REF!</definedName>
    <definedName name="BalSheet_Agere" localSheetId="48">#REF!</definedName>
    <definedName name="BalSheet_Agere">#REF!</definedName>
    <definedName name="BalSheet_Continuing" localSheetId="48">#REF!</definedName>
    <definedName name="BalSheet_Continuing">#REF!</definedName>
    <definedName name="BalSheet_Dec_Continuing" localSheetId="48">#REF!</definedName>
    <definedName name="BalSheet_Dec_Continuing">#REF!</definedName>
    <definedName name="BalSheet_March_Continuing" localSheetId="48">#REF!</definedName>
    <definedName name="BalSheet_March_Continuing">#REF!</definedName>
    <definedName name="BarWidth" localSheetId="48">#REF!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48" hidden="1">1/EUReXToBEF</definedName>
    <definedName name="BEFeXToEUR" hidden="1">1/EUReXToBEF</definedName>
    <definedName name="BFOC" hidden="1">{"'0103'!$A$455:$O$585"}</definedName>
    <definedName name="BFOC1" localSheetId="48">#REF!</definedName>
    <definedName name="BFOC1">#REF!</definedName>
    <definedName name="BFOC2" localSheetId="48">#REF!</definedName>
    <definedName name="BFOC2">#REF!</definedName>
    <definedName name="BFOC3" localSheetId="48">#REF!</definedName>
    <definedName name="BFOC3">#REF!</definedName>
    <definedName name="BG_Del" hidden="1">15</definedName>
    <definedName name="BG_Ins" hidden="1">4</definedName>
    <definedName name="BG_Mod" hidden="1">6</definedName>
    <definedName name="BGT1FAS1">#REF!</definedName>
    <definedName name="BGT1FAS2">#REF!</definedName>
    <definedName name="BGT1FAS3">#REF!</definedName>
    <definedName name="BGT1FAS4">#REF!</definedName>
    <definedName name="BGT1FAS5">#REF!</definedName>
    <definedName name="BGT1PRT1">#REF!</definedName>
    <definedName name="BGT1PRT2">#REF!</definedName>
    <definedName name="BGT1PRT3">#REF!</definedName>
    <definedName name="BGT1PRT4">#REF!</definedName>
    <definedName name="BGT1PRT5">#REF!</definedName>
    <definedName name="BGT1STAT">#REF!</definedName>
    <definedName name="BGT2FAS1">#REF!</definedName>
    <definedName name="BGT2FAS2">#REF!</definedName>
    <definedName name="BGT2FAS3">#REF!</definedName>
    <definedName name="BGT2FAS4">#REF!</definedName>
    <definedName name="BGT2FAS5">#REF!</definedName>
    <definedName name="BGT2PRT1">#REF!</definedName>
    <definedName name="BGT2PRT2">#REF!</definedName>
    <definedName name="BGT2PRT3">#REF!</definedName>
    <definedName name="BGT2PRT4">#REF!</definedName>
    <definedName name="BGT2PRT5">#REF!</definedName>
    <definedName name="BGT2STAT">#REF!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48" hidden="1">#REF!</definedName>
    <definedName name="BLPB10" hidden="1">#REF!</definedName>
    <definedName name="BLPB11" localSheetId="48" hidden="1">#REF!</definedName>
    <definedName name="BLPB11" hidden="1">#REF!</definedName>
    <definedName name="BLPB12" localSheetId="48" hidden="1">#REF!</definedName>
    <definedName name="BLPB12" hidden="1">#REF!</definedName>
    <definedName name="BLPB13" localSheetId="48" hidden="1">#REF!</definedName>
    <definedName name="BLPB13" hidden="1">#REF!</definedName>
    <definedName name="BLPB14" localSheetId="48" hidden="1">#REF!</definedName>
    <definedName name="BLPB14" hidden="1">#REF!</definedName>
    <definedName name="BLPB15" localSheetId="48" hidden="1">#REF!</definedName>
    <definedName name="BLPB15" hidden="1">#REF!</definedName>
    <definedName name="BLPB16" localSheetId="48" hidden="1">#REF!</definedName>
    <definedName name="BLPB16" hidden="1">#REF!</definedName>
    <definedName name="BLPB17" localSheetId="48" hidden="1">#REF!</definedName>
    <definedName name="BLPB17" hidden="1">#REF!</definedName>
    <definedName name="BLPB18" localSheetId="48" hidden="1">#REF!</definedName>
    <definedName name="BLPB18" hidden="1">#REF!</definedName>
    <definedName name="BLPB19" localSheetId="48" hidden="1">#REF!</definedName>
    <definedName name="BLPB19" hidden="1">#REF!</definedName>
    <definedName name="BLPB2" localSheetId="48" hidden="1">#REF!</definedName>
    <definedName name="BLPB2" hidden="1">#REF!</definedName>
    <definedName name="BLPB20" localSheetId="48" hidden="1">#REF!</definedName>
    <definedName name="BLPB20" hidden="1">#REF!</definedName>
    <definedName name="BLPB21" localSheetId="48" hidden="1">#REF!</definedName>
    <definedName name="BLPB21" hidden="1">#REF!</definedName>
    <definedName name="BLPB22" localSheetId="48" hidden="1">#REF!</definedName>
    <definedName name="BLPB22" hidden="1">#REF!</definedName>
    <definedName name="BLPB23" localSheetId="48" hidden="1">#REF!</definedName>
    <definedName name="BLPB23" hidden="1">#REF!</definedName>
    <definedName name="BLPB24" localSheetId="48" hidden="1">#REF!</definedName>
    <definedName name="BLPB24" hidden="1">#REF!</definedName>
    <definedName name="BLPB25" localSheetId="48" hidden="1">#REF!</definedName>
    <definedName name="BLPB25" hidden="1">#REF!</definedName>
    <definedName name="BLPB26" localSheetId="48" hidden="1">#REF!</definedName>
    <definedName name="BLPB26" hidden="1">#REF!</definedName>
    <definedName name="BLPB27" localSheetId="48" hidden="1">#REF!</definedName>
    <definedName name="BLPB27" hidden="1">#REF!</definedName>
    <definedName name="BLPB28" localSheetId="48" hidden="1">#REF!</definedName>
    <definedName name="BLPB28" hidden="1">#REF!</definedName>
    <definedName name="BLPB29" localSheetId="48" hidden="1">#REF!</definedName>
    <definedName name="BLPB29" hidden="1">#REF!</definedName>
    <definedName name="BLPB3" localSheetId="48" hidden="1">#REF!</definedName>
    <definedName name="BLPB3" hidden="1">#REF!</definedName>
    <definedName name="BLPB30" localSheetId="48" hidden="1">#REF!</definedName>
    <definedName name="BLPB30" hidden="1">#REF!</definedName>
    <definedName name="BLPB4" localSheetId="48" hidden="1">#REF!</definedName>
    <definedName name="BLPB4" hidden="1">#REF!</definedName>
    <definedName name="BLPB5" localSheetId="48" hidden="1">#REF!</definedName>
    <definedName name="BLPB5" hidden="1">#REF!</definedName>
    <definedName name="BLPB6" localSheetId="48" hidden="1">#REF!</definedName>
    <definedName name="BLPB6" hidden="1">#REF!</definedName>
    <definedName name="BLPB7" localSheetId="48" hidden="1">#REF!</definedName>
    <definedName name="BLPB7" hidden="1">#REF!</definedName>
    <definedName name="BLPB8" localSheetId="48" hidden="1">#REF!</definedName>
    <definedName name="BLPB8" hidden="1">#REF!</definedName>
    <definedName name="BLPB9" localSheetId="48" hidden="1">#REF!</definedName>
    <definedName name="BLPB9" hidden="1">#REF!</definedName>
    <definedName name="BLPH1" localSheetId="48" hidden="1">#REF!</definedName>
    <definedName name="BLPH1" hidden="1">#REF!</definedName>
    <definedName name="BLPH10" localSheetId="48" hidden="1">#REF!</definedName>
    <definedName name="BLPH10" hidden="1">#REF!</definedName>
    <definedName name="BLPH11" localSheetId="48" hidden="1">#REF!</definedName>
    <definedName name="BLPH11" hidden="1">#REF!</definedName>
    <definedName name="BLPH12" localSheetId="48" hidden="1">#REF!</definedName>
    <definedName name="BLPH12" hidden="1">#REF!</definedName>
    <definedName name="BLPH13" localSheetId="48" hidden="1">#REF!</definedName>
    <definedName name="BLPH13" hidden="1">#REF!</definedName>
    <definedName name="BLPH14" localSheetId="48" hidden="1">#REF!</definedName>
    <definedName name="BLPH14" hidden="1">#REF!</definedName>
    <definedName name="BLPH15" localSheetId="48" hidden="1">#REF!</definedName>
    <definedName name="BLPH15" hidden="1">#REF!</definedName>
    <definedName name="BLPH16" localSheetId="48" hidden="1">#REF!</definedName>
    <definedName name="BLPH16" hidden="1">#REF!</definedName>
    <definedName name="BLPH17" localSheetId="48" hidden="1">#REF!</definedName>
    <definedName name="BLPH17" hidden="1">#REF!</definedName>
    <definedName name="BLPH18" localSheetId="48" hidden="1">#REF!</definedName>
    <definedName name="BLPH18" hidden="1">#REF!</definedName>
    <definedName name="BLPH19" localSheetId="48" hidden="1">#REF!</definedName>
    <definedName name="BLPH19" hidden="1">#REF!</definedName>
    <definedName name="BLPH2" localSheetId="48" hidden="1">#REF!</definedName>
    <definedName name="BLPH2" hidden="1">#REF!</definedName>
    <definedName name="BLPH20" localSheetId="48" hidden="1">#REF!</definedName>
    <definedName name="BLPH20" hidden="1">#REF!</definedName>
    <definedName name="BLPH21" localSheetId="48" hidden="1">#REF!</definedName>
    <definedName name="BLPH21" hidden="1">#REF!</definedName>
    <definedName name="BLPH22" localSheetId="48" hidden="1">#REF!</definedName>
    <definedName name="BLPH22" hidden="1">#REF!</definedName>
    <definedName name="BLPH23" localSheetId="48" hidden="1">#REF!</definedName>
    <definedName name="BLPH23" hidden="1">#REF!</definedName>
    <definedName name="BLPH24" localSheetId="48" hidden="1">#REF!</definedName>
    <definedName name="BLPH24" hidden="1">#REF!</definedName>
    <definedName name="BLPH25" localSheetId="48" hidden="1">#REF!</definedName>
    <definedName name="BLPH25" hidden="1">#REF!</definedName>
    <definedName name="BLPH26" localSheetId="48" hidden="1">#REF!</definedName>
    <definedName name="BLPH26" hidden="1">#REF!</definedName>
    <definedName name="BLPH27" localSheetId="48" hidden="1">#REF!</definedName>
    <definedName name="BLPH27" hidden="1">#REF!</definedName>
    <definedName name="BLPH28" localSheetId="48" hidden="1">#REF!</definedName>
    <definedName name="BLPH28" hidden="1">#REF!</definedName>
    <definedName name="BLPH29" localSheetId="48" hidden="1">#REF!</definedName>
    <definedName name="BLPH29" hidden="1">#REF!</definedName>
    <definedName name="BLPH3" localSheetId="48" hidden="1">#REF!</definedName>
    <definedName name="BLPH3" hidden="1">#REF!</definedName>
    <definedName name="BLPH30" localSheetId="48" hidden="1">#REF!</definedName>
    <definedName name="BLPH30" hidden="1">#REF!</definedName>
    <definedName name="BLPH31" localSheetId="48" hidden="1">#REF!</definedName>
    <definedName name="BLPH31" hidden="1">#REF!</definedName>
    <definedName name="BLPH32" localSheetId="48" hidden="1">#REF!</definedName>
    <definedName name="BLPH32" hidden="1">#REF!</definedName>
    <definedName name="BLPH33" localSheetId="48" hidden="1">#REF!</definedName>
    <definedName name="BLPH33" hidden="1">#REF!</definedName>
    <definedName name="BLPH34" localSheetId="48" hidden="1">#REF!</definedName>
    <definedName name="BLPH34" hidden="1">#REF!</definedName>
    <definedName name="BLPH35" localSheetId="48" hidden="1">#REF!</definedName>
    <definedName name="BLPH35" hidden="1">#REF!</definedName>
    <definedName name="BLPH36" localSheetId="48" hidden="1">#REF!</definedName>
    <definedName name="BLPH36" hidden="1">#REF!</definedName>
    <definedName name="BLPH37" localSheetId="48" hidden="1">#REF!</definedName>
    <definedName name="BLPH37" hidden="1">#REF!</definedName>
    <definedName name="BLPH38" localSheetId="48" hidden="1">#REF!</definedName>
    <definedName name="BLPH38" hidden="1">#REF!</definedName>
    <definedName name="BLPH39" localSheetId="48" hidden="1">#REF!</definedName>
    <definedName name="BLPH39" hidden="1">#REF!</definedName>
    <definedName name="BLPH4" localSheetId="48" hidden="1">#REF!</definedName>
    <definedName name="BLPH4" hidden="1">#REF!</definedName>
    <definedName name="BLPH40" localSheetId="48" hidden="1">#REF!</definedName>
    <definedName name="BLPH40" hidden="1">#REF!</definedName>
    <definedName name="BLPH41" localSheetId="48" hidden="1">#REF!</definedName>
    <definedName name="BLPH41" hidden="1">#REF!</definedName>
    <definedName name="BLPH42" localSheetId="48" hidden="1">#REF!</definedName>
    <definedName name="BLPH42" hidden="1">#REF!</definedName>
    <definedName name="BLPH43" localSheetId="48" hidden="1">#REF!</definedName>
    <definedName name="BLPH43" hidden="1">#REF!</definedName>
    <definedName name="BLPH44" localSheetId="48" hidden="1">#REF!</definedName>
    <definedName name="BLPH44" hidden="1">#REF!</definedName>
    <definedName name="BLPH45" localSheetId="48" hidden="1">#REF!</definedName>
    <definedName name="BLPH45" hidden="1">#REF!</definedName>
    <definedName name="BLPH46" localSheetId="48" hidden="1">#REF!</definedName>
    <definedName name="BLPH46" hidden="1">#REF!</definedName>
    <definedName name="BLPH47" localSheetId="48" hidden="1">#REF!</definedName>
    <definedName name="BLPH47" hidden="1">#REF!</definedName>
    <definedName name="BLPH48" localSheetId="48" hidden="1">#REF!</definedName>
    <definedName name="BLPH48" hidden="1">#REF!</definedName>
    <definedName name="BLPH49" localSheetId="48" hidden="1">#REF!</definedName>
    <definedName name="BLPH49" hidden="1">#REF!</definedName>
    <definedName name="BLPH5" localSheetId="48" hidden="1">#REF!</definedName>
    <definedName name="BLPH5" hidden="1">#REF!</definedName>
    <definedName name="BLPH50" localSheetId="48" hidden="1">#REF!</definedName>
    <definedName name="BLPH50" hidden="1">#REF!</definedName>
    <definedName name="BLPH51" localSheetId="48" hidden="1">#REF!</definedName>
    <definedName name="BLPH51" hidden="1">#REF!</definedName>
    <definedName name="BLPH52" localSheetId="48" hidden="1">#REF!</definedName>
    <definedName name="BLPH52" hidden="1">#REF!</definedName>
    <definedName name="BLPH53" localSheetId="48" hidden="1">#REF!</definedName>
    <definedName name="BLPH53" hidden="1">#REF!</definedName>
    <definedName name="BLPH54" localSheetId="48" hidden="1">#REF!</definedName>
    <definedName name="BLPH54" hidden="1">#REF!</definedName>
    <definedName name="BLPH55" localSheetId="48" hidden="1">#REF!</definedName>
    <definedName name="BLPH55" hidden="1">#REF!</definedName>
    <definedName name="BLPH56" localSheetId="48" hidden="1">#REF!</definedName>
    <definedName name="BLPH56" hidden="1">#REF!</definedName>
    <definedName name="BLPH57" localSheetId="48" hidden="1">#REF!</definedName>
    <definedName name="BLPH57" hidden="1">#REF!</definedName>
    <definedName name="BLPH58" localSheetId="48" hidden="1">#REF!</definedName>
    <definedName name="BLPH58" hidden="1">#REF!</definedName>
    <definedName name="BLPH59" localSheetId="48" hidden="1">#REF!</definedName>
    <definedName name="BLPH59" hidden="1">#REF!</definedName>
    <definedName name="BLPH6" localSheetId="48" hidden="1">#REF!</definedName>
    <definedName name="BLPH6" hidden="1">#REF!</definedName>
    <definedName name="BLPH60" localSheetId="48" hidden="1">#REF!</definedName>
    <definedName name="BLPH60" hidden="1">#REF!</definedName>
    <definedName name="BLPH7" localSheetId="48" hidden="1">#REF!</definedName>
    <definedName name="BLPH7" hidden="1">#REF!</definedName>
    <definedName name="BLPH8" localSheetId="48" hidden="1">#REF!</definedName>
    <definedName name="BLPH8" hidden="1">#REF!</definedName>
    <definedName name="BLPH9" localSheetId="48"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#REF!</definedName>
    <definedName name="bqt">#REF!</definedName>
    <definedName name="bs" hidden="1">{"toptrial",#N/A,TRUE,"toptrial";"adjustment",#N/A,TRUE,"toptrial";"voucher",#N/A,TRUE,"toptrial"}</definedName>
    <definedName name="bs건설">#REF!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#REF!</definedName>
    <definedName name="BUDGET2">#REF!</definedName>
    <definedName name="BUGIS_VILLAGE">#REF!</definedName>
    <definedName name="C_">#REF!</definedName>
    <definedName name="CAIRNHILL_PLACE">#REF!</definedName>
    <definedName name="CALA" localSheetId="48">Main.SAPF4Help()</definedName>
    <definedName name="CALA">Main.SAPF4Help()</definedName>
    <definedName name="calc">1</definedName>
    <definedName name="CalloutFontSize" localSheetId="48">#REF!</definedName>
    <definedName name="CalloutFontSize">#REF!</definedName>
    <definedName name="CAOColor" localSheetId="48">#REF!</definedName>
    <definedName name="CAOColor">#REF!</definedName>
    <definedName name="CAOTotal" localSheetId="48">#REF!</definedName>
    <definedName name="CAOTotal">#REF!</definedName>
    <definedName name="CAOTotalDetail" localSheetId="48">#REF!</definedName>
    <definedName name="CAOTotalDetail">#REF!</definedName>
    <definedName name="CAOTotalWeighted" localSheetId="48">#REF!</definedName>
    <definedName name="CAOTotalWeighted">#REF!</definedName>
    <definedName name="CapIncP1">#REF!</definedName>
    <definedName name="CapIncP10">#REF!</definedName>
    <definedName name="CapIncP11">#REF!</definedName>
    <definedName name="CapIncP12">#REF!</definedName>
    <definedName name="CapIncP13">#REF!</definedName>
    <definedName name="CapIncP14">#REF!</definedName>
    <definedName name="CapIncP15">#REF!</definedName>
    <definedName name="CapIncP16">#REF!</definedName>
    <definedName name="CapIncP17">#REF!</definedName>
    <definedName name="CapIncP18">#REF!</definedName>
    <definedName name="CapIncP19">#REF!</definedName>
    <definedName name="CapIncP2">#REF!</definedName>
    <definedName name="CapIncP20">#REF!</definedName>
    <definedName name="CapIncP21">#REF!</definedName>
    <definedName name="CapIncP22">#REF!</definedName>
    <definedName name="CapIncP23">#REF!</definedName>
    <definedName name="CapIncP24">#REF!</definedName>
    <definedName name="CapIncP25">#REF!</definedName>
    <definedName name="CapIncP26">#REF!</definedName>
    <definedName name="CapIncP27">#REF!</definedName>
    <definedName name="CapIncP28">#REF!</definedName>
    <definedName name="CapIncP29">#REF!</definedName>
    <definedName name="CapIncP3">#REF!</definedName>
    <definedName name="CapIncP30">#REF!</definedName>
    <definedName name="CapIncP31">#REF!</definedName>
    <definedName name="CapIncP32">#REF!</definedName>
    <definedName name="CapIncP33">#REF!</definedName>
    <definedName name="CapIncP34">#REF!</definedName>
    <definedName name="CapIncP35">#REF!</definedName>
    <definedName name="CapIncP36">#REF!</definedName>
    <definedName name="CapIncP37">#REF!</definedName>
    <definedName name="CapIncP38">#REF!</definedName>
    <definedName name="CapIncP39">#REF!</definedName>
    <definedName name="CapIncP4">#REF!</definedName>
    <definedName name="CapIncP40">#REF!</definedName>
    <definedName name="CapIncP41">#REF!</definedName>
    <definedName name="CapIncP42">#REF!</definedName>
    <definedName name="CapIncP43">#REF!</definedName>
    <definedName name="CapIncP44">#REF!</definedName>
    <definedName name="CapIncP45">#REF!</definedName>
    <definedName name="CapIncP46">#REF!</definedName>
    <definedName name="CapIncP47">#REF!</definedName>
    <definedName name="CapIncP48">#REF!</definedName>
    <definedName name="CapIncP49">#REF!</definedName>
    <definedName name="CapIncP5">#REF!</definedName>
    <definedName name="CapIncP50">#REF!</definedName>
    <definedName name="CapIncP51">#REF!</definedName>
    <definedName name="CapIncP52">#REF!</definedName>
    <definedName name="CapIncP53">#REF!</definedName>
    <definedName name="CapIncP54">#REF!</definedName>
    <definedName name="CapIncP55">#REF!</definedName>
    <definedName name="CapIncP56">#REF!</definedName>
    <definedName name="CapIncP57">#REF!</definedName>
    <definedName name="CapIncP58">#REF!</definedName>
    <definedName name="CapIncP59">#REF!</definedName>
    <definedName name="CapIncP6">#REF!</definedName>
    <definedName name="CapIncP60">#REF!</definedName>
    <definedName name="CapIncP61">#REF!</definedName>
    <definedName name="CapIncP62">#REF!</definedName>
    <definedName name="CapIncP63">#REF!</definedName>
    <definedName name="CapIncP64">#REF!</definedName>
    <definedName name="CapIncP65">#REF!</definedName>
    <definedName name="CapIncP66">#REF!</definedName>
    <definedName name="CapIncP67">#REF!</definedName>
    <definedName name="CapIncP68">#REF!</definedName>
    <definedName name="CapIncP7">#REF!</definedName>
    <definedName name="CapIncP8">#REF!</definedName>
    <definedName name="CapIncP9">#REF!</definedName>
    <definedName name="Capital97Data" localSheetId="48">#REF!</definedName>
    <definedName name="Capital97Data">#REF!</definedName>
    <definedName name="capp1">#REF!</definedName>
    <definedName name="Capp10">#REF!</definedName>
    <definedName name="Capp11">#REF!</definedName>
    <definedName name="CapP12">#REF!</definedName>
    <definedName name="CapP13">#REF!</definedName>
    <definedName name="CapP14">#REF!</definedName>
    <definedName name="CapP15">#REF!</definedName>
    <definedName name="CapP16">#REF!</definedName>
    <definedName name="CapP17">#REF!</definedName>
    <definedName name="CapP18">#REF!</definedName>
    <definedName name="CapP19">#REF!</definedName>
    <definedName name="Capp2">#REF!</definedName>
    <definedName name="CapP20">#REF!</definedName>
    <definedName name="CapP21">#REF!</definedName>
    <definedName name="CapP22">#REF!</definedName>
    <definedName name="CapP23">#REF!</definedName>
    <definedName name="CapP24">#REF!</definedName>
    <definedName name="CapP25">#REF!</definedName>
    <definedName name="CapP26">#REF!</definedName>
    <definedName name="CapP27">#REF!</definedName>
    <definedName name="CapP28">#REF!</definedName>
    <definedName name="CapP29">#REF!</definedName>
    <definedName name="Capp3">#REF!</definedName>
    <definedName name="CapP30">#REF!</definedName>
    <definedName name="CapP31">#REF!</definedName>
    <definedName name="CapP32">#REF!</definedName>
    <definedName name="CapP33">#REF!</definedName>
    <definedName name="CapP34">#REF!</definedName>
    <definedName name="CAPP35">#REF!</definedName>
    <definedName name="CAPP36">#REF!</definedName>
    <definedName name="CAPP37">#REF!</definedName>
    <definedName name="CAPP38">#REF!</definedName>
    <definedName name="CAPP39">#REF!</definedName>
    <definedName name="Capp4">#REF!</definedName>
    <definedName name="CAPP40">#REF!</definedName>
    <definedName name="CAPP41">#REF!</definedName>
    <definedName name="CAPP42">#REF!</definedName>
    <definedName name="CAPP43">#REF!</definedName>
    <definedName name="CAPP44">#REF!</definedName>
    <definedName name="CAPP45">#REF!</definedName>
    <definedName name="CAPP46">#REF!</definedName>
    <definedName name="CAPP47">#REF!</definedName>
    <definedName name="CAPP48">#REF!</definedName>
    <definedName name="CAPP49">#REF!</definedName>
    <definedName name="Capp5">#REF!</definedName>
    <definedName name="CAPP50">#REF!</definedName>
    <definedName name="CAPP51">#REF!</definedName>
    <definedName name="CAPP52">#REF!</definedName>
    <definedName name="CAPP53">#REF!</definedName>
    <definedName name="CAPP54">#REF!</definedName>
    <definedName name="CAPP55">#REF!</definedName>
    <definedName name="CAPP56">#REF!</definedName>
    <definedName name="CAPP57">#REF!</definedName>
    <definedName name="CAPP58">#REF!</definedName>
    <definedName name="CAPP59">#REF!</definedName>
    <definedName name="Capp6">#REF!</definedName>
    <definedName name="CAPP60">#REF!</definedName>
    <definedName name="CAPP61">#REF!</definedName>
    <definedName name="CAPP62">#REF!</definedName>
    <definedName name="CAPP63">#REF!</definedName>
    <definedName name="CAPP64">#REF!</definedName>
    <definedName name="CAPP65">#REF!</definedName>
    <definedName name="CAPP66">#REF!</definedName>
    <definedName name="CAPP67">#REF!</definedName>
    <definedName name="CAPP68">#REF!</definedName>
    <definedName name="Capp7">#REF!</definedName>
    <definedName name="Capp8">#REF!</definedName>
    <definedName name="Capp9">#REF!</definedName>
    <definedName name="CapRate">#REF!</definedName>
    <definedName name="Case">#REF!</definedName>
    <definedName name="cash">#N/A</definedName>
    <definedName name="CashFlow_Button1_Click">#N/A</definedName>
    <definedName name="CASHM">#N/A</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#REF!</definedName>
    <definedName name="ChAC">#REF!</definedName>
    <definedName name="ChangColor_With1">#REF!</definedName>
    <definedName name="Change">#REF!</definedName>
    <definedName name="CHANGSHA">#REF!</definedName>
    <definedName name="ChBV">#REF!</definedName>
    <definedName name="Chosen_Accounts" localSheetId="48">#REF!</definedName>
    <definedName name="Chosen_Accounts">#REF!</definedName>
    <definedName name="Chosen_Product_Houses" localSheetId="48">#REF!</definedName>
    <definedName name="Chosen_Product_Houses">#REF!</definedName>
    <definedName name="Chosen_Product_Lines" localSheetId="48">#REF!</definedName>
    <definedName name="Chosen_Product_Lines">#REF!</definedName>
    <definedName name="ChosenCountries" localSheetId="48">#REF!</definedName>
    <definedName name="ChosenCountries">#REF!</definedName>
    <definedName name="CIQWBGuid" hidden="1">"b05fee4e-74f5-403c-af92-1fa378d30124"</definedName>
    <definedName name="CLEAN_RPT" localSheetId="48">#REF!</definedName>
    <definedName name="CLEAN_RPT">#REF!</definedName>
    <definedName name="CMTGearing2003">#REF!</definedName>
    <definedName name="co">100</definedName>
    <definedName name="conlen">#REF!</definedName>
    <definedName name="Construction_Cost_Rate">#REF!</definedName>
    <definedName name="CONT">"B99"</definedName>
    <definedName name="CONTINUE" localSheetId="48">#REF!</definedName>
    <definedName name="CONTINUE">#REF!</definedName>
    <definedName name="ContractedColor" localSheetId="48">#REF!</definedName>
    <definedName name="ContractedColor">#REF!</definedName>
    <definedName name="ContractedLower" localSheetId="48">#REF!</definedName>
    <definedName name="ContractedLower">#REF!</definedName>
    <definedName name="ContractedUpper" localSheetId="48">#REF!</definedName>
    <definedName name="ContractedUpper">#REF!</definedName>
    <definedName name="Contracts">#REF!</definedName>
    <definedName name="CORPTAX">#REF!</definedName>
    <definedName name="cost">#REF!</definedName>
    <definedName name="COUNT" localSheetId="48">#REF!</definedName>
    <definedName name="COUNT">#REF!</definedName>
    <definedName name="COUNT_VAR" localSheetId="48">#REF!</definedName>
    <definedName name="COUNT_VAR">#REF!</definedName>
    <definedName name="COUPPCD">#REF!</definedName>
    <definedName name="CR">#REF!</definedName>
    <definedName name="CRb">#REF!</definedName>
    <definedName name="Credcard_Income_Growth">#REF!</definedName>
    <definedName name="Criteria_MI">#REF!</definedName>
    <definedName name="ctWB" localSheetId="48">#REF!</definedName>
    <definedName name="ctWB">#REF!</definedName>
    <definedName name="ctWB2" localSheetId="48">#REF!</definedName>
    <definedName name="ctWB2">#REF!</definedName>
    <definedName name="CUPPAGE_TERRACE">#REF!</definedName>
    <definedName name="CurrencySymbol" localSheetId="48">#REF!</definedName>
    <definedName name="CurrencySymbol">#REF!</definedName>
    <definedName name="Customer">#REF!</definedName>
    <definedName name="cw" hidden="1">{#N/A,#N/A,FALSE,"资产负债表";#N/A,#N/A,FALSE,"资产负债表"}</definedName>
    <definedName name="CWV" localSheetId="48">#REF!</definedName>
    <definedName name="CWV">#REF!</definedName>
    <definedName name="CWV_MultActual" localSheetId="48">#REF!</definedName>
    <definedName name="CWV_MultActual">#REF!</definedName>
    <definedName name="CWV_MultContracted" localSheetId="48">#REF!</definedName>
    <definedName name="CWV_MultContracted">#REF!</definedName>
    <definedName name="CWV_MultHigh" localSheetId="48">#REF!</definedName>
    <definedName name="CWV_MultHigh">#REF!</definedName>
    <definedName name="CWV_MultLow" localSheetId="48">#REF!</definedName>
    <definedName name="CWV_MultLow">#REF!</definedName>
    <definedName name="CWV_MultMedium" localSheetId="48">#REF!</definedName>
    <definedName name="CWV_MultMedium">#REF!</definedName>
    <definedName name="CWVColor" localSheetId="48">#REF!</definedName>
    <definedName name="CWVColor">#REF!</definedName>
    <definedName name="CWVTotal" localSheetId="48">#REF!</definedName>
    <definedName name="CWVTotal">#REF!</definedName>
    <definedName name="CWVTotalDetail" localSheetId="48">#REF!</definedName>
    <definedName name="CWVTotalDetail">#REF!</definedName>
    <definedName name="CWVTotalWeighted" localSheetId="48">#REF!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#REF!</definedName>
    <definedName name="daf" hidden="1">{"toptrial",#N/A,TRUE,"toptrial";"adjustment",#N/A,TRUE,"toptrial";"voucher",#N/A,TRUE,"toptrial"}</definedName>
    <definedName name="data" localSheetId="48">#REF!</definedName>
    <definedName name="data">#REF!</definedName>
    <definedName name="Data___Borrower">#REF!</definedName>
    <definedName name="Data___Coll_Info">#REF!</definedName>
    <definedName name="Data___Coll_Scenario">#REF!</definedName>
    <definedName name="Data___Loan">#REF!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Account" localSheetId="48">#REF!</definedName>
    <definedName name="DataAccount">#REF!</definedName>
    <definedName name="DataApr2001Rev" localSheetId="48">#REF!</definedName>
    <definedName name="DataApr2001Rev">#REF!</definedName>
    <definedName name="DataApr2001SGP" localSheetId="48">#REF!</definedName>
    <definedName name="DataApr2001SGP">#REF!</definedName>
    <definedName name="DataApr2002Rev" localSheetId="48">#REF!</definedName>
    <definedName name="DataApr2002Rev">#REF!</definedName>
    <definedName name="DataApr2002SGP" localSheetId="48">#REF!</definedName>
    <definedName name="DataApr2002SGP">#REF!</definedName>
    <definedName name="DataApr2003Rev" localSheetId="48">#REF!</definedName>
    <definedName name="DataApr2003Rev">#REF!</definedName>
    <definedName name="DataApr2003SGP" localSheetId="48">#REF!</definedName>
    <definedName name="DataApr2003SGP">#REF!</definedName>
    <definedName name="DataAug2001Rev" localSheetId="48">#REF!</definedName>
    <definedName name="DataAug2001Rev">#REF!</definedName>
    <definedName name="DataAug2001SGP" localSheetId="48">#REF!</definedName>
    <definedName name="DataAug2001SGP">#REF!</definedName>
    <definedName name="DataAug2002Rev" localSheetId="48">#REF!</definedName>
    <definedName name="DataAug2002Rev">#REF!</definedName>
    <definedName name="DataAug2002SGP" localSheetId="48">#REF!</definedName>
    <definedName name="DataAug2002SGP">#REF!</definedName>
    <definedName name="DataAug2003Rev" localSheetId="48">#REF!</definedName>
    <definedName name="DataAug2003Rev">#REF!</definedName>
    <definedName name="DataAug2003SGP" localSheetId="48">#REF!</definedName>
    <definedName name="DataAug2003SGP">#REF!</definedName>
    <definedName name="_xlnm.Database" localSheetId="48">#REF!</definedName>
    <definedName name="_xlnm.Database">#REF!</definedName>
    <definedName name="Database_MI" localSheetId="48">#REF!</definedName>
    <definedName name="Database_MI">#REF!</definedName>
    <definedName name="DataBLGCode" localSheetId="48">#REF!</definedName>
    <definedName name="DataBLGCode">#REF!</definedName>
    <definedName name="DataBLGDescription" localSheetId="48">#REF!</definedName>
    <definedName name="DataBLGDescription">#REF!</definedName>
    <definedName name="DataCloseDate" localSheetId="48">#REF!</definedName>
    <definedName name="DataCloseDate">#REF!</definedName>
    <definedName name="DataCountry" localSheetId="48">#REF!</definedName>
    <definedName name="DataCountry">#REF!</definedName>
    <definedName name="DataCriticalSuccessFactors" localSheetId="48">#REF!</definedName>
    <definedName name="DataCriticalSuccessFactors">#REF!</definedName>
    <definedName name="DataDec2000Rev" localSheetId="48">#REF!</definedName>
    <definedName name="DataDec2000Rev">#REF!</definedName>
    <definedName name="DataDec2000SGP" localSheetId="48">#REF!</definedName>
    <definedName name="DataDec2000SGP">#REF!</definedName>
    <definedName name="DataDec2001Rev" localSheetId="48">#REF!</definedName>
    <definedName name="DataDec2001Rev">#REF!</definedName>
    <definedName name="DataDec2001SGP" localSheetId="48">#REF!</definedName>
    <definedName name="DataDec2001SGP">#REF!</definedName>
    <definedName name="DataDec2002Rev" localSheetId="48">#REF!</definedName>
    <definedName name="DataDec2002Rev">#REF!</definedName>
    <definedName name="DataDec2002SGP" localSheetId="48">#REF!</definedName>
    <definedName name="DataDec2002SGP">#REF!</definedName>
    <definedName name="DataFeb2001Rev" localSheetId="48">#REF!</definedName>
    <definedName name="DataFeb2001Rev">#REF!</definedName>
    <definedName name="DataFeb2001SGP" localSheetId="48">#REF!</definedName>
    <definedName name="DataFeb2001SGP">#REF!</definedName>
    <definedName name="DataFeb2002Rev" localSheetId="48">#REF!</definedName>
    <definedName name="DataFeb2002Rev">#REF!</definedName>
    <definedName name="DataFeb2002SGP" localSheetId="48">#REF!</definedName>
    <definedName name="DataFeb2002SGP">#REF!</definedName>
    <definedName name="DataFeb2003Rev" localSheetId="48">#REF!</definedName>
    <definedName name="DataFeb2003Rev">#REF!</definedName>
    <definedName name="DataFeb2003SGP" localSheetId="48">#REF!</definedName>
    <definedName name="DataFeb2003SGP">#REF!</definedName>
    <definedName name="DataFinancingRequired" localSheetId="48">#REF!</definedName>
    <definedName name="DataFinancingRequired">#REF!</definedName>
    <definedName name="DataFPN" localSheetId="48">#REF!</definedName>
    <definedName name="DataFPN">#REF!</definedName>
    <definedName name="DataFQ12001Rev" localSheetId="48">#REF!</definedName>
    <definedName name="DataFQ12001Rev">#REF!</definedName>
    <definedName name="DataFQ12001SGP" localSheetId="48">#REF!</definedName>
    <definedName name="DataFQ12001SGP">#REF!</definedName>
    <definedName name="DataFQ12002Rev" localSheetId="48">#REF!</definedName>
    <definedName name="DataFQ12002Rev">#REF!</definedName>
    <definedName name="DataFQ12002SGP" localSheetId="48">#REF!</definedName>
    <definedName name="DataFQ12002SGP">#REF!</definedName>
    <definedName name="DataFQ12003Rev" localSheetId="48">#REF!</definedName>
    <definedName name="DataFQ12003Rev">#REF!</definedName>
    <definedName name="DataFQ12003SGP" localSheetId="48">#REF!</definedName>
    <definedName name="DataFQ12003SGP">#REF!</definedName>
    <definedName name="DataFQ22001Rev" localSheetId="48">#REF!</definedName>
    <definedName name="DataFQ22001Rev">#REF!</definedName>
    <definedName name="DataFQ22001SGP" localSheetId="48">#REF!</definedName>
    <definedName name="DataFQ22001SGP">#REF!</definedName>
    <definedName name="DataFQ22002Rev" localSheetId="48">#REF!</definedName>
    <definedName name="DataFQ22002Rev">#REF!</definedName>
    <definedName name="DataFQ22002SGP" localSheetId="48">#REF!</definedName>
    <definedName name="DataFQ22002SGP">#REF!</definedName>
    <definedName name="DataFQ22003Rev" localSheetId="48">#REF!</definedName>
    <definedName name="DataFQ22003Rev">#REF!</definedName>
    <definedName name="DataFQ22003SGP" localSheetId="48">#REF!</definedName>
    <definedName name="DataFQ22003SGP">#REF!</definedName>
    <definedName name="DataFQ32001Rev" localSheetId="48">#REF!</definedName>
    <definedName name="DataFQ32001Rev">#REF!</definedName>
    <definedName name="DataFQ32001SGP" localSheetId="48">#REF!</definedName>
    <definedName name="DataFQ32001SGP">#REF!</definedName>
    <definedName name="DataFQ32002Rev" localSheetId="48">#REF!</definedName>
    <definedName name="DataFQ32002Rev">#REF!</definedName>
    <definedName name="DataFQ32002SGP" localSheetId="48">#REF!</definedName>
    <definedName name="DataFQ32002SGP">#REF!</definedName>
    <definedName name="DataFQ32003Rev" localSheetId="48">#REF!</definedName>
    <definedName name="DataFQ32003Rev">#REF!</definedName>
    <definedName name="DataFQ32003SGP" localSheetId="48">#REF!</definedName>
    <definedName name="DataFQ32003SGP">#REF!</definedName>
    <definedName name="DataFQ42001Rev" localSheetId="48">#REF!</definedName>
    <definedName name="DataFQ42001Rev">#REF!</definedName>
    <definedName name="DataFQ42001SGP" localSheetId="48">#REF!</definedName>
    <definedName name="DataFQ42001SGP">#REF!</definedName>
    <definedName name="DataFQ42002Rev" localSheetId="48">#REF!</definedName>
    <definedName name="DataFQ42002Rev">#REF!</definedName>
    <definedName name="DataFQ42002SGP" localSheetId="48">#REF!</definedName>
    <definedName name="DataFQ42002SGP">#REF!</definedName>
    <definedName name="DataFQ42003Rev" localSheetId="48">#REF!</definedName>
    <definedName name="DataFQ42003Rev">#REF!</definedName>
    <definedName name="DataFQ42003SGP" localSheetId="48">#REF!</definedName>
    <definedName name="DataFQ42003SGP">#REF!</definedName>
    <definedName name="DataFY2001Rev" localSheetId="48">#REF!</definedName>
    <definedName name="DataFY2001Rev">#REF!</definedName>
    <definedName name="DataFY2001SGP" localSheetId="48">#REF!</definedName>
    <definedName name="DataFY2001SGP">#REF!</definedName>
    <definedName name="DataFY2001YTDActualRev" localSheetId="48">#REF!</definedName>
    <definedName name="DataFY2001YTDActualRev">#REF!</definedName>
    <definedName name="DataFY2001YTDActualSGP" localSheetId="48">#REF!</definedName>
    <definedName name="DataFY2001YTDActualSGP">#REF!</definedName>
    <definedName name="DataFY2002Rev" localSheetId="48">#REF!</definedName>
    <definedName name="DataFY2002Rev">#REF!</definedName>
    <definedName name="DataFY2002SGP" localSheetId="48">#REF!</definedName>
    <definedName name="DataFY2002SGP">#REF!</definedName>
    <definedName name="DataFY2003Rev" localSheetId="48">#REF!</definedName>
    <definedName name="DataFY2003Rev">#REF!</definedName>
    <definedName name="DataFY2003SGP" localSheetId="48">#REF!</definedName>
    <definedName name="DataFY2003SGP">#REF!</definedName>
    <definedName name="DataIOC" localSheetId="48">#REF!</definedName>
    <definedName name="DataIOC">#REF!</definedName>
    <definedName name="DataIOCCode" localSheetId="48">#REF!</definedName>
    <definedName name="DataIOCCode">#REF!</definedName>
    <definedName name="DataJan2001Rev" localSheetId="48">#REF!</definedName>
    <definedName name="DataJan2001Rev">#REF!</definedName>
    <definedName name="DataJan2001SGP" localSheetId="48">#REF!</definedName>
    <definedName name="DataJan2001SGP">#REF!</definedName>
    <definedName name="DataJan2002Rev" localSheetId="48">#REF!</definedName>
    <definedName name="DataJan2002Rev">#REF!</definedName>
    <definedName name="DataJan2002SGP" localSheetId="48">#REF!</definedName>
    <definedName name="DataJan2002SGP">#REF!</definedName>
    <definedName name="DataJan2003Rev" localSheetId="48">#REF!</definedName>
    <definedName name="DataJan2003Rev">#REF!</definedName>
    <definedName name="DataJan2003SGP" localSheetId="48">#REF!</definedName>
    <definedName name="DataJan2003SGP">#REF!</definedName>
    <definedName name="DataJul2001Rev" localSheetId="48">#REF!</definedName>
    <definedName name="DataJul2001Rev">#REF!</definedName>
    <definedName name="DataJul2001SGP" localSheetId="48">#REF!</definedName>
    <definedName name="DataJul2001SGP">#REF!</definedName>
    <definedName name="DataJul2002Rev" localSheetId="48">#REF!</definedName>
    <definedName name="DataJul2002Rev">#REF!</definedName>
    <definedName name="DataJul2002SGP" localSheetId="48">#REF!</definedName>
    <definedName name="DataJul2002SGP">#REF!</definedName>
    <definedName name="DataJul2003Rev" localSheetId="48">#REF!</definedName>
    <definedName name="DataJul2003Rev">#REF!</definedName>
    <definedName name="DataJul2003SGP" localSheetId="48">#REF!</definedName>
    <definedName name="DataJul2003SGP">#REF!</definedName>
    <definedName name="DataJun2001Rev" localSheetId="48">#REF!</definedName>
    <definedName name="DataJun2001Rev">#REF!</definedName>
    <definedName name="DataJun2001SGP" localSheetId="48">#REF!</definedName>
    <definedName name="DataJun2001SGP">#REF!</definedName>
    <definedName name="DataJun2002Rev" localSheetId="48">#REF!</definedName>
    <definedName name="DataJun2002Rev">#REF!</definedName>
    <definedName name="DataJun2002SGP" localSheetId="48">#REF!</definedName>
    <definedName name="DataJun2002SGP">#REF!</definedName>
    <definedName name="DataJun2003Rev" localSheetId="48">#REF!</definedName>
    <definedName name="DataJun2003Rev">#REF!</definedName>
    <definedName name="DataJun2003SGP" localSheetId="48">#REF!</definedName>
    <definedName name="DataJun2003SGP">#REF!</definedName>
    <definedName name="DataMar2001Rev" localSheetId="48">#REF!</definedName>
    <definedName name="DataMar2001Rev">#REF!</definedName>
    <definedName name="DataMar2001SGP" localSheetId="48">#REF!</definedName>
    <definedName name="DataMar2001SGP">#REF!</definedName>
    <definedName name="DataMar2002Rev" localSheetId="48">#REF!</definedName>
    <definedName name="DataMar2002Rev">#REF!</definedName>
    <definedName name="DataMar2002SGP" localSheetId="48">#REF!</definedName>
    <definedName name="DataMar2002SGP">#REF!</definedName>
    <definedName name="DataMar2003Rev" localSheetId="48">#REF!</definedName>
    <definedName name="DataMar2003Rev">#REF!</definedName>
    <definedName name="DataMar2003SGP" localSheetId="48">#REF!</definedName>
    <definedName name="DataMar2003SGP">#REF!</definedName>
    <definedName name="DataMay2001Rev" localSheetId="48">#REF!</definedName>
    <definedName name="DataMay2001Rev">#REF!</definedName>
    <definedName name="DataMay2001SGP" localSheetId="48">#REF!</definedName>
    <definedName name="DataMay2001SGP">#REF!</definedName>
    <definedName name="DataMay2002Rev" localSheetId="48">#REF!</definedName>
    <definedName name="DataMay2002Rev">#REF!</definedName>
    <definedName name="DataMay2002SGP" localSheetId="48">#REF!</definedName>
    <definedName name="DataMay2002SGP">#REF!</definedName>
    <definedName name="DataMay2003Rev" localSheetId="48">#REF!</definedName>
    <definedName name="DataMay2003Rev">#REF!</definedName>
    <definedName name="DataMay2003SGP" localSheetId="48">#REF!</definedName>
    <definedName name="DataMay2003SGP">#REF!</definedName>
    <definedName name="DataNov2000Rev" localSheetId="48">#REF!</definedName>
    <definedName name="DataNov2000Rev">#REF!</definedName>
    <definedName name="DataNov2000SGP" localSheetId="48">#REF!</definedName>
    <definedName name="DataNov2000SGP">#REF!</definedName>
    <definedName name="DataNov2001Rev" localSheetId="48">#REF!</definedName>
    <definedName name="DataNov2001Rev">#REF!</definedName>
    <definedName name="DataNov2001SGP" localSheetId="48">#REF!</definedName>
    <definedName name="DataNov2001SGP">#REF!</definedName>
    <definedName name="DataNov2002Rev" localSheetId="48">#REF!</definedName>
    <definedName name="DataNov2002Rev">#REF!</definedName>
    <definedName name="DataNov2002SGP" localSheetId="48">#REF!</definedName>
    <definedName name="DataNov2002SGP">#REF!</definedName>
    <definedName name="DataOct2000Rev" localSheetId="48">#REF!</definedName>
    <definedName name="DataOct2000Rev">#REF!</definedName>
    <definedName name="DataOct2000SGP" localSheetId="48">#REF!</definedName>
    <definedName name="DataOct2000SGP">#REF!</definedName>
    <definedName name="DataOct2001Rev" localSheetId="48">#REF!</definedName>
    <definedName name="DataOct2001Rev">#REF!</definedName>
    <definedName name="DataOct2001SGP" localSheetId="48">#REF!</definedName>
    <definedName name="DataOct2001SGP">#REF!</definedName>
    <definedName name="DataOct2002Rev" localSheetId="48">#REF!</definedName>
    <definedName name="DataOct2002Rev">#REF!</definedName>
    <definedName name="DataOct2002SGP" localSheetId="48">#REF!</definedName>
    <definedName name="DataOct2002SGP">#REF!</definedName>
    <definedName name="DataOpportunity" localSheetId="48">#REF!</definedName>
    <definedName name="DataOpportunity">#REF!</definedName>
    <definedName name="DataOpportunityDescription" localSheetId="48">#REF!</definedName>
    <definedName name="DataOpportunityDescription">#REF!</definedName>
    <definedName name="DataOpptyRevenue" localSheetId="48">#REF!</definedName>
    <definedName name="DataOpptyRevenue">#REF!</definedName>
    <definedName name="DataOpptySGP" localSheetId="48">#REF!</definedName>
    <definedName name="DataOpptySGP">#REF!</definedName>
    <definedName name="DataParentOppty" localSheetId="48">#REF!</definedName>
    <definedName name="DataParentOppty">#REF!</definedName>
    <definedName name="DataProbGrouping" localSheetId="48">#REF!</definedName>
    <definedName name="DataProbGrouping">#REF!</definedName>
    <definedName name="DataRequestedDelivery" localSheetId="48">#REF!</definedName>
    <definedName name="DataRequestedDelivery">#REF!</definedName>
    <definedName name="DataSalesStage" localSheetId="48">#REF!</definedName>
    <definedName name="DataSalesStage">#REF!</definedName>
    <definedName name="DataSep2001Rev" localSheetId="48">#REF!</definedName>
    <definedName name="DataSep2001Rev">#REF!</definedName>
    <definedName name="DataSep2001SGP" localSheetId="48">#REF!</definedName>
    <definedName name="DataSep2001SGP">#REF!</definedName>
    <definedName name="DataSep2002Rev" localSheetId="48">#REF!</definedName>
    <definedName name="DataSep2002Rev">#REF!</definedName>
    <definedName name="DataSep2002Rev1" localSheetId="48">#REF!</definedName>
    <definedName name="DataSep2002Rev1">#REF!</definedName>
    <definedName name="DataSep2002SGP" localSheetId="48">#REF!</definedName>
    <definedName name="DataSep2002SGP">#REF!</definedName>
    <definedName name="DataSep2003Rev" localSheetId="48">#REF!</definedName>
    <definedName name="DataSep2003Rev">#REF!</definedName>
    <definedName name="DataSep2003SGP" localSheetId="48">#REF!</definedName>
    <definedName name="DataSep2003SGP">#REF!</definedName>
    <definedName name="DataTotalFinancingRequired" localSheetId="48">#REF!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#REF!</definedName>
    <definedName name="December">#REF!</definedName>
    <definedName name="deee" hidden="1">{#N/A,#N/A,FALSE,"资产负债表";#N/A,#N/A,FALSE,"资产负债表"}</definedName>
    <definedName name="deli">#REF!</definedName>
    <definedName name="DEMeXToEUR" localSheetId="48" hidden="1">1/EUReXToDEM</definedName>
    <definedName name="DEMeXToEUR" hidden="1">1/EUReXToDEM</definedName>
    <definedName name="Detailed_Lay_out_Budget">#REF!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48"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#REF!</definedName>
    <definedName name="Discount_rate_II">#REF!</definedName>
    <definedName name="DiscountRate">#REF!</definedName>
    <definedName name="Discountrates">#REF!</definedName>
    <definedName name="DisplaySelectedSheetsMacroButton">#REF!</definedName>
    <definedName name="DispoStrategy">#REF!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ldmldjd">#REF!</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#REF!</definedName>
    <definedName name="DPUnit2004">#REF!</definedName>
    <definedName name="DPUnit2005">#REF!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#REF!</definedName>
    <definedName name="dsfhfdsstfghgffh" localSheetId="48" hidden="1">#REF!</definedName>
    <definedName name="dsfhfdsstfghgffh" hidden="1">#REF!</definedName>
    <definedName name="dsfs" localSheetId="48">#REF!</definedName>
    <definedName name="dsfs">#REF!</definedName>
    <definedName name="dummy">#REF!</definedName>
    <definedName name="dvdgrgr" localSheetId="48" hidden="1">#REF!</definedName>
    <definedName name="dvdgrgr" hidden="1">#REF!</definedName>
    <definedName name="dwed" hidden="1">{#N/A,#N/A,FALSE,"资产负债表";#N/A,#N/A,FALSE,"资产负债表"}</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48" hidden="1">#REF!</definedName>
    <definedName name="ekejjjyyjtyy" hidden="1">#REF!</definedName>
    <definedName name="ENT_LONG_NAME" localSheetId="48">#REF!</definedName>
    <definedName name="ENT_LONG_NAME">#REF!</definedName>
    <definedName name="ENT_NAME" localSheetId="48">#REF!</definedName>
    <definedName name="ENT_NAME">#REF!</definedName>
    <definedName name="ENT_TABLE" localSheetId="48">#REF!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48">#REF!</definedName>
    <definedName name="ERR_MSG">#REF!</definedName>
    <definedName name="ert" hidden="1">{"'Z3-1'!$B$9:$I$29"}</definedName>
    <definedName name="ESPeXToEUR" localSheetId="48" hidden="1">1/EUReXToESP</definedName>
    <definedName name="ESPeXToEUR" hidden="1">1/EUReXToESP</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#REF!</definedName>
    <definedName name="Excel_BuiltIn_Criteria_3_1">#REF!</definedName>
    <definedName name="Excel_BuiltIn_Print_Area">#REF!</definedName>
    <definedName name="Excel_BuiltIn_Print_Area_0">"$#REF!.$A$1:$C$491"</definedName>
    <definedName name="Excel_BuiltIn_Print_Area_0___0">"$#REF!.$A$1:$H$604"</definedName>
    <definedName name="Excel_BuiltIn_Print_Titles_3">#REF!</definedName>
    <definedName name="EXCEPT_FILE" localSheetId="48">#REF!</definedName>
    <definedName name="EXCEPT_FILE">#REF!</definedName>
    <definedName name="EXCEPT_REP" localSheetId="48">#REF!</definedName>
    <definedName name="EXCEPT_REP">#REF!</definedName>
    <definedName name="exchangerate">#REF!</definedName>
    <definedName name="Existing_Maint">#REF!</definedName>
    <definedName name="ExistLoanMat">#REF!</definedName>
    <definedName name="ExistLoanOPB">#REF!</definedName>
    <definedName name="ExistLoanOrig">#REF!</definedName>
    <definedName name="ExistLoanRate">#REF!</definedName>
    <definedName name="ExistLoanRateA">#REF!</definedName>
    <definedName name="exp_sh" localSheetId="48">#REF!</definedName>
    <definedName name="exp_sh">#REF!</definedName>
    <definedName name="ExpandOutputs">#N/A</definedName>
    <definedName name="ExpandVPeriods">#N/A</definedName>
    <definedName name="ExportDir" localSheetId="48">#REF!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[0]!JEPUMS*!H14:XEY1048565</definedName>
    <definedName name="faif" hidden="1">{#N/A,#N/A,FALSE,"资产负债表";#N/A,#N/A,FALSE,"资产负债表"}</definedName>
    <definedName name="fangan">#REF!</definedName>
    <definedName name="FAS">#REF!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#REF!</definedName>
    <definedName name="FCSTFAS2">#REF!</definedName>
    <definedName name="FCSTFAS3">#REF!</definedName>
    <definedName name="FCSTFAS4">#REF!</definedName>
    <definedName name="FCSTFAS5">#REF!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48" hidden="1">#REF!</definedName>
    <definedName name="fdgjsgfhjsrtarts" hidden="1">#REF!</definedName>
    <definedName name="fdhgfjhgjgh" localSheetId="48" hidden="1">#REF!</definedName>
    <definedName name="fdhgfjhgjgh" hidden="1">#REF!</definedName>
    <definedName name="FDI">#REF!</definedName>
    <definedName name="February">#REF!</definedName>
    <definedName name="fefefefefed" localSheetId="48"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48" hidden="1">#REF!</definedName>
    <definedName name="fghsfhvbxcc" hidden="1">#REF!</definedName>
    <definedName name="fgsfg" hidden="1">{"HOMEPAGE",#N/A,FALSE,"HOME";"Report1_Q1",#N/A,FALSE,"REPORT1"}</definedName>
    <definedName name="FiAcq">#REF!</definedName>
    <definedName name="FIMeXToEUR" localSheetId="48" hidden="1">1/EUReXToFIM</definedName>
    <definedName name="FIMeXToEUR" hidden="1">1/EUReXToFIM</definedName>
    <definedName name="FINAL_FS">#N/A</definedName>
    <definedName name="finalReport">#N/A</definedName>
    <definedName name="FirstYear" localSheetId="48">#REF!</definedName>
    <definedName name="FirstYear">#REF!</definedName>
    <definedName name="FK_YSCBBH_2">#N/A</definedName>
    <definedName name="FK_YSCBBH_3">#N/A</definedName>
    <definedName name="FK_YSCBBH_5">#N/A</definedName>
    <definedName name="ForecastDate" localSheetId="48">#REF!</definedName>
    <definedName name="ForecastDate">#REF!</definedName>
    <definedName name="FQ" localSheetId="48">#REF!</definedName>
    <definedName name="FQ">#REF!</definedName>
    <definedName name="FqOutSumSpecialColCount" localSheetId="48">#REF!</definedName>
    <definedName name="FqOutSumSpecialColCount">#REF!</definedName>
    <definedName name="FRCST">#REF!</definedName>
    <definedName name="FRCST1">#REF!</definedName>
    <definedName name="FRCST2">#REF!</definedName>
    <definedName name="FRCST3">#REF!</definedName>
    <definedName name="FRCST4">#REF!</definedName>
    <definedName name="FRCST5">#REF!</definedName>
    <definedName name="FRFeXToEUR" localSheetId="48" hidden="1">1/EUReXToFRF</definedName>
    <definedName name="FRFeXToEUR" hidden="1">1/EUReXToFRF</definedName>
    <definedName name="FRSname">#REF!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48">#REF!</definedName>
    <definedName name="FunBotTag">#REF!</definedName>
    <definedName name="FUND">#REF!</definedName>
    <definedName name="FunnelBottomWidth" localSheetId="48">#REF!</definedName>
    <definedName name="FunnelBottomWidth">#REF!</definedName>
    <definedName name="FunnelHeight" localSheetId="48">#REF!</definedName>
    <definedName name="FunnelHeight">#REF!</definedName>
    <definedName name="FunnelLeft" localSheetId="48">#REF!</definedName>
    <definedName name="FunnelLeft">#REF!</definedName>
    <definedName name="FunnelOvalRatio" localSheetId="48">#REF!</definedName>
    <definedName name="FunnelOvalRatio">#REF!</definedName>
    <definedName name="FunnelReqTotal" localSheetId="48">#REF!</definedName>
    <definedName name="FunnelReqTotal">#REF!</definedName>
    <definedName name="FunnelRequirement" localSheetId="48">#REF!</definedName>
    <definedName name="FunnelRequirement">#REF!</definedName>
    <definedName name="FunnelTop" localSheetId="48">#REF!</definedName>
    <definedName name="FunnelTop">#REF!</definedName>
    <definedName name="FunnelTopWidth" localSheetId="48">#REF!</definedName>
    <definedName name="FunnelTopWidth">#REF!</definedName>
    <definedName name="FunnelTotalDetail" localSheetId="48">#REF!</definedName>
    <definedName name="FunnelTotalDetail">#REF!</definedName>
    <definedName name="FunnelZoom" localSheetId="48">#REF!</definedName>
    <definedName name="FunnelZoom">#REF!</definedName>
    <definedName name="FunPctFontSize" localSheetId="48">#REF!</definedName>
    <definedName name="FunPctFontSize">#REF!</definedName>
    <definedName name="FunReqTag" localSheetId="48">#REF!</definedName>
    <definedName name="FunReqTag">#REF!</definedName>
    <definedName name="FyFunnelSpecialColCount" localSheetId="48">#REF!</definedName>
    <definedName name="FyFunnelSpecialColCount">#REF!</definedName>
    <definedName name="G">#REF!</definedName>
    <definedName name="G_F">#N/A</definedName>
    <definedName name="G0">#REF!</definedName>
    <definedName name="gagad" hidden="1">{"toptrial",#N/A,TRUE,"toptrial";"adjustment",#N/A,TRUE,"toptrial";"voucher",#N/A,TRUE,"toptrial"}</definedName>
    <definedName name="gap">#REF!</definedName>
    <definedName name="gbgggg" localSheetId="48"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#REF!</definedName>
    <definedName name="Gearinglevel">#REF!</definedName>
    <definedName name="general" localSheetId="48"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48">#REF!</definedName>
    <definedName name="GNE">#REF!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#REF!</definedName>
    <definedName name="GRAPH2">#REF!</definedName>
    <definedName name="GRAPH3">#REF!</definedName>
    <definedName name="GRAPH4">#REF!</definedName>
    <definedName name="GRAPH5">#REF!</definedName>
    <definedName name="GRAPH6">#REF!</definedName>
    <definedName name="GRAPH7">#REF!</definedName>
    <definedName name="GRAPH8">#REF!</definedName>
    <definedName name="GrossAreasqm">#REF!</definedName>
    <definedName name="growth">#REF!</definedName>
    <definedName name="GrowthRateRange">#REF!</definedName>
    <definedName name="gsagfdg" hidden="1">{"toptrial",#N/A,TRUE,"toptrial";"adjustment",#N/A,TRUE,"toptrial";"voucher",#N/A,TRUE,"toptrial"}</definedName>
    <definedName name="GSEstAnnlNOI">#REF!</definedName>
    <definedName name="gtgtg" localSheetId="48" hidden="1">#REF!</definedName>
    <definedName name="gtgtg" hidden="1">#REF!</definedName>
    <definedName name="gtttttt" localSheetId="48" hidden="1">#REF!</definedName>
    <definedName name="gtttttt" hidden="1">#REF!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#REF!</definedName>
    <definedName name="Header_FMA" localSheetId="48">#REF!</definedName>
    <definedName name="Header_FMA">#REF!</definedName>
    <definedName name="Header_FOPDetail" localSheetId="48">#REF!</definedName>
    <definedName name="Header_FOPDetail">#REF!</definedName>
    <definedName name="Header_FOPStatus" localSheetId="48">#REF!</definedName>
    <definedName name="Header_FOPStatus">#REF!</definedName>
    <definedName name="Header_FOSOppty" localSheetId="48">#REF!</definedName>
    <definedName name="Header_FOSOppty">#REF!</definedName>
    <definedName name="Header_FOSSalesRep" localSheetId="48">#REF!</definedName>
    <definedName name="Header_FOSSalesRep">#REF!</definedName>
    <definedName name="Header_FQBacklogFunnel" localSheetId="48">#REF!</definedName>
    <definedName name="Header_FQBacklogFunnel">#REF!</definedName>
    <definedName name="Header_FqFunnel" localSheetId="48">#REF!</definedName>
    <definedName name="Header_FqFunnel">#REF!</definedName>
    <definedName name="Header_FqOutCWV" localSheetId="48">#REF!</definedName>
    <definedName name="Header_FqOutCWV">#REF!</definedName>
    <definedName name="Header_FqOutSum" localSheetId="48">#REF!</definedName>
    <definedName name="Header_FqOutSum">#REF!</definedName>
    <definedName name="Header_FunnelDetail" localSheetId="48">#REF!</definedName>
    <definedName name="Header_FunnelDetail">#REF!</definedName>
    <definedName name="Header_FunnelMatrix" localSheetId="48">#REF!</definedName>
    <definedName name="Header_FunnelMatrix">#REF!</definedName>
    <definedName name="Header_FunProb" localSheetId="48">#REF!</definedName>
    <definedName name="Header_FunProb">#REF!</definedName>
    <definedName name="Header_FunStage" localSheetId="48">#REF!</definedName>
    <definedName name="Header_FunStage">#REF!</definedName>
    <definedName name="Header_FyFunBus" localSheetId="48">#REF!</definedName>
    <definedName name="Header_FyFunBus">#REF!</definedName>
    <definedName name="Header_FyFunCountry" localSheetId="48">#REF!</definedName>
    <definedName name="Header_FyFunCountry">#REF!</definedName>
    <definedName name="Header_FyFunCountryAccount" localSheetId="48">#REF!</definedName>
    <definedName name="Header_FyFunCountryAccount">#REF!</definedName>
    <definedName name="Header_FyFunCWV" localSheetId="48">#REF!</definedName>
    <definedName name="Header_FyFunCWV">#REF!</definedName>
    <definedName name="Header_FyFunCWVCountry" localSheetId="48">#REF!</definedName>
    <definedName name="Header_FyFunCWVCountry">#REF!</definedName>
    <definedName name="Header_FyFunCWVCountryAccount" localSheetId="48">#REF!</definedName>
    <definedName name="Header_FyFunCWVCountryAccount">#REF!</definedName>
    <definedName name="Header_FyFunCWVProd" localSheetId="48">#REF!</definedName>
    <definedName name="Header_FyFunCWVProd">#REF!</definedName>
    <definedName name="Header_FyFunCWVProdUnitLikely" localSheetId="48">#REF!</definedName>
    <definedName name="Header_FyFunCWVProdUnitLikely">#REF!</definedName>
    <definedName name="Header_FyFunnel" localSheetId="48">#REF!</definedName>
    <definedName name="Header_FyFunnel">#REF!</definedName>
    <definedName name="Header_FyFunProd" localSheetId="48">#REF!</definedName>
    <definedName name="Header_FyFunProd">#REF!</definedName>
    <definedName name="Header_FyFunProdUnit" localSheetId="48">#REF!</definedName>
    <definedName name="Header_FyFunProdUnit">#REF!</definedName>
    <definedName name="Header_Logo" localSheetId="48">#REF!</definedName>
    <definedName name="Header_Logo">#REF!</definedName>
    <definedName name="Header_OD" localSheetId="48">#REF!</definedName>
    <definedName name="Header_OD">#REF!</definedName>
    <definedName name="Header_OProAct" localSheetId="48">#REF!</definedName>
    <definedName name="Header_OProAct">#REF!</definedName>
    <definedName name="Header_QtrRev" localSheetId="48">#REF!</definedName>
    <definedName name="Header_QtrRev">#REF!</definedName>
    <definedName name="Header_QtrSGP" localSheetId="48">#REF!</definedName>
    <definedName name="Header_QtrSGP">#REF!</definedName>
    <definedName name="Header_RmapAE" localSheetId="48">#REF!</definedName>
    <definedName name="Header_RmapAE">#REF!</definedName>
    <definedName name="Header_SFA_MW_Quarter" localSheetId="48">#REF!</definedName>
    <definedName name="Header_SFA_MW_Quarter">#REF!</definedName>
    <definedName name="Header_SFA_Quarter" localSheetId="48">#REF!</definedName>
    <definedName name="Header_SFA_Quarter">#REF!</definedName>
    <definedName name="Header_SFA_Year" localSheetId="48">#REF!</definedName>
    <definedName name="Header_SFA_Year">#REF!</definedName>
    <definedName name="Header_SFUNREP" localSheetId="48">#REF!</definedName>
    <definedName name="Header_SFUNREP">#REF!</definedName>
    <definedName name="Header_Snapshot" localSheetId="48">#REF!</definedName>
    <definedName name="Header_Snapshot">#REF!</definedName>
    <definedName name="Header_Snapshot_Detail" localSheetId="48">#REF!</definedName>
    <definedName name="Header_Snapshot_Detail">#REF!</definedName>
    <definedName name="Header_Summary" localSheetId="48">#REF!</definedName>
    <definedName name="Header_Summary">#REF!</definedName>
    <definedName name="Header_WinLoss" localSheetId="48">#REF!</definedName>
    <definedName name="Header_WinLoss">#REF!</definedName>
    <definedName name="Header_WinMore2" localSheetId="48">#REF!</definedName>
    <definedName name="Header_WinMore2">#REF!</definedName>
    <definedName name="HEADINGS">#REF!</definedName>
    <definedName name="hfhfhfhfhfhf" localSheetId="48"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48">#REF!</definedName>
    <definedName name="HighColor">#REF!</definedName>
    <definedName name="HighLower" localSheetId="48">#REF!</definedName>
    <definedName name="HighLower">#REF!</definedName>
    <definedName name="HighUpper" localSheetId="48">#REF!</definedName>
    <definedName name="HighUpper">#REF!</definedName>
    <definedName name="hingwai">#REF!</definedName>
    <definedName name="HIRE_1">#REF!</definedName>
    <definedName name="HIRE_2">#REF!</definedName>
    <definedName name="HIRE_3">#REF!</definedName>
    <definedName name="HIRE_4">#REF!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48">#REF!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#REF!</definedName>
    <definedName name="i_?3">#REF!</definedName>
    <definedName name="i_E__.3">#REF!</definedName>
    <definedName name="i_E_O">#REF!</definedName>
    <definedName name="i_E_O__.3">#REF!</definedName>
    <definedName name="idididiididididididididi" localSheetId="48" hidden="1">#REF!</definedName>
    <definedName name="idididiididididididididi" hidden="1">#REF!</definedName>
    <definedName name="IE">#REF!</definedName>
    <definedName name="IEPeXToEUR" localSheetId="48" hidden="1">1/EUReXToIEP</definedName>
    <definedName name="IEPeXToEUR" hidden="1">1/EUReXToIEP</definedName>
    <definedName name="IEWORKSHEET">#REF!</definedName>
    <definedName name="if">#REF!</definedName>
    <definedName name="ikiikikiki" localSheetId="48" hidden="1">#REF!</definedName>
    <definedName name="ikiikikiki" hidden="1">#REF!</definedName>
    <definedName name="ilili" localSheetId="48" hidden="1">#REF!</definedName>
    <definedName name="ilili" hidden="1">#REF!</definedName>
    <definedName name="ilililili" localSheetId="48" hidden="1">#REF!</definedName>
    <definedName name="ilililili" hidden="1">#REF!</definedName>
    <definedName name="ImportFile">#N/A</definedName>
    <definedName name="Income">#REF!</definedName>
    <definedName name="index" localSheetId="48" hidden="1">#REF!</definedName>
    <definedName name="index" hidden="1">#REF!</definedName>
    <definedName name="index2" localSheetId="48" hidden="1">#REF!</definedName>
    <definedName name="index2" hidden="1">#REF!</definedName>
    <definedName name="ini_button_Click">#N/A</definedName>
    <definedName name="InputArea">#REF!</definedName>
    <definedName name="InputCap">#REF!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48" hidden="1">#REF!</definedName>
    <definedName name="IQRCOMPSE5" hidden="1">#REF!</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IsColHidden">FALSE</definedName>
    <definedName name="IsLTMColHidden">FALSE</definedName>
    <definedName name="ITLeXToEUR" localSheetId="48"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48" hidden="1">#REF!</definedName>
    <definedName name="jkfghkjfhfg" hidden="1">#REF!</definedName>
    <definedName name="Jully">#REF!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48" hidden="1">#REF!</definedName>
    <definedName name="kdasjfhkaldshfkljahsdlfhjkldsjkhlajkhl" hidden="1">#REF!</definedName>
    <definedName name="kekke" localSheetId="48" hidden="1">#REF!</definedName>
    <definedName name="kekke" hidden="1">#REF!</definedName>
    <definedName name="KEYY" localSheetId="48" hidden="1">#REF!</definedName>
    <definedName name="KEYY" hidden="1">#REF!</definedName>
    <definedName name="kjdfhkjsafhadshjfjasdhfkjlads" localSheetId="48" hidden="1">#REF!</definedName>
    <definedName name="kjdfhkjsafhadshjfjasdhfkjlads" hidden="1">#REF!</definedName>
    <definedName name="kjlsadhfdsjahfjkdshfakjlds" localSheetId="48"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48">#REF!</definedName>
    <definedName name="km">#REF!</definedName>
    <definedName name="KMB" localSheetId="48">#REF!</definedName>
    <definedName name="KMB">#REF!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#REF!</definedName>
    <definedName name="landareasqm">#REF!</definedName>
    <definedName name="LandRent_fr2019">#REF!</definedName>
    <definedName name="LandRent_till2019">#REF!</definedName>
    <definedName name="leadsheet">#REF!</definedName>
    <definedName name="LEVERQ">#REF!</definedName>
    <definedName name="lf" localSheetId="48" hidden="1">#REF!</definedName>
    <definedName name="lf" hidden="1">#REF!</definedName>
    <definedName name="liloki" localSheetId="48" hidden="1">#REF!</definedName>
    <definedName name="liloki" hidden="1">#REF!</definedName>
    <definedName name="limcount" hidden="1">1</definedName>
    <definedName name="list_ht">#REF!</definedName>
    <definedName name="ListOffset" hidden="1">2</definedName>
    <definedName name="ListSheetsMacroButton">#REF!</definedName>
    <definedName name="lkjhg" localSheetId="48" hidden="1">#REF!</definedName>
    <definedName name="lkjhg" hidden="1">#REF!</definedName>
    <definedName name="lkjhgfds" localSheetId="48"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48" hidden="1">#REF!</definedName>
    <definedName name="lo" hidden="1">#REF!</definedName>
    <definedName name="LOAD_FILES" localSheetId="48">#REF!</definedName>
    <definedName name="LOAD_FILES">#REF!</definedName>
    <definedName name="LOC">#N/A</definedName>
    <definedName name="LoginName" localSheetId="48">#REF!</definedName>
    <definedName name="LoginName">#REF!</definedName>
    <definedName name="LOOP" localSheetId="48">#REF!</definedName>
    <definedName name="LOOP">#REF!</definedName>
    <definedName name="LowColor" localSheetId="48">#REF!</definedName>
    <definedName name="LowColor">#REF!</definedName>
    <definedName name="LowLower" localSheetId="48">#REF!</definedName>
    <definedName name="LowLower">#REF!</definedName>
    <definedName name="LowUpper" localSheetId="48">#REF!</definedName>
    <definedName name="LowUpper">#REF!</definedName>
    <definedName name="LUFeXToEUR" localSheetId="48"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48">#REF!</definedName>
    <definedName name="MACROS">#REF!</definedName>
    <definedName name="main">#REF!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#REF!</definedName>
    <definedName name="MARKETPREMIUM">#REF!</definedName>
    <definedName name="May">#REF!</definedName>
    <definedName name="may.191" hidden="1">{"'Check Request'!$A$1:$BF$37"}</definedName>
    <definedName name="mdmdmdmdmdmdmdm" localSheetId="48" hidden="1">#REF!</definedName>
    <definedName name="mdmdmdmdmdmdmdm" hidden="1">#REF!</definedName>
    <definedName name="MediumColor" localSheetId="48">#REF!</definedName>
    <definedName name="MediumColor">#REF!</definedName>
    <definedName name="MediumLower" localSheetId="48">#REF!</definedName>
    <definedName name="MediumLower">#REF!</definedName>
    <definedName name="MediumUpper" localSheetId="48">#REF!</definedName>
    <definedName name="MediumUpper">#REF!</definedName>
    <definedName name="meivy" hidden="1">{#N/A,#N/A,FALSE,"Aging Summary";#N/A,#N/A,FALSE,"Ratio Analysis";#N/A,#N/A,FALSE,"Test 120 Day Accts";#N/A,#N/A,FALSE,"Tickmarks"}</definedName>
    <definedName name="menu_button_Click">#N/A</definedName>
    <definedName name="MEperiod">#REF!</definedName>
    <definedName name="mf">#REF!</definedName>
    <definedName name="MISC1">#REF!</definedName>
    <definedName name="MISC2">#REF!</definedName>
    <definedName name="MLVColor" localSheetId="48">#REF!</definedName>
    <definedName name="MLVColor">#REF!</definedName>
    <definedName name="MLVTotalDetail" localSheetId="48">#REF!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#REF!</definedName>
    <definedName name="month">#REF!</definedName>
    <definedName name="MONTH_B99">#REF!</definedName>
    <definedName name="MONTHLY_DATA">#REF!</definedName>
    <definedName name="MONTHLY_DATA_B99">#REF!</definedName>
    <definedName name="Months">2</definedName>
    <definedName name="Mth">#REF!</definedName>
    <definedName name="MustWinColor" localSheetId="48">#REF!</definedName>
    <definedName name="MustWinColor">#REF!</definedName>
    <definedName name="MustWinTotalDetail" localSheetId="48">#REF!</definedName>
    <definedName name="MustWinTotalDetail">#REF!</definedName>
    <definedName name="mux" localSheetId="48">#REF!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#REF!</definedName>
    <definedName name="NAME_OF_PROPERTY_项目__嘉信茂广场·雨花亭">#REF!</definedName>
    <definedName name="nay">#REF!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#REF!</definedName>
    <definedName name="NewFiMat">#REF!</definedName>
    <definedName name="NewFiOPB">#REF!</definedName>
    <definedName name="NewFiOption">#REF!</definedName>
    <definedName name="NewFiOrig">#REF!</definedName>
    <definedName name="NewFiRate">#REF!</definedName>
    <definedName name="NewFiRateA">#REF!</definedName>
    <definedName name="NextYrNOI">#REF!</definedName>
    <definedName name="ngngfnfgndfg" localSheetId="48" hidden="1">#REF!</definedName>
    <definedName name="ngngfnfgndfg" hidden="1">#REF!</definedName>
    <definedName name="NLGeXToEUR" localSheetId="48"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#REF!</definedName>
    <definedName name="NO_FILE" localSheetId="48">#REF!</definedName>
    <definedName name="NO_FILE">#REF!</definedName>
    <definedName name="None" localSheetId="48">Main.SAPF4Help()</definedName>
    <definedName name="None">Main.SAPF4Help()</definedName>
    <definedName name="None1" localSheetId="48">Main.SAPF4Help()</definedName>
    <definedName name="None1">Main.SAPF4Help()</definedName>
    <definedName name="none10" localSheetId="48">Main.SAPF4Help()</definedName>
    <definedName name="none10">Main.SAPF4Help()</definedName>
    <definedName name="None2" localSheetId="48">Main.SAPF4Help()</definedName>
    <definedName name="None2">Main.SAPF4Help()</definedName>
    <definedName name="none3" localSheetId="48">Main.SAPF4Help()</definedName>
    <definedName name="none3">Main.SAPF4Help()</definedName>
    <definedName name="none5" localSheetId="48">Main.SAPF4Help()</definedName>
    <definedName name="none5">Main.SAPF4Help()</definedName>
    <definedName name="NOTES">#REF!</definedName>
    <definedName name="November">#REF!</definedName>
    <definedName name="ntntnttn" localSheetId="48" hidden="1">#REF!</definedName>
    <definedName name="ntntnttn" hidden="1">#REF!</definedName>
    <definedName name="NumYears" localSheetId="48">#REF!</definedName>
    <definedName name="NumYear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#REF!</definedName>
    <definedName name="October">#REF!</definedName>
    <definedName name="ododododooddododo" localSheetId="48" hidden="1">#REF!</definedName>
    <definedName name="ododododooddododo" hidden="1">#REF!</definedName>
    <definedName name="Office_Px_Rate">#REF!</definedName>
    <definedName name="OfficeRentalGrowth_evy2yr">#REF!</definedName>
    <definedName name="ohih" hidden="1">{"toptrial",#N/A,TRUE,"toptrial";"adjustment",#N/A,TRUE,"toptrial";"voucher",#N/A,TRUE,"toptrial"}</definedName>
    <definedName name="OK_FILE" localSheetId="48">#REF!</definedName>
    <definedName name="OK_FILE">#REF!</definedName>
    <definedName name="OK_MSG" localSheetId="48">#REF!</definedName>
    <definedName name="OK_MSG">#REF!</definedName>
    <definedName name="olikikuku" localSheetId="48" hidden="1">#REF!</definedName>
    <definedName name="olikikuku" hidden="1">#REF!</definedName>
    <definedName name="ololollo" localSheetId="48" hidden="1">#REF!</definedName>
    <definedName name="ololollo" hidden="1">#REF!</definedName>
    <definedName name="oltukituk" localSheetId="48" hidden="1">#REF!</definedName>
    <definedName name="oltukituk" hidden="1">#REF!</definedName>
    <definedName name="op">#REF!</definedName>
    <definedName name="OP2FAS">#REF!</definedName>
    <definedName name="OP2LOCAL">#REF!</definedName>
    <definedName name="OP2STAT">#REF!</definedName>
    <definedName name="Opex_Growth">#REF!</definedName>
    <definedName name="OpptyFontSize" localSheetId="48">#REF!</definedName>
    <definedName name="OpptyFontSize">#REF!</definedName>
    <definedName name="OpptyHeight" localSheetId="48">#REF!</definedName>
    <definedName name="OpptyHeight">#REF!</definedName>
    <definedName name="OpptyWidth" localSheetId="48">#REF!</definedName>
    <definedName name="OpptyWidth">#REF!</definedName>
    <definedName name="OptionButton21_Click">#N/A</definedName>
    <definedName name="Oracle" hidden="1">{"'Check Request'!$A$1:$BF$37"}</definedName>
    <definedName name="ORCHARD_POINT">#REF!</definedName>
    <definedName name="Other_Income_Growth">#REF!</definedName>
    <definedName name="Other2007" hidden="1">{"'Check Request'!$A$1:$BF$37"}</definedName>
    <definedName name="othrev">#REF!</definedName>
    <definedName name="OutlookColor" localSheetId="48">#REF!</definedName>
    <definedName name="OutlookColor">#REF!</definedName>
    <definedName name="OutlookTotal" localSheetId="48">#REF!</definedName>
    <definedName name="OutlookTotal">#REF!</definedName>
    <definedName name="OutlookTotalWeighted" localSheetId="48">#REF!</definedName>
    <definedName name="OutlookTotalWeighted">#REF!</definedName>
    <definedName name="OvalRatio" localSheetId="48">#REF!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1_">#REF!</definedName>
    <definedName name="p1_villas">#REF!</definedName>
    <definedName name="P2_">#REF!</definedName>
    <definedName name="PA" localSheetId="48">#REF!</definedName>
    <definedName name="PA">#REF!</definedName>
    <definedName name="pa____________or">"Retail Rental Growth+Sheet1!$F$21"</definedName>
    <definedName name="page_10">#REF!</definedName>
    <definedName name="page_11">#REF!</definedName>
    <definedName name="page_12">#REF!</definedName>
    <definedName name="page_13">#REF!</definedName>
    <definedName name="page_14">#REF!</definedName>
    <definedName name="page_7">#REF!</definedName>
    <definedName name="page_8">#REF!</definedName>
    <definedName name="page_9">#REF!</definedName>
    <definedName name="papapapapapa" localSheetId="48" hidden="1">#REF!</definedName>
    <definedName name="papapapapapa" hidden="1">#REF!</definedName>
    <definedName name="payable2" localSheetId="48" hidden="1">#REF!</definedName>
    <definedName name="payable2" hidden="1">#REF!</definedName>
    <definedName name="PB" localSheetId="48">#REF!</definedName>
    <definedName name="PB">#REF!</definedName>
    <definedName name="pbPrinterFormat">"\\nhkgc040pps1\PHKG00311 on Ne03:"</definedName>
    <definedName name="PC" localSheetId="48">#REF!</definedName>
    <definedName name="PC">#REF!</definedName>
    <definedName name="PD" localSheetId="48">#REF!</definedName>
    <definedName name="PD">#REF!</definedName>
    <definedName name="pdpdpdpdppdpdpdpdpd" localSheetId="48" hidden="1">#REF!</definedName>
    <definedName name="pdpdpdpdppdpdpdpdpd" hidden="1">#REF!</definedName>
    <definedName name="PE" localSheetId="48">#REF!</definedName>
    <definedName name="PE">#REF!</definedName>
    <definedName name="PERANAKAN_PLACE">#REF!</definedName>
    <definedName name="period">#REF!</definedName>
    <definedName name="PERIODS">#REF!</definedName>
    <definedName name="PeriodsInYear" localSheetId="48">#REF!</definedName>
    <definedName name="PeriodsInYear">#REF!</definedName>
    <definedName name="PF" localSheetId="48">#REF!</definedName>
    <definedName name="PF">#REF!</definedName>
    <definedName name="pfkfdjf" localSheetId="48" hidden="1">#REF!</definedName>
    <definedName name="pfkfdjf" hidden="1">#REF!</definedName>
    <definedName name="PG" localSheetId="48">#REF!</definedName>
    <definedName name="PG">#REF!</definedName>
    <definedName name="PH" localSheetId="48">#REF!</definedName>
    <definedName name="PH">#REF!</definedName>
    <definedName name="PI" localSheetId="48">#REF!</definedName>
    <definedName name="PI">#REF!</definedName>
    <definedName name="PJ" localSheetId="48">#REF!</definedName>
    <definedName name="PJ">#REF!</definedName>
    <definedName name="PK" localSheetId="48">#REF!</definedName>
    <definedName name="PK">#REF!</definedName>
    <definedName name="pkiojkijj" localSheetId="48"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48" hidden="1">#REF!</definedName>
    <definedName name="plolololo" hidden="1">#REF!</definedName>
    <definedName name="pl건설">#REF!</definedName>
    <definedName name="pl양재">#REF!</definedName>
    <definedName name="PM" localSheetId="48">#REF!</definedName>
    <definedName name="PM">#REF!</definedName>
    <definedName name="PM_Order_Output_New" localSheetId="48">#REF!</definedName>
    <definedName name="PM_Order_Output_New">#REF!</definedName>
    <definedName name="PMem">#REF!</definedName>
    <definedName name="PMgt">#REF!</definedName>
    <definedName name="PMISFEE">#REF!</definedName>
    <definedName name="PNL" hidden="1">#REF!</definedName>
    <definedName name="po">#REF!</definedName>
    <definedName name="Position" localSheetId="48">#REF!</definedName>
    <definedName name="Position">#REF!</definedName>
    <definedName name="pp" localSheetId="48" hidden="1">#REF!</definedName>
    <definedName name="pp" hidden="1">#REF!</definedName>
    <definedName name="ppms">#REF!</definedName>
    <definedName name="PRE">#REF!</definedName>
    <definedName name="PRent">#REF!</definedName>
    <definedName name="Presentation_Lay_out_Budget">#REF!</definedName>
    <definedName name="Presentation_Lay_out_Prev_Yr">#REF!</definedName>
    <definedName name="PRICE" localSheetId="48">#REF!</definedName>
    <definedName name="PRICE">#REF!</definedName>
    <definedName name="Print">#REF!</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31">'收益法（车位）'!$A$1:$AK$69</definedName>
    <definedName name="_xlnm.Print_Area" localSheetId="30">'收益法（商业）'!$A$1:$AK$69</definedName>
    <definedName name="_xlnm.Print_Area" localSheetId="14">'数据-汇总表'!$A$1:$P$32</definedName>
    <definedName name="_xlnm.Print_Area" localSheetId="48">现金流预测审核报告!$A$1:$R$77</definedName>
    <definedName name="_xlnm.Print_Area">#REF!</definedName>
    <definedName name="Print_Area_MI" localSheetId="48">#REF!</definedName>
    <definedName name="Print_Area_MI">#REF!</definedName>
    <definedName name="PRINT_AREA_MI1">#REF!</definedName>
    <definedName name="Print_Titl0es" localSheetId="48">#REF!</definedName>
    <definedName name="Print_Titl0es">#REF!</definedName>
    <definedName name="print_title">#REF!</definedName>
    <definedName name="_xlnm.Print_Titles">#REF!</definedName>
    <definedName name="PRINT_TITLES_MI">#REF!</definedName>
    <definedName name="PRINT_TITLES_MI1">#REF!</definedName>
    <definedName name="PrintArea">#REF!</definedName>
    <definedName name="printarea1">#REF!</definedName>
    <definedName name="PrintManagerQuery">#REF!</definedName>
    <definedName name="PrintSelectedSheetsMacroButton">#REF!</definedName>
    <definedName name="PROBG_Contracted" localSheetId="48">#REF!</definedName>
    <definedName name="PROBG_Contracted">#REF!</definedName>
    <definedName name="PROBG_High" localSheetId="48">#REF!</definedName>
    <definedName name="PROBG_High">#REF!</definedName>
    <definedName name="PROBG_Low" localSheetId="48">#REF!</definedName>
    <definedName name="PROBG_Low">#REF!</definedName>
    <definedName name="PROBG_Medium" localSheetId="48">#REF!</definedName>
    <definedName name="PROBG_Medium">#REF!</definedName>
    <definedName name="PROF3A">#REF!</definedName>
    <definedName name="PROF3B">#REF!</definedName>
    <definedName name="PROFILE1">#REF!</definedName>
    <definedName name="PROFILE2">#REF!</definedName>
    <definedName name="ProImportExport.ImportFile">#N/A</definedName>
    <definedName name="ProImportExport.SaveNewFile">#N/A</definedName>
    <definedName name="ProjectName">{"Client Name or Project Name"}</definedName>
    <definedName name="ProposedBid">#REF!</definedName>
    <definedName name="protection" localSheetId="48">#REF!</definedName>
    <definedName name="protection">#REF!</definedName>
    <definedName name="protectiong" localSheetId="48">#REF!</definedName>
    <definedName name="protectiong">#REF!</definedName>
    <definedName name="protectionh" localSheetId="48">#REF!</definedName>
    <definedName name="protectionh">#REF!</definedName>
    <definedName name="protectioni" localSheetId="48">#REF!</definedName>
    <definedName name="protectioni">#REF!</definedName>
    <definedName name="protectionj" localSheetId="48">#REF!</definedName>
    <definedName name="protectionj">#REF!</definedName>
    <definedName name="protectionk" localSheetId="48">#REF!</definedName>
    <definedName name="protectionk">#REF!</definedName>
    <definedName name="protectionl" localSheetId="48">#REF!</definedName>
    <definedName name="protectionl">#REF!</definedName>
    <definedName name="PRT_REP" localSheetId="48">#REF!</definedName>
    <definedName name="PRT_REP">#REF!</definedName>
    <definedName name="PRYR01">#REF!</definedName>
    <definedName name="PRYR02">#REF!</definedName>
    <definedName name="PRYR03">#REF!</definedName>
    <definedName name="PRYR04">#REF!</definedName>
    <definedName name="PRYR05">#REF!</definedName>
    <definedName name="PRYRBDGT">#REF!</definedName>
    <definedName name="PRYRFAS1">#REF!</definedName>
    <definedName name="PRYRFAS2">#REF!</definedName>
    <definedName name="PRYRFAS3">#REF!</definedName>
    <definedName name="PRYRFAS4">#REF!</definedName>
    <definedName name="PRYRFAS5">#REF!</definedName>
    <definedName name="PRYRSTAT">#REF!</definedName>
    <definedName name="ps">#REF!</definedName>
    <definedName name="PSMMod">#REF!</definedName>
    <definedName name="PT">#REF!</definedName>
    <definedName name="PTEeXToEUR" localSheetId="48" hidden="1">1/EUReXToPTE</definedName>
    <definedName name="PTEeXToEUR" hidden="1">1/EUReXToPTE</definedName>
    <definedName name="PUB_FileID" hidden="1">"L10003787.xls"</definedName>
    <definedName name="PUB_UserID" hidden="1">"MAYERX"</definedName>
    <definedName name="Purchase_Price">#REF!</definedName>
    <definedName name="PurchasePrice">#REF!</definedName>
    <definedName name="PurchaseStrategy">#REF!</definedName>
    <definedName name="pxpxpxpxpxppx" localSheetId="48" hidden="1">#REF!</definedName>
    <definedName name="pxpxpxpxpxppx" hidden="1">#REF!</definedName>
    <definedName name="PY" localSheetId="48">#REF!</definedName>
    <definedName name="PY">#REF!</definedName>
    <definedName name="pykygukuygkgjh" localSheetId="48" hidden="1">#REF!</definedName>
    <definedName name="pykygukuygkgjh" hidden="1">#REF!</definedName>
    <definedName name="PZ" localSheetId="48">#REF!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#REF!</definedName>
    <definedName name="QDRQ_2">#N/A</definedName>
    <definedName name="QDRQ_3">#N/A</definedName>
    <definedName name="QDRQ_5">#N/A</definedName>
    <definedName name="qeqw" localSheetId="48"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#REF!</definedName>
    <definedName name="qqqqq" localSheetId="48" hidden="1">#REF!</definedName>
    <definedName name="qqqqq" hidden="1">#REF!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48" hidden="1">#REF!</definedName>
    <definedName name="qrqrqrqrrqra" hidden="1">#REF!</definedName>
    <definedName name="QTD" hidden="1">{"'Check Request'!$A$1:$BF$37"}</definedName>
    <definedName name="QtrActualTotal" localSheetId="48">#REF!</definedName>
    <definedName name="QtrActualTotal">#REF!</definedName>
    <definedName name="QtrActualTotalDetail" localSheetId="48">#REF!</definedName>
    <definedName name="QtrActualTotalDetail">#REF!</definedName>
    <definedName name="QtrCAOTotal" localSheetId="48">#REF!</definedName>
    <definedName name="QtrCAOTotal">#REF!</definedName>
    <definedName name="QtrCAOTotalDetail" localSheetId="48">#REF!</definedName>
    <definedName name="QtrCAOTotalDetail">#REF!</definedName>
    <definedName name="QtrCWVTotal" localSheetId="48">#REF!</definedName>
    <definedName name="QtrCWVTotal">#REF!</definedName>
    <definedName name="QtrCWVTotalDetail" localSheetId="48">#REF!</definedName>
    <definedName name="QtrCWVTotalDetail">#REF!</definedName>
    <definedName name="QtrFunnelTotalDetail" localSheetId="48">#REF!</definedName>
    <definedName name="QtrFunnelTotalDetail">#REF!</definedName>
    <definedName name="QtrMLVTotalDetail" localSheetId="48">#REF!</definedName>
    <definedName name="QtrMLVTotalDetail">#REF!</definedName>
    <definedName name="QtrMustWinTotalDetail" localSheetId="48">#REF!</definedName>
    <definedName name="QtrMustWinTotalDetail">#REF!</definedName>
    <definedName name="QtrOutlookTotal" localSheetId="48">#REF!</definedName>
    <definedName name="QtrOutlookTotal">#REF!</definedName>
    <definedName name="QtrRange" localSheetId="48">#REF!</definedName>
    <definedName name="QtrRange">#REF!</definedName>
    <definedName name="Query1">#REF!</definedName>
    <definedName name="Question3" localSheetId="48">#REF!</definedName>
    <definedName name="Question3">#REF!</definedName>
    <definedName name="quit_button_Click">#N/A</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48">#REF!</definedName>
    <definedName name="rack">#REF!</definedName>
    <definedName name="RATE1">#REF!</definedName>
    <definedName name="RATE2">#REF!</definedName>
    <definedName name="RATE3">#REF!</definedName>
    <definedName name="RATE4">#REF!</definedName>
    <definedName name="RATE6">#REF!</definedName>
    <definedName name="RATE7">#REF!</definedName>
    <definedName name="RATE9">#REF!</definedName>
    <definedName name="RATEA">#REF!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2">#REF!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FiDate">#REF!</definedName>
    <definedName name="ReFiExist">#REF!</definedName>
    <definedName name="ReFiOption">#REF!</definedName>
    <definedName name="RefNOI">#REF!</definedName>
    <definedName name="RefYear">#REF!</definedName>
    <definedName name="rel" localSheetId="48">#REF!</definedName>
    <definedName name="rel">#REF!</definedName>
    <definedName name="rent">#REF!</definedName>
    <definedName name="Rent_Roll">#REF!</definedName>
    <definedName name="Report">#REF!</definedName>
    <definedName name="REPORT1">#REF!</definedName>
    <definedName name="REPORT2">#REF!</definedName>
    <definedName name="ReportCreated">TRUE</definedName>
    <definedName name="ReportFooter1" localSheetId="48">#REF!</definedName>
    <definedName name="ReportFooter1">#REF!</definedName>
    <definedName name="ReportFooter2" localSheetId="48">#REF!</definedName>
    <definedName name="ReportFooter2">#REF!</definedName>
    <definedName name="ReportFooter3" localSheetId="48">#REF!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#REF!</definedName>
    <definedName name="RevDCurSuffix" localSheetId="48">#REF!</definedName>
    <definedName name="RevDCurSuffix">#REF!</definedName>
    <definedName name="RevDCurSym" localSheetId="48">#REF!</definedName>
    <definedName name="RevDCurSym">#REF!</definedName>
    <definedName name="RevDSuffix" localSheetId="48">#REF!</definedName>
    <definedName name="RevDSuffix">#REF!</definedName>
    <definedName name="RevDSym" localSheetId="48">#REF!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48">#REF!</definedName>
    <definedName name="RevenueDenominator">#REF!</definedName>
    <definedName name="RevenueLimit" localSheetId="48">#REF!</definedName>
    <definedName name="RevenueLimit">#REF!</definedName>
    <definedName name="RevenueLimitHeading" localSheetId="48">#REF!</definedName>
    <definedName name="RevenueLimitHeading">#REF!</definedName>
    <definedName name="Revision" localSheetId="48">#REF!</definedName>
    <definedName name="Revision">#REF!</definedName>
    <definedName name="rgbrbwsd" localSheetId="48"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#REF!</definedName>
    <definedName name="Rights_Issue_Price_for_IMM">#REF!</definedName>
    <definedName name="Rights_Issue_Price_Per_Unit_for_IMM">#REF!</definedName>
    <definedName name="RightsPrice">#REF!</definedName>
    <definedName name="RightsPx">#REF!</definedName>
    <definedName name="RISKFREERATE">#REF!</definedName>
    <definedName name="RK">BlankMacro1</definedName>
    <definedName name="RmapAE_CTWINN" localSheetId="48">#REF!</definedName>
    <definedName name="RmapAE_CTWINN">#REF!</definedName>
    <definedName name="RmapAE_DROLFE" localSheetId="48">#REF!</definedName>
    <definedName name="RmapAE_DROLFE">#REF!</definedName>
    <definedName name="RmapAE_DUDLEYJOHNSON" localSheetId="48">#REF!</definedName>
    <definedName name="RmapAE_DUDLEYJOHNSON">#REF!</definedName>
    <definedName name="RmapAE_JIMDWYER" localSheetId="48">#REF!</definedName>
    <definedName name="RmapAE_JIMDWYER">#REF!</definedName>
    <definedName name="RmapAE_MVODONOGHUE" localSheetId="48">#REF!</definedName>
    <definedName name="RmapAE_MVODONOGHUE">#REF!</definedName>
    <definedName name="RmapAE_PASCOE" localSheetId="48">#REF!</definedName>
    <definedName name="RmapAE_PASCOE">#REF!</definedName>
    <definedName name="RmapAE_RSPALDING" localSheetId="48">#REF!</definedName>
    <definedName name="RmapAE_RSPALDING">#REF!</definedName>
    <definedName name="RmapAE_THIRU" localSheetId="48">#REF!</definedName>
    <definedName name="RmapAE_THIRU">#REF!</definedName>
    <definedName name="RMCOptions">"*100000000000000"</definedName>
    <definedName name="RND">#REF!</definedName>
    <definedName name="round">1</definedName>
    <definedName name="rr" localSheetId="48" hidden="1">#REF!</definedName>
    <definedName name="rr" hidden="1">#REF!</definedName>
    <definedName name="rs">#REF!</definedName>
    <definedName name="RunDate" localSheetId="48">#REF!</definedName>
    <definedName name="RunDate">#REF!</definedName>
    <definedName name="RunHorzHeader">#REF!</definedName>
    <definedName name="RunResults">#REF!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#REF!</definedName>
    <definedName name="SaleCap">#REF!</definedName>
    <definedName name="Sales_Stage_01_Color" localSheetId="48">#REF!</definedName>
    <definedName name="Sales_Stage_01_Color">#REF!</definedName>
    <definedName name="Sales_Stage_02_Color" localSheetId="48">#REF!</definedName>
    <definedName name="Sales_Stage_02_Color">#REF!</definedName>
    <definedName name="Sales_Stage_03_Color" localSheetId="48">#REF!</definedName>
    <definedName name="Sales_Stage_03_Color">#REF!</definedName>
    <definedName name="Sales_Stage_04_Color" localSheetId="48">#REF!</definedName>
    <definedName name="Sales_Stage_04_Color">#REF!</definedName>
    <definedName name="Sales_Stage_05_Color" localSheetId="48">#REF!</definedName>
    <definedName name="Sales_Stage_05_Color">#REF!</definedName>
    <definedName name="Sales_Stage_06_Color" localSheetId="48">#REF!</definedName>
    <definedName name="Sales_Stage_06_Color">#REF!</definedName>
    <definedName name="Sales_Stage_07_Color" localSheetId="48">#REF!</definedName>
    <definedName name="Sales_Stage_07_Color">#REF!</definedName>
    <definedName name="SalesFunnelIndirectKey" localSheetId="48">#REF!</definedName>
    <definedName name="SalesFunnelIndirectKey">#REF!</definedName>
    <definedName name="SAM">#REF!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48">Main.SAPF4Help()</definedName>
    <definedName name="SAPFuncF4Help">Main.SAPF4Help()</definedName>
    <definedName name="SAPsysID" hidden="1">"708C5W7SBKP804JT78WJ0JNKI"</definedName>
    <definedName name="SAPwbID" hidden="1">"ARS"</definedName>
    <definedName name="SaveNewFile">#N/A</definedName>
    <definedName name="SCA" localSheetId="48">#REF!</definedName>
    <definedName name="SCA">#REF!</definedName>
    <definedName name="SCHED" localSheetId="48">#REF!</definedName>
    <definedName name="SCHED">#REF!</definedName>
    <definedName name="SChonsei">#REF!</definedName>
    <definedName name="SCREEN_OFF" localSheetId="48">#REF!</definedName>
    <definedName name="SCREEN_OFF">#REF!</definedName>
    <definedName name="SCREEN_ON" localSheetId="48">#REF!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48">#REF!</definedName>
    <definedName name="SecondYear">#REF!</definedName>
    <definedName name="SelectedYear" localSheetId="48">#REF!</definedName>
    <definedName name="SelectedYear">#REF!</definedName>
    <definedName name="Sell_price">#REF!</definedName>
    <definedName name="sencount" hidden="1">1</definedName>
    <definedName name="September">#REF!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48">#REF!</definedName>
    <definedName name="Sheet1">#REF!</definedName>
    <definedName name="Sheet12" localSheetId="48">#REF!</definedName>
    <definedName name="Sheet12">#REF!</definedName>
    <definedName name="Sheet13" localSheetId="48">#REF!</definedName>
    <definedName name="Sheet13">#REF!</definedName>
    <definedName name="SheetHeaderRowCount" localSheetId="48">#REF!</definedName>
    <definedName name="SheetHeaderRowCount">#REF!</definedName>
    <definedName name="SheetName" localSheetId="48">#REF!</definedName>
    <definedName name="SheetName">#REF!</definedName>
    <definedName name="SheetRightmostCol" localSheetId="48">#REF!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#REF!</definedName>
    <definedName name="small_ch">#REF!</definedName>
    <definedName name="SMC_overview" localSheetId="48">#REF!</definedName>
    <definedName name="SMC_overview">#REF!</definedName>
    <definedName name="SnapshotChartData" localSheetId="48">#REF!</definedName>
    <definedName name="SnapshotChartData">#REF!</definedName>
    <definedName name="SnapshotChartData_Weighted" localSheetId="48">#REF!</definedName>
    <definedName name="SnapshotChartData_Weighted">#REF!</definedName>
    <definedName name="SnapshotChartDataDetail" localSheetId="48">#REF!</definedName>
    <definedName name="SnapshotChartDataDetail">#REF!</definedName>
    <definedName name="SnapshotChartQtrData" localSheetId="48">#REF!</definedName>
    <definedName name="SnapshotChartQtrData">#REF!</definedName>
    <definedName name="SnapshotChartQtrDataDetail" localSheetId="48">#REF!</definedName>
    <definedName name="SnapshotChartQtrDataDetail">#REF!</definedName>
    <definedName name="SnapshotQuarterChartDataDetail" localSheetId="48">#REF!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48"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48" hidden="1">#REF!</definedName>
    <definedName name="solver_opt" hidden="1">#REF!</definedName>
    <definedName name="solver_pre" hidden="1">0.000001</definedName>
    <definedName name="solver_rel1" hidden="1">1</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48">#REF!</definedName>
    <definedName name="standard">#REF!</definedName>
    <definedName name="StartingYear" localSheetId="48">#REF!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48">#REF!</definedName>
    <definedName name="SummaryBLG">#REF!</definedName>
    <definedName name="SummaryDR" localSheetId="48">#REF!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#REF!</definedName>
    <definedName name="T_Borr">#REF!</definedName>
    <definedName name="T_Pay">#REF!</definedName>
    <definedName name="tax">#REF!</definedName>
    <definedName name="TB">#REF!</definedName>
    <definedName name="TBTOP">#REF!</definedName>
    <definedName name="tc">#REF!</definedName>
    <definedName name="TChonsei">#REF!</definedName>
    <definedName name="TDeposit">#REF!</definedName>
    <definedName name="TDM" localSheetId="48">#REF!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48">#REF!</definedName>
    <definedName name="TEST0">#REF!</definedName>
    <definedName name="test1" hidden="1">{#N/A,#N/A,TRUE,"MAIN FT TERM";#N/A,#N/A,TRUE,"MCI  FT TERM ";#N/A,#N/A,TRUE,"OC12 EQV"}</definedName>
    <definedName name="TESTHKEY" localSheetId="48">#REF!</definedName>
    <definedName name="TESTHKEY">#REF!</definedName>
    <definedName name="TESTKEYS" localSheetId="48">#REF!</definedName>
    <definedName name="TESTKEYS">#REF!</definedName>
    <definedName name="TESTVKEY" localSheetId="48">#REF!</definedName>
    <definedName name="TESTVKEY">#REF!</definedName>
    <definedName name="TextRefCopy100">#REF!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9">#REF!</definedName>
    <definedName name="TextRefCopy12" localSheetId="48">#REF!</definedName>
    <definedName name="TextRefCopy12">#REF!</definedName>
    <definedName name="TextRefCopy128">#REF!</definedName>
    <definedName name="TextRefCopy129" localSheetId="48">#REF!</definedName>
    <definedName name="TextRefCopy129">#REF!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51">#REF!</definedName>
    <definedName name="TextRefCopy152">#REF!</definedName>
    <definedName name="TextRefCopy153">#REF!</definedName>
    <definedName name="TextRefCopy154">#REF!</definedName>
    <definedName name="TextRefCopy159">#REF!</definedName>
    <definedName name="TextRefCopy160">#REF!</definedName>
    <definedName name="TextRefCopy162">#REF!</definedName>
    <definedName name="TextRefCopy163">#REF!</definedName>
    <definedName name="TextRefCopy164">#REF!</definedName>
    <definedName name="TextRefCopy165">#REF!</definedName>
    <definedName name="TextRefCopy166">#REF!</definedName>
    <definedName name="TextRefCopy169">#REF!</definedName>
    <definedName name="TextRefCopy17" localSheetId="48">#REF!</definedName>
    <definedName name="TextRefCopy17">#REF!</definedName>
    <definedName name="TextRefCopy170">#REF!</definedName>
    <definedName name="TextRefCopy171">#REF!</definedName>
    <definedName name="TextRefCopy172">#REF!</definedName>
    <definedName name="TextRefCopy184" localSheetId="48">#REF!</definedName>
    <definedName name="TextRefCopy184">#REF!</definedName>
    <definedName name="TextRefCopy186" localSheetId="48">#REF!</definedName>
    <definedName name="TextRefCopy186">#REF!</definedName>
    <definedName name="TextRefCopy187" localSheetId="48">#REF!</definedName>
    <definedName name="TextRefCopy187">#REF!</definedName>
    <definedName name="TextRefCopy188" localSheetId="48">#REF!</definedName>
    <definedName name="TextRefCopy188">#REF!</definedName>
    <definedName name="TextRefCopy189" localSheetId="48">#REF!</definedName>
    <definedName name="TextRefCopy189">#REF!</definedName>
    <definedName name="TextRefCopy2" localSheetId="48">#REF!</definedName>
    <definedName name="TextRefCopy2">#REF!</definedName>
    <definedName name="TextRefCopy21" localSheetId="48">#REF!</definedName>
    <definedName name="TextRefCopy21">#REF!</definedName>
    <definedName name="TextRefCopy22" localSheetId="48">#REF!</definedName>
    <definedName name="TextRefCopy22">#REF!</definedName>
    <definedName name="TextRefCopy23" localSheetId="48">#REF!</definedName>
    <definedName name="TextRefCopy23">#REF!</definedName>
    <definedName name="TextRefCopy24" localSheetId="48">#REF!</definedName>
    <definedName name="TextRefCopy24">#REF!</definedName>
    <definedName name="TextRefCopy26" localSheetId="48">#REF!</definedName>
    <definedName name="TextRefCopy26">#REF!</definedName>
    <definedName name="TextRefCopy262" localSheetId="48">#REF!</definedName>
    <definedName name="TextRefCopy262">#REF!</definedName>
    <definedName name="TextRefCopy263" localSheetId="48">#REF!</definedName>
    <definedName name="TextRefCopy263">#REF!</definedName>
    <definedName name="TextRefCopy264" localSheetId="48">#REF!</definedName>
    <definedName name="TextRefCopy264">#REF!</definedName>
    <definedName name="TextRefCopy265" localSheetId="48">#REF!</definedName>
    <definedName name="TextRefCopy265">#REF!</definedName>
    <definedName name="TextRefCopy266" localSheetId="48">#REF!</definedName>
    <definedName name="TextRefCopy266">#REF!</definedName>
    <definedName name="TextRefCopy267" localSheetId="48">#REF!</definedName>
    <definedName name="TextRefCopy267">#REF!</definedName>
    <definedName name="TextRefCopy268" localSheetId="48">#REF!</definedName>
    <definedName name="TextRefCopy268">#REF!</definedName>
    <definedName name="TextRefCopy269" localSheetId="48">#REF!</definedName>
    <definedName name="TextRefCopy269">#REF!</definedName>
    <definedName name="TextRefCopy27" localSheetId="48">#REF!</definedName>
    <definedName name="TextRefCopy27">#REF!</definedName>
    <definedName name="TextRefCopy270" localSheetId="48">#REF!</definedName>
    <definedName name="TextRefCopy270">#REF!</definedName>
    <definedName name="TextRefCopy273" localSheetId="48">#REF!</definedName>
    <definedName name="TextRefCopy273">#REF!</definedName>
    <definedName name="TextRefCopy28" localSheetId="48">#REF!</definedName>
    <definedName name="TextRefCopy28">#REF!</definedName>
    <definedName name="TextRefCopy294" localSheetId="48">#REF!</definedName>
    <definedName name="TextRefCopy294">#REF!</definedName>
    <definedName name="TextRefCopy295" localSheetId="48">#REF!</definedName>
    <definedName name="TextRefCopy295">#REF!</definedName>
    <definedName name="TextRefCopy296" localSheetId="48">#REF!</definedName>
    <definedName name="TextRefCopy296">#REF!</definedName>
    <definedName name="TextRefCopy297" localSheetId="48">#REF!</definedName>
    <definedName name="TextRefCopy297">#REF!</definedName>
    <definedName name="TextRefCopy298" localSheetId="48">#REF!</definedName>
    <definedName name="TextRefCopy298">#REF!</definedName>
    <definedName name="TextRefCopy299" localSheetId="48">#REF!</definedName>
    <definedName name="TextRefCopy299">#REF!</definedName>
    <definedName name="TextRefCopy300" localSheetId="48">#REF!</definedName>
    <definedName name="TextRefCopy300">#REF!</definedName>
    <definedName name="TextRefCopy302" localSheetId="48">#REF!</definedName>
    <definedName name="TextRefCopy302">#REF!</definedName>
    <definedName name="TextRefCopy306" localSheetId="48">#REF!</definedName>
    <definedName name="TextRefCopy306">#REF!</definedName>
    <definedName name="TextRefCopy307" localSheetId="48">#REF!</definedName>
    <definedName name="TextRefCopy307">#REF!</definedName>
    <definedName name="TextRefCopy308" localSheetId="48">#REF!</definedName>
    <definedName name="TextRefCopy308">#REF!</definedName>
    <definedName name="TextRefCopy311" localSheetId="48">#REF!</definedName>
    <definedName name="TextRefCopy311">#REF!</definedName>
    <definedName name="TextRefCopy312" localSheetId="48">#REF!</definedName>
    <definedName name="TextRefCopy312">#REF!</definedName>
    <definedName name="TextRefCopy313" localSheetId="48">#REF!</definedName>
    <definedName name="TextRefCopy313">#REF!</definedName>
    <definedName name="TextRefCopy314" localSheetId="48">#REF!</definedName>
    <definedName name="TextRefCopy314">#REF!</definedName>
    <definedName name="TextRefCopy335" localSheetId="48">#REF!</definedName>
    <definedName name="TextRefCopy335">#REF!</definedName>
    <definedName name="TextRefCopy345" localSheetId="48">#REF!</definedName>
    <definedName name="TextRefCopy345">#REF!</definedName>
    <definedName name="TextRefCopy346" localSheetId="48">#REF!</definedName>
    <definedName name="TextRefCopy346">#REF!</definedName>
    <definedName name="TextRefCopy347" localSheetId="48">#REF!</definedName>
    <definedName name="TextRefCopy347">#REF!</definedName>
    <definedName name="TextRefCopy348" localSheetId="48">#REF!</definedName>
    <definedName name="TextRefCopy348">#REF!</definedName>
    <definedName name="TextRefCopy349" localSheetId="48">#REF!</definedName>
    <definedName name="TextRefCopy349">#REF!</definedName>
    <definedName name="TextRefCopy350" localSheetId="48">#REF!</definedName>
    <definedName name="TextRefCopy350">#REF!</definedName>
    <definedName name="TextRefCopy351" localSheetId="48">#REF!</definedName>
    <definedName name="TextRefCopy351">#REF!</definedName>
    <definedName name="TextRefCopy352" localSheetId="48">#REF!</definedName>
    <definedName name="TextRefCopy352">#REF!</definedName>
    <definedName name="TextRefCopy36">#REF!</definedName>
    <definedName name="TextRefCopy368" localSheetId="48">#REF!</definedName>
    <definedName name="TextRefCopy368">#REF!</definedName>
    <definedName name="TextRefCopy6" localSheetId="48">#REF!</definedName>
    <definedName name="TextRefCopy6">#REF!</definedName>
    <definedName name="TextRefCopy66">#REF!</definedName>
    <definedName name="TextRefCopy7" localSheetId="48">#REF!</definedName>
    <definedName name="TextRefCopy7">#REF!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8" localSheetId="48">#REF!</definedName>
    <definedName name="TextRefCopy8">#REF!</definedName>
    <definedName name="TextRefCopy80">#REF!</definedName>
    <definedName name="TextRefCopy81">#REF!</definedName>
    <definedName name="TextRefCopy82">#REF!</definedName>
    <definedName name="TextRefCopy83">#REF!</definedName>
    <definedName name="TextRefCopy85">#REF!</definedName>
    <definedName name="TextRefCopy86">#REF!</definedName>
    <definedName name="TextRefCopy93">#REF!</definedName>
    <definedName name="TextRefCopy99">#REF!</definedName>
    <definedName name="TextRefCopyRangeCount" hidden="1">4</definedName>
    <definedName name="ThirdYear" localSheetId="48">#REF!</definedName>
    <definedName name="ThirdYear">#REF!</definedName>
    <definedName name="timing" localSheetId="48">#REF!</definedName>
    <definedName name="timing">#REF!</definedName>
    <definedName name="TitleFontSize" localSheetId="48">#REF!</definedName>
    <definedName name="TitleFontSize">#REF!</definedName>
    <definedName name="TitleLine1" localSheetId="48">#REF!</definedName>
    <definedName name="TitleLine1">#REF!</definedName>
    <definedName name="TitleLine2" localSheetId="48">#REF!</definedName>
    <definedName name="TitleLine2">#REF!</definedName>
    <definedName name="TitleLine3" localSheetId="48">#REF!</definedName>
    <definedName name="TitleLine3">#REF!</definedName>
    <definedName name="TitleLine4" localSheetId="48">#REF!</definedName>
    <definedName name="TitleLine4">#REF!</definedName>
    <definedName name="TitleLine5" localSheetId="48">#REF!</definedName>
    <definedName name="TitleLine5">#REF!</definedName>
    <definedName name="TLBB" hidden="1">{"'Check Request'!$A$1:$BF$37"}</definedName>
    <definedName name="tobacco">#REF!</definedName>
    <definedName name="token" hidden="1">{"'page 1'!$K$13","'page 1'!$A$1:$V$50"}</definedName>
    <definedName name="TOL">#N/A</definedName>
    <definedName name="Total_Debt">#REF!+#REF!</definedName>
    <definedName name="TotalCMTGearing2003">#REF!</definedName>
    <definedName name="TotalFunnelColor" localSheetId="48">#REF!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48" hidden="1">#REF!</definedName>
    <definedName name="TREND1" hidden="1">#REF!</definedName>
    <definedName name="TREND10" localSheetId="48" hidden="1">#REF!</definedName>
    <definedName name="TREND10" hidden="1">#REF!</definedName>
    <definedName name="TREND11" localSheetId="48" hidden="1">#REF!</definedName>
    <definedName name="TREND11" hidden="1">#REF!</definedName>
    <definedName name="TREND2" localSheetId="48" hidden="1">#REF!</definedName>
    <definedName name="TREND2" hidden="1">#REF!</definedName>
    <definedName name="TREND3" localSheetId="48" hidden="1">#REF!</definedName>
    <definedName name="TREND3" hidden="1">#REF!</definedName>
    <definedName name="TREND4" localSheetId="48" hidden="1">#REF!</definedName>
    <definedName name="TREND4" hidden="1">#REF!</definedName>
    <definedName name="TREND5" localSheetId="48" hidden="1">#REF!</definedName>
    <definedName name="TREND5" hidden="1">#REF!</definedName>
    <definedName name="TREND6" localSheetId="48" hidden="1">#REF!</definedName>
    <definedName name="TREND6" hidden="1">#REF!</definedName>
    <definedName name="TREND7" localSheetId="48" hidden="1">#REF!</definedName>
    <definedName name="TREND7" hidden="1">#REF!</definedName>
    <definedName name="trend8" localSheetId="48" hidden="1">#REF!</definedName>
    <definedName name="trend8" hidden="1">#REF!</definedName>
    <definedName name="TREND9" localSheetId="48" hidden="1">#REF!</definedName>
    <definedName name="TREND9" hidden="1">#REF!</definedName>
    <definedName name="TRent">#REF!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#REF!</definedName>
    <definedName name="ttxxxx">#REF!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48"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48">#REF!</definedName>
    <definedName name="UFPrn20021021133940">#REF!</definedName>
    <definedName name="UFPrn20040313123513" localSheetId="48">#REF!</definedName>
    <definedName name="UFPrn20040313123513">#REF!</definedName>
    <definedName name="UFPrn20040313123541" localSheetId="48">#REF!</definedName>
    <definedName name="UFPrn20040313123541">#REF!</definedName>
    <definedName name="UFPrn20040330183527" localSheetId="48">#REF!</definedName>
    <definedName name="UFPrn20040330183527">#REF!</definedName>
    <definedName name="UFPrn20040806192158">#REF!</definedName>
    <definedName name="UFPrn20050125150746" localSheetId="48">#REF!</definedName>
    <definedName name="UFPrn20050125150746">#REF!</definedName>
    <definedName name="UFPrn20060217172025" localSheetId="48">#REF!</definedName>
    <definedName name="UFPrn20060217172025">#REF!</definedName>
    <definedName name="UFPrn20060217173233" localSheetId="48">#REF!</definedName>
    <definedName name="UFPrn20060217173233">#REF!</definedName>
    <definedName name="UFPrn20060217173451" localSheetId="48">#REF!</definedName>
    <definedName name="UFPrn20060217173451">#REF!</definedName>
    <definedName name="UFPrn20060321142051" localSheetId="48">#REF!</definedName>
    <definedName name="UFPrn20060321142051">#REF!</definedName>
    <definedName name="UFPrn20060321142218" localSheetId="48">#REF!</definedName>
    <definedName name="UFPrn20060321142218">#REF!</definedName>
    <definedName name="UFPrn20060321142239" localSheetId="48">#REF!</definedName>
    <definedName name="UFPrn20060321142239">#REF!</definedName>
    <definedName name="UFPrn20060407162520" localSheetId="48">#REF!</definedName>
    <definedName name="UFPrn20060407162520">#REF!</definedName>
    <definedName name="UFPrn20060407163451" localSheetId="48">#REF!</definedName>
    <definedName name="UFPrn20060407163451">#REF!</definedName>
    <definedName name="UFPrn20060407163501" localSheetId="48">#REF!</definedName>
    <definedName name="UFPrn20060407163501">#REF!</definedName>
    <definedName name="UFPrn20060407163512" localSheetId="48">#REF!</definedName>
    <definedName name="UFPrn20060407163512">#REF!</definedName>
    <definedName name="UFPrn20060412165425">#REF!</definedName>
    <definedName name="UFPrn20060420165121" localSheetId="48">#REF!</definedName>
    <definedName name="UFPrn20060420165121">#REF!</definedName>
    <definedName name="UFPrn20060429170330" localSheetId="48">#REF!</definedName>
    <definedName name="UFPrn20060429170330">#REF!</definedName>
    <definedName name="UFPrn20060809121159">#REF!</definedName>
    <definedName name="UFPrn20061017171437" localSheetId="48">#REF!</definedName>
    <definedName name="UFPrn20061017171437">#REF!</definedName>
    <definedName name="UFPrn20061020083749" localSheetId="48">#REF!</definedName>
    <definedName name="UFPrn20061020083749">#REF!</definedName>
    <definedName name="UFPrn20081216115043">#REF!</definedName>
    <definedName name="UFPrn20081216120053">#REF!</definedName>
    <definedName name="UFPrn20081216120925">#REF!</definedName>
    <definedName name="UFPrn20081216121510">#REF!</definedName>
    <definedName name="UFPrn20081216121837">#REF!</definedName>
    <definedName name="UFPrn20081216122615">#REF!</definedName>
    <definedName name="UFPrn20081216123055">#REF!</definedName>
    <definedName name="UFPrn20081216123335">#REF!</definedName>
    <definedName name="UFPrn20081216123843">#REF!</definedName>
    <definedName name="UFPrn20081216124245">#REF!</definedName>
    <definedName name="UFPrn20081216124427">#REF!</definedName>
    <definedName name="UFPrn20081216125352">#REF!</definedName>
    <definedName name="UFPrn20081216125725">#REF!</definedName>
    <definedName name="UFPrn20081216130157">#REF!</definedName>
    <definedName name="UFPrn20081216130943">#REF!</definedName>
    <definedName name="UFPrn20081216180002">#REF!</definedName>
    <definedName name="UFPrn2008121709135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#REF!</definedName>
    <definedName name="ululululu" localSheetId="48" hidden="1">#REF!</definedName>
    <definedName name="ululululu" hidden="1">#REF!</definedName>
    <definedName name="UMTS" localSheetId="48">Main.SAPF4Help()</definedName>
    <definedName name="UMTS">Main.SAPF4Help()</definedName>
    <definedName name="upgr" localSheetId="48">#REF!</definedName>
    <definedName name="upgr">#REF!</definedName>
    <definedName name="ups" hidden="1">{"'Sheet1'!$A$1:$J$57","'Sheet1'!$F$32:$F$35","'Sheet1'!$F$32:$F$36"}</definedName>
    <definedName name="User_Bytes" localSheetId="48">#REF!</definedName>
    <definedName name="User_Bytes">#REF!</definedName>
    <definedName name="UserName" localSheetId="48">#REF!</definedName>
    <definedName name="UserName">#REF!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#REF!</definedName>
    <definedName name="ValRule">#REF!</definedName>
    <definedName name="ValuationOffset">#REF!</definedName>
    <definedName name="value">3</definedName>
    <definedName name="VAT_Paid">#REF!</definedName>
    <definedName name="vb" hidden="1">{"HOMEPAGE",#N/A,FALSE,"HOME";"Report1_Q1",#N/A,FALSE,"REPORT1"}</definedName>
    <definedName name="versionno">1</definedName>
    <definedName name="vfvfvxf" localSheetId="48"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#REF!</definedName>
    <definedName name="Walsei_Table">#REF!</definedName>
    <definedName name="WarehseRentalGrowth_evy2yr">#REF!</definedName>
    <definedName name="wendywan_4_final" localSheetId="48">#REF!</definedName>
    <definedName name="wendywan_4_final">#REF!</definedName>
    <definedName name="wendywan_fins_final" localSheetId="48">#REF!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48" hidden="1">#REF!</definedName>
    <definedName name="wfcwfwfwfw" hidden="1">#REF!</definedName>
    <definedName name="WinStar_RSPALDING" localSheetId="48">#REF!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#REF!</definedName>
    <definedName name="Wuxi">#REF!</definedName>
    <definedName name="WUXI1" hidden="1">#REF!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48" hidden="1">#REF!</definedName>
    <definedName name="XREF_COLUMN_2" hidden="1">#REF!</definedName>
    <definedName name="XREF_COLUMN_26" localSheetId="48" hidden="1">#REF!</definedName>
    <definedName name="XREF_COLUMN_26" hidden="1">#REF!</definedName>
    <definedName name="XREF_COLUMN_29" localSheetId="48" hidden="1">#REF!</definedName>
    <definedName name="XREF_COLUMN_29" hidden="1">#REF!</definedName>
    <definedName name="XREF_COLUMN_3" localSheetId="48" hidden="1">#REF!</definedName>
    <definedName name="XREF_COLUMN_3" hidden="1">#REF!</definedName>
    <definedName name="XREF_COLUMN_32" localSheetId="48" hidden="1">#REF!</definedName>
    <definedName name="XREF_COLUMN_32" hidden="1">#REF!</definedName>
    <definedName name="XREF_COLUMN_34" localSheetId="48" hidden="1">#REF!</definedName>
    <definedName name="XREF_COLUMN_34" hidden="1">#REF!</definedName>
    <definedName name="XREF_COLUMN_35" localSheetId="48" hidden="1">#REF!</definedName>
    <definedName name="XREF_COLUMN_35" hidden="1">#REF!</definedName>
    <definedName name="XREF_COLUMN_36" localSheetId="48" hidden="1">#REF!</definedName>
    <definedName name="XREF_COLUMN_36" hidden="1">#REF!</definedName>
    <definedName name="XREF_COLUMN_4" localSheetId="48" hidden="1">#REF!</definedName>
    <definedName name="XREF_COLUMN_4" hidden="1">#REF!</definedName>
    <definedName name="XREF_COLUMN_5" localSheetId="48" hidden="1">#REF!</definedName>
    <definedName name="XREF_COLUMN_5" hidden="1">#REF!</definedName>
    <definedName name="XREF_COLUMN_6" localSheetId="48" hidden="1">#REF!</definedName>
    <definedName name="XREF_COLUMN_6" hidden="1">#REF!</definedName>
    <definedName name="XRefActiveRow" localSheetId="48" hidden="1">#REF!</definedName>
    <definedName name="XRefActiveRow" hidden="1">#REF!</definedName>
    <definedName name="XRefColumnsCount" hidden="1">1</definedName>
    <definedName name="XRefCopy10" localSheetId="48" hidden="1">#REF!</definedName>
    <definedName name="XRefCopy10" hidden="1">#REF!</definedName>
    <definedName name="XRefCopy100Row" localSheetId="48" hidden="1">#REF!</definedName>
    <definedName name="XRefCopy100Row" hidden="1">#REF!</definedName>
    <definedName name="XRefCopy102Row" localSheetId="48" hidden="1">#REF!</definedName>
    <definedName name="XRefCopy102Row" hidden="1">#REF!</definedName>
    <definedName name="XRefCopy103Row" localSheetId="48" hidden="1">#REF!</definedName>
    <definedName name="XRefCopy103Row" hidden="1">#REF!</definedName>
    <definedName name="XRefCopy104Row" localSheetId="48" hidden="1">#REF!</definedName>
    <definedName name="XRefCopy104Row" hidden="1">#REF!</definedName>
    <definedName name="XRefCopy105Row" localSheetId="48" hidden="1">#REF!</definedName>
    <definedName name="XRefCopy105Row" hidden="1">#REF!</definedName>
    <definedName name="XRefCopy106Row" localSheetId="48" hidden="1">#REF!</definedName>
    <definedName name="XRefCopy106Row" hidden="1">#REF!</definedName>
    <definedName name="XRefCopy107Row" localSheetId="48" hidden="1">#REF!</definedName>
    <definedName name="XRefCopy107Row" hidden="1">#REF!</definedName>
    <definedName name="XRefCopy108Row" localSheetId="48" hidden="1">#REF!</definedName>
    <definedName name="XRefCopy108Row" hidden="1">#REF!</definedName>
    <definedName name="XRefCopy109Row" localSheetId="48" hidden="1">#REF!</definedName>
    <definedName name="XRefCopy109Row" hidden="1">#REF!</definedName>
    <definedName name="XRefCopy10Row" localSheetId="48" hidden="1">#REF!</definedName>
    <definedName name="XRefCopy10Row" hidden="1">#REF!</definedName>
    <definedName name="XRefCopy111Row" localSheetId="48" hidden="1">#REF!</definedName>
    <definedName name="XRefCopy111Row" hidden="1">#REF!</definedName>
    <definedName name="XRefCopy112Row" localSheetId="48" hidden="1">#REF!</definedName>
    <definedName name="XRefCopy112Row" hidden="1">#REF!</definedName>
    <definedName name="XRefCopy113Row" localSheetId="48" hidden="1">#REF!</definedName>
    <definedName name="XRefCopy113Row" hidden="1">#REF!</definedName>
    <definedName name="XRefCopy114Row" localSheetId="48" hidden="1">#REF!</definedName>
    <definedName name="XRefCopy114Row" hidden="1">#REF!</definedName>
    <definedName name="XRefCopy115Row" localSheetId="48" hidden="1">#REF!</definedName>
    <definedName name="XRefCopy115Row" hidden="1">#REF!</definedName>
    <definedName name="XRefCopy116Row" localSheetId="48" hidden="1">#REF!</definedName>
    <definedName name="XRefCopy116Row" hidden="1">#REF!</definedName>
    <definedName name="XRefCopy117Row" localSheetId="48" hidden="1">#REF!</definedName>
    <definedName name="XRefCopy117Row" hidden="1">#REF!</definedName>
    <definedName name="XRefCopy119Row" localSheetId="48" hidden="1">#REF!</definedName>
    <definedName name="XRefCopy119Row" hidden="1">#REF!</definedName>
    <definedName name="XRefCopy11Row" localSheetId="48" hidden="1">#REF!</definedName>
    <definedName name="XRefCopy11Row" hidden="1">#REF!</definedName>
    <definedName name="XRefCopy12" localSheetId="48" hidden="1">#REF!</definedName>
    <definedName name="XRefCopy12" hidden="1">#REF!</definedName>
    <definedName name="XRefCopy120Row" localSheetId="48" hidden="1">#REF!</definedName>
    <definedName name="XRefCopy120Row" hidden="1">#REF!</definedName>
    <definedName name="XRefCopy121Row" localSheetId="48" hidden="1">#REF!</definedName>
    <definedName name="XRefCopy121Row" hidden="1">#REF!</definedName>
    <definedName name="XRefCopy122Row" localSheetId="48" hidden="1">#REF!</definedName>
    <definedName name="XRefCopy122Row" hidden="1">#REF!</definedName>
    <definedName name="XRefCopy123Row" localSheetId="48" hidden="1">#REF!</definedName>
    <definedName name="XRefCopy123Row" hidden="1">#REF!</definedName>
    <definedName name="XRefCopy124Row" localSheetId="48" hidden="1">#REF!</definedName>
    <definedName name="XRefCopy124Row" hidden="1">#REF!</definedName>
    <definedName name="XRefCopy125Row" localSheetId="48" hidden="1">#REF!</definedName>
    <definedName name="XRefCopy125Row" hidden="1">#REF!</definedName>
    <definedName name="XRefCopy126Row" localSheetId="48" hidden="1">#REF!</definedName>
    <definedName name="XRefCopy126Row" hidden="1">#REF!</definedName>
    <definedName name="XRefCopy127Row" localSheetId="48" hidden="1">#REF!</definedName>
    <definedName name="XRefCopy127Row" hidden="1">#REF!</definedName>
    <definedName name="XRefCopy128Row" localSheetId="48" hidden="1">#REF!</definedName>
    <definedName name="XRefCopy128Row" hidden="1">#REF!</definedName>
    <definedName name="XRefCopy129Row" localSheetId="48" hidden="1">#REF!</definedName>
    <definedName name="XRefCopy129Row" hidden="1">#REF!</definedName>
    <definedName name="XRefCopy130Row" localSheetId="48" hidden="1">#REF!</definedName>
    <definedName name="XRefCopy130Row" hidden="1">#REF!</definedName>
    <definedName name="XRefCopy131Row" localSheetId="48" hidden="1">#REF!</definedName>
    <definedName name="XRefCopy131Row" hidden="1">#REF!</definedName>
    <definedName name="XRefCopy132Row" localSheetId="48" hidden="1">#REF!</definedName>
    <definedName name="XRefCopy132Row" hidden="1">#REF!</definedName>
    <definedName name="XRefCopy133Row" localSheetId="48" hidden="1">#REF!</definedName>
    <definedName name="XRefCopy133Row" hidden="1">#REF!</definedName>
    <definedName name="XRefCopy134Row" localSheetId="48" hidden="1">#REF!</definedName>
    <definedName name="XRefCopy134Row" hidden="1">#REF!</definedName>
    <definedName name="XRefCopy136Row" localSheetId="48" hidden="1">#REF!</definedName>
    <definedName name="XRefCopy136Row" hidden="1">#REF!</definedName>
    <definedName name="XRefCopy137Row" localSheetId="48" hidden="1">#REF!</definedName>
    <definedName name="XRefCopy137Row" hidden="1">#REF!</definedName>
    <definedName name="XRefCopy138Row" localSheetId="48" hidden="1">#REF!</definedName>
    <definedName name="XRefCopy138Row" hidden="1">#REF!</definedName>
    <definedName name="XRefCopy139Row" localSheetId="48" hidden="1">#REF!</definedName>
    <definedName name="XRefCopy139Row" hidden="1">#REF!</definedName>
    <definedName name="XRefCopy13Row" localSheetId="48" hidden="1">#REF!</definedName>
    <definedName name="XRefCopy13Row" hidden="1">#REF!</definedName>
    <definedName name="XRefCopy14" localSheetId="48" hidden="1">#REF!</definedName>
    <definedName name="XRefCopy14" hidden="1">#REF!</definedName>
    <definedName name="XRefCopy141Row" localSheetId="48" hidden="1">#REF!</definedName>
    <definedName name="XRefCopy141Row" hidden="1">#REF!</definedName>
    <definedName name="XRefCopy142Row" localSheetId="48" hidden="1">#REF!</definedName>
    <definedName name="XRefCopy142Row" hidden="1">#REF!</definedName>
    <definedName name="XRefCopy143Row" localSheetId="48" hidden="1">#REF!</definedName>
    <definedName name="XRefCopy143Row" hidden="1">#REF!</definedName>
    <definedName name="XRefCopy144Row" localSheetId="48" hidden="1">#REF!</definedName>
    <definedName name="XRefCopy144Row" hidden="1">#REF!</definedName>
    <definedName name="XRefCopy145Row" localSheetId="48" hidden="1">#REF!</definedName>
    <definedName name="XRefCopy145Row" hidden="1">#REF!</definedName>
    <definedName name="XRefCopy146Row" localSheetId="48" hidden="1">#REF!</definedName>
    <definedName name="XRefCopy146Row" hidden="1">#REF!</definedName>
    <definedName name="XRefCopy148Row" localSheetId="48" hidden="1">#REF!</definedName>
    <definedName name="XRefCopy148Row" hidden="1">#REF!</definedName>
    <definedName name="XRefCopy14Row" localSheetId="48" hidden="1">#REF!</definedName>
    <definedName name="XRefCopy14Row" hidden="1">#REF!</definedName>
    <definedName name="XRefCopy150Row" localSheetId="48" hidden="1">#REF!</definedName>
    <definedName name="XRefCopy150Row" hidden="1">#REF!</definedName>
    <definedName name="XRefCopy151Row" localSheetId="48" hidden="1">#REF!</definedName>
    <definedName name="XRefCopy151Row" hidden="1">#REF!</definedName>
    <definedName name="XRefCopy152Row" localSheetId="48" hidden="1">#REF!</definedName>
    <definedName name="XRefCopy152Row" hidden="1">#REF!</definedName>
    <definedName name="XRefCopy153Row" localSheetId="48" hidden="1">#REF!</definedName>
    <definedName name="XRefCopy153Row" hidden="1">#REF!</definedName>
    <definedName name="XRefCopy154Row" localSheetId="48" hidden="1">#REF!</definedName>
    <definedName name="XRefCopy154Row" hidden="1">#REF!</definedName>
    <definedName name="XRefCopy155Row" localSheetId="48" hidden="1">#REF!</definedName>
    <definedName name="XRefCopy155Row" hidden="1">#REF!</definedName>
    <definedName name="XRefCopy156Row" localSheetId="48" hidden="1">#REF!</definedName>
    <definedName name="XRefCopy156Row" hidden="1">#REF!</definedName>
    <definedName name="XRefCopy157Row" localSheetId="48" hidden="1">#REF!</definedName>
    <definedName name="XRefCopy157Row" hidden="1">#REF!</definedName>
    <definedName name="XRefCopy158Row" localSheetId="48" hidden="1">#REF!</definedName>
    <definedName name="XRefCopy158Row" hidden="1">#REF!</definedName>
    <definedName name="XRefCopy159Row" localSheetId="48" hidden="1">#REF!</definedName>
    <definedName name="XRefCopy159Row" hidden="1">#REF!</definedName>
    <definedName name="XRefCopy15Row" localSheetId="48" hidden="1">#REF!</definedName>
    <definedName name="XRefCopy15Row" hidden="1">#REF!</definedName>
    <definedName name="XRefCopy160Row" localSheetId="48" hidden="1">#REF!</definedName>
    <definedName name="XRefCopy160Row" hidden="1">#REF!</definedName>
    <definedName name="XRefCopy161Row" localSheetId="48" hidden="1">#REF!</definedName>
    <definedName name="XRefCopy161Row" hidden="1">#REF!</definedName>
    <definedName name="XRefCopy162Row" localSheetId="48" hidden="1">#REF!</definedName>
    <definedName name="XRefCopy162Row" hidden="1">#REF!</definedName>
    <definedName name="XRefCopy163Row" localSheetId="48" hidden="1">#REF!</definedName>
    <definedName name="XRefCopy163Row" hidden="1">#REF!</definedName>
    <definedName name="XRefCopy164Row" localSheetId="48" hidden="1">#REF!</definedName>
    <definedName name="XRefCopy164Row" hidden="1">#REF!</definedName>
    <definedName name="XRefCopy165Row" localSheetId="48" hidden="1">#REF!</definedName>
    <definedName name="XRefCopy165Row" hidden="1">#REF!</definedName>
    <definedName name="XRefCopy166Row" localSheetId="48" hidden="1">#REF!</definedName>
    <definedName name="XRefCopy166Row" hidden="1">#REF!</definedName>
    <definedName name="XRefCopy167Row" localSheetId="48" hidden="1">#REF!</definedName>
    <definedName name="XRefCopy167Row" hidden="1">#REF!</definedName>
    <definedName name="XRefCopy168Row" localSheetId="48" hidden="1">#REF!</definedName>
    <definedName name="XRefCopy168Row" hidden="1">#REF!</definedName>
    <definedName name="XRefCopy169Row" localSheetId="48" hidden="1">#REF!</definedName>
    <definedName name="XRefCopy169Row" hidden="1">#REF!</definedName>
    <definedName name="XRefCopy16Row" localSheetId="48" hidden="1">#REF!</definedName>
    <definedName name="XRefCopy16Row" hidden="1">#REF!</definedName>
    <definedName name="XRefCopy17" localSheetId="48" hidden="1">#REF!</definedName>
    <definedName name="XRefCopy17" hidden="1">#REF!</definedName>
    <definedName name="XRefCopy171Row" localSheetId="48" hidden="1">#REF!</definedName>
    <definedName name="XRefCopy171Row" hidden="1">#REF!</definedName>
    <definedName name="XRefCopy172Row" localSheetId="48" hidden="1">#REF!</definedName>
    <definedName name="XRefCopy172Row" hidden="1">#REF!</definedName>
    <definedName name="XRefCopy173Row" localSheetId="48" hidden="1">#REF!</definedName>
    <definedName name="XRefCopy173Row" hidden="1">#REF!</definedName>
    <definedName name="XRefCopy175Row" localSheetId="48" hidden="1">#REF!</definedName>
    <definedName name="XRefCopy175Row" hidden="1">#REF!</definedName>
    <definedName name="XRefCopy176Row" localSheetId="48" hidden="1">#REF!</definedName>
    <definedName name="XRefCopy176Row" hidden="1">#REF!</definedName>
    <definedName name="XRefCopy177Row" localSheetId="48" hidden="1">#REF!</definedName>
    <definedName name="XRefCopy177Row" hidden="1">#REF!</definedName>
    <definedName name="XRefCopy178Row" localSheetId="48" hidden="1">#REF!</definedName>
    <definedName name="XRefCopy178Row" hidden="1">#REF!</definedName>
    <definedName name="XRefCopy179Row" localSheetId="48" hidden="1">#REF!</definedName>
    <definedName name="XRefCopy179Row" hidden="1">#REF!</definedName>
    <definedName name="XRefCopy17Row" localSheetId="48" hidden="1">#REF!</definedName>
    <definedName name="XRefCopy17Row" hidden="1">#REF!</definedName>
    <definedName name="XRefCopy180Row" localSheetId="48" hidden="1">#REF!</definedName>
    <definedName name="XRefCopy180Row" hidden="1">#REF!</definedName>
    <definedName name="XRefCopy182Row" localSheetId="48" hidden="1">#REF!</definedName>
    <definedName name="XRefCopy182Row" hidden="1">#REF!</definedName>
    <definedName name="XRefCopy183Row" localSheetId="48" hidden="1">#REF!</definedName>
    <definedName name="XRefCopy183Row" hidden="1">#REF!</definedName>
    <definedName name="XRefCopy184Row" localSheetId="48" hidden="1">#REF!</definedName>
    <definedName name="XRefCopy184Row" hidden="1">#REF!</definedName>
    <definedName name="XRefCopy185Row" localSheetId="48" hidden="1">#REF!</definedName>
    <definedName name="XRefCopy185Row" hidden="1">#REF!</definedName>
    <definedName name="XRefCopy186Row" localSheetId="48" hidden="1">#REF!</definedName>
    <definedName name="XRefCopy186Row" hidden="1">#REF!</definedName>
    <definedName name="XRefCopy187Row" localSheetId="48" hidden="1">#REF!</definedName>
    <definedName name="XRefCopy187Row" hidden="1">#REF!</definedName>
    <definedName name="XRefCopy188Row" localSheetId="48" hidden="1">#REF!</definedName>
    <definedName name="XRefCopy188Row" hidden="1">#REF!</definedName>
    <definedName name="XRefCopy189Row" localSheetId="48" hidden="1">#REF!</definedName>
    <definedName name="XRefCopy189Row" hidden="1">#REF!</definedName>
    <definedName name="XRefCopy18Row" localSheetId="48" hidden="1">#REF!</definedName>
    <definedName name="XRefCopy18Row" hidden="1">#REF!</definedName>
    <definedName name="XRefCopy190Row" localSheetId="48" hidden="1">#REF!</definedName>
    <definedName name="XRefCopy190Row" hidden="1">#REF!</definedName>
    <definedName name="XRefCopy191Row" localSheetId="48" hidden="1">#REF!</definedName>
    <definedName name="XRefCopy191Row" hidden="1">#REF!</definedName>
    <definedName name="XRefCopy192Row" localSheetId="48" hidden="1">#REF!</definedName>
    <definedName name="XRefCopy192Row" hidden="1">#REF!</definedName>
    <definedName name="XRefCopy194Row" localSheetId="48" hidden="1">#REF!</definedName>
    <definedName name="XRefCopy194Row" hidden="1">#REF!</definedName>
    <definedName name="XRefCopy195Row" localSheetId="48" hidden="1">#REF!</definedName>
    <definedName name="XRefCopy195Row" hidden="1">#REF!</definedName>
    <definedName name="XRefCopy196Row" localSheetId="48" hidden="1">#REF!</definedName>
    <definedName name="XRefCopy196Row" hidden="1">#REF!</definedName>
    <definedName name="XRefCopy197Row" localSheetId="48" hidden="1">#REF!</definedName>
    <definedName name="XRefCopy197Row" hidden="1">#REF!</definedName>
    <definedName name="XRefCopy198Row" localSheetId="48" hidden="1">#REF!</definedName>
    <definedName name="XRefCopy198Row" hidden="1">#REF!</definedName>
    <definedName name="XRefCopy199Row" localSheetId="48" hidden="1">#REF!</definedName>
    <definedName name="XRefCopy199Row" hidden="1">#REF!</definedName>
    <definedName name="XRefCopy19Row" localSheetId="48" hidden="1">#REF!</definedName>
    <definedName name="XRefCopy19Row" hidden="1">#REF!</definedName>
    <definedName name="XRefCopy1Row" localSheetId="48" hidden="1">#REF!</definedName>
    <definedName name="XRefCopy1Row" hidden="1">#REF!</definedName>
    <definedName name="XRefCopy2" localSheetId="48" hidden="1">#REF!</definedName>
    <definedName name="XRefCopy2" hidden="1">#REF!</definedName>
    <definedName name="XRefCopy20" localSheetId="48" hidden="1">#REF!</definedName>
    <definedName name="XRefCopy20" hidden="1">#REF!</definedName>
    <definedName name="XRefCopy200Row" localSheetId="48" hidden="1">#REF!</definedName>
    <definedName name="XRefCopy200Row" hidden="1">#REF!</definedName>
    <definedName name="XRefCopy201Row" localSheetId="48" hidden="1">#REF!</definedName>
    <definedName name="XRefCopy201Row" hidden="1">#REF!</definedName>
    <definedName name="XRefCopy203Row" localSheetId="48" hidden="1">#REF!</definedName>
    <definedName name="XRefCopy203Row" hidden="1">#REF!</definedName>
    <definedName name="XRefCopy204Row" localSheetId="48" hidden="1">#REF!</definedName>
    <definedName name="XRefCopy204Row" hidden="1">#REF!</definedName>
    <definedName name="XRefCopy205Row" localSheetId="48" hidden="1">#REF!</definedName>
    <definedName name="XRefCopy205Row" hidden="1">#REF!</definedName>
    <definedName name="XRefCopy206Row" localSheetId="48" hidden="1">#REF!</definedName>
    <definedName name="XRefCopy206Row" hidden="1">#REF!</definedName>
    <definedName name="XRefCopy207Row" localSheetId="48" hidden="1">#REF!</definedName>
    <definedName name="XRefCopy207Row" hidden="1">#REF!</definedName>
    <definedName name="XRefCopy208Row" localSheetId="48" hidden="1">#REF!</definedName>
    <definedName name="XRefCopy208Row" hidden="1">#REF!</definedName>
    <definedName name="XRefCopy209Row" localSheetId="48" hidden="1">#REF!</definedName>
    <definedName name="XRefCopy209Row" hidden="1">#REF!</definedName>
    <definedName name="XRefCopy20Row" localSheetId="48" hidden="1">#REF!</definedName>
    <definedName name="XRefCopy20Row" hidden="1">#REF!</definedName>
    <definedName name="XRefCopy210Row" localSheetId="48" hidden="1">#REF!</definedName>
    <definedName name="XRefCopy210Row" hidden="1">#REF!</definedName>
    <definedName name="XRefCopy211Row" localSheetId="48" hidden="1">#REF!</definedName>
    <definedName name="XRefCopy211Row" hidden="1">#REF!</definedName>
    <definedName name="XRefCopy212Row" localSheetId="48" hidden="1">#REF!</definedName>
    <definedName name="XRefCopy212Row" hidden="1">#REF!</definedName>
    <definedName name="XRefCopy213Row" localSheetId="48" hidden="1">#REF!</definedName>
    <definedName name="XRefCopy213Row" hidden="1">#REF!</definedName>
    <definedName name="XRefCopy214Row" localSheetId="48" hidden="1">#REF!</definedName>
    <definedName name="XRefCopy214Row" hidden="1">#REF!</definedName>
    <definedName name="XRefCopy215Row" localSheetId="48" hidden="1">#REF!</definedName>
    <definedName name="XRefCopy215Row" hidden="1">#REF!</definedName>
    <definedName name="XRefCopy21Row" localSheetId="48" hidden="1">#REF!</definedName>
    <definedName name="XRefCopy21Row" hidden="1">#REF!</definedName>
    <definedName name="XRefCopy22" localSheetId="48" hidden="1">#REF!</definedName>
    <definedName name="XRefCopy22" hidden="1">#REF!</definedName>
    <definedName name="XRefCopy221Row" localSheetId="48" hidden="1">#REF!</definedName>
    <definedName name="XRefCopy221Row" hidden="1">#REF!</definedName>
    <definedName name="XRefCopy222Row" localSheetId="48" hidden="1">#REF!</definedName>
    <definedName name="XRefCopy222Row" hidden="1">#REF!</definedName>
    <definedName name="XRefCopy223Row" localSheetId="48" hidden="1">#REF!</definedName>
    <definedName name="XRefCopy223Row" hidden="1">#REF!</definedName>
    <definedName name="XRefCopy224Row" localSheetId="48" hidden="1">#REF!</definedName>
    <definedName name="XRefCopy224Row" hidden="1">#REF!</definedName>
    <definedName name="XRefCopy225Row" localSheetId="48" hidden="1">#REF!</definedName>
    <definedName name="XRefCopy225Row" hidden="1">#REF!</definedName>
    <definedName name="XRefCopy226Row" localSheetId="48" hidden="1">#REF!</definedName>
    <definedName name="XRefCopy226Row" hidden="1">#REF!</definedName>
    <definedName name="XRefCopy227Row" localSheetId="48" hidden="1">#REF!</definedName>
    <definedName name="XRefCopy227Row" hidden="1">#REF!</definedName>
    <definedName name="XRefCopy229Row" localSheetId="48" hidden="1">#REF!</definedName>
    <definedName name="XRefCopy229Row" hidden="1">#REF!</definedName>
    <definedName name="XRefCopy22Row" localSheetId="48" hidden="1">#REF!</definedName>
    <definedName name="XRefCopy22Row" hidden="1">#REF!</definedName>
    <definedName name="XRefCopy23" localSheetId="48" hidden="1">#REF!</definedName>
    <definedName name="XRefCopy23" hidden="1">#REF!</definedName>
    <definedName name="XRefCopy230Row" localSheetId="48" hidden="1">#REF!</definedName>
    <definedName name="XRefCopy230Row" hidden="1">#REF!</definedName>
    <definedName name="XRefCopy231Row" localSheetId="48" hidden="1">#REF!</definedName>
    <definedName name="XRefCopy231Row" hidden="1">#REF!</definedName>
    <definedName name="XRefCopy232Row" localSheetId="48" hidden="1">#REF!</definedName>
    <definedName name="XRefCopy232Row" hidden="1">#REF!</definedName>
    <definedName name="XRefCopy233Row" localSheetId="48" hidden="1">#REF!</definedName>
    <definedName name="XRefCopy233Row" hidden="1">#REF!</definedName>
    <definedName name="XRefCopy234Row" localSheetId="48" hidden="1">#REF!</definedName>
    <definedName name="XRefCopy234Row" hidden="1">#REF!</definedName>
    <definedName name="XRefCopy23Row" localSheetId="48" hidden="1">#REF!</definedName>
    <definedName name="XRefCopy23Row" hidden="1">#REF!</definedName>
    <definedName name="XRefCopy242Row" localSheetId="48" hidden="1">#REF!</definedName>
    <definedName name="XRefCopy242Row" hidden="1">#REF!</definedName>
    <definedName name="XRefCopy243Row" localSheetId="48" hidden="1">#REF!</definedName>
    <definedName name="XRefCopy243Row" hidden="1">#REF!</definedName>
    <definedName name="XRefCopy244Row" localSheetId="48" hidden="1">#REF!</definedName>
    <definedName name="XRefCopy244Row" hidden="1">#REF!</definedName>
    <definedName name="XRefCopy245Row" localSheetId="48" hidden="1">#REF!</definedName>
    <definedName name="XRefCopy245Row" hidden="1">#REF!</definedName>
    <definedName name="XRefCopy246Row" localSheetId="48" hidden="1">#REF!</definedName>
    <definedName name="XRefCopy246Row" hidden="1">#REF!</definedName>
    <definedName name="XRefCopy247Row" localSheetId="48" hidden="1">#REF!</definedName>
    <definedName name="XRefCopy247Row" hidden="1">#REF!</definedName>
    <definedName name="XRefCopy248Row" localSheetId="48" hidden="1">#REF!</definedName>
    <definedName name="XRefCopy248Row" hidden="1">#REF!</definedName>
    <definedName name="XRefCopy24Row" localSheetId="48" hidden="1">#REF!</definedName>
    <definedName name="XRefCopy24Row" hidden="1">#REF!</definedName>
    <definedName name="XRefCopy25" localSheetId="48" hidden="1">#REF!</definedName>
    <definedName name="XRefCopy25" hidden="1">#REF!</definedName>
    <definedName name="XRefCopy250Row" localSheetId="48" hidden="1">#REF!</definedName>
    <definedName name="XRefCopy250Row" hidden="1">#REF!</definedName>
    <definedName name="XRefCopy251Row" localSheetId="48" hidden="1">#REF!</definedName>
    <definedName name="XRefCopy251Row" hidden="1">#REF!</definedName>
    <definedName name="XRefCopy252Row" localSheetId="48" hidden="1">#REF!</definedName>
    <definedName name="XRefCopy252Row" hidden="1">#REF!</definedName>
    <definedName name="XRefCopy254Row" localSheetId="48" hidden="1">#REF!</definedName>
    <definedName name="XRefCopy254Row" hidden="1">#REF!</definedName>
    <definedName name="XRefCopy255Row" localSheetId="48" hidden="1">#REF!</definedName>
    <definedName name="XRefCopy255Row" hidden="1">#REF!</definedName>
    <definedName name="XRefCopy256Row" localSheetId="48" hidden="1">#REF!</definedName>
    <definedName name="XRefCopy256Row" hidden="1">#REF!</definedName>
    <definedName name="XRefCopy257Row" localSheetId="48" hidden="1">#REF!</definedName>
    <definedName name="XRefCopy257Row" hidden="1">#REF!</definedName>
    <definedName name="XRefCopy258Row" localSheetId="48" hidden="1">#REF!</definedName>
    <definedName name="XRefCopy258Row" hidden="1">#REF!</definedName>
    <definedName name="XRefCopy259Row" localSheetId="48" hidden="1">#REF!</definedName>
    <definedName name="XRefCopy259Row" hidden="1">#REF!</definedName>
    <definedName name="XRefCopy25Row" localSheetId="48" hidden="1">#REF!</definedName>
    <definedName name="XRefCopy25Row" hidden="1">#REF!</definedName>
    <definedName name="XRefCopy26" localSheetId="48" hidden="1">#REF!</definedName>
    <definedName name="XRefCopy26" hidden="1">#REF!</definedName>
    <definedName name="XRefCopy260Row" localSheetId="48" hidden="1">#REF!</definedName>
    <definedName name="XRefCopy260Row" hidden="1">#REF!</definedName>
    <definedName name="XRefCopy261Row" localSheetId="48" hidden="1">#REF!</definedName>
    <definedName name="XRefCopy261Row" hidden="1">#REF!</definedName>
    <definedName name="XRefCopy262Row" localSheetId="48" hidden="1">#REF!</definedName>
    <definedName name="XRefCopy262Row" hidden="1">#REF!</definedName>
    <definedName name="XRefCopy263Row" localSheetId="48" hidden="1">#REF!</definedName>
    <definedName name="XRefCopy263Row" hidden="1">#REF!</definedName>
    <definedName name="XRefCopy264Row" localSheetId="48" hidden="1">#REF!</definedName>
    <definedName name="XRefCopy264Row" hidden="1">#REF!</definedName>
    <definedName name="XRefCopy26Row" localSheetId="48" hidden="1">#REF!</definedName>
    <definedName name="XRefCopy26Row" hidden="1">#REF!</definedName>
    <definedName name="XRefCopy27Row" localSheetId="48" hidden="1">#REF!</definedName>
    <definedName name="XRefCopy27Row" hidden="1">#REF!</definedName>
    <definedName name="XRefCopy28Row" localSheetId="48" hidden="1">#REF!</definedName>
    <definedName name="XRefCopy28Row" hidden="1">#REF!</definedName>
    <definedName name="XRefCopy29Row" localSheetId="48" hidden="1">#REF!</definedName>
    <definedName name="XRefCopy29Row" hidden="1">#REF!</definedName>
    <definedName name="XRefCopy2Row" localSheetId="48" hidden="1">#REF!</definedName>
    <definedName name="XRefCopy2Row" hidden="1">#REF!</definedName>
    <definedName name="XRefCopy3" localSheetId="48" hidden="1">#REF!</definedName>
    <definedName name="XRefCopy3" hidden="1">#REF!</definedName>
    <definedName name="XRefCopy30Row" localSheetId="48" hidden="1">#REF!</definedName>
    <definedName name="XRefCopy30Row" hidden="1">#REF!</definedName>
    <definedName name="XRefCopy31Row" localSheetId="48" hidden="1">#REF!</definedName>
    <definedName name="XRefCopy31Row" hidden="1">#REF!</definedName>
    <definedName name="XRefCopy32Row" localSheetId="48" hidden="1">#REF!</definedName>
    <definedName name="XRefCopy32Row" hidden="1">#REF!</definedName>
    <definedName name="XRefCopy34" localSheetId="48" hidden="1">#REF!</definedName>
    <definedName name="XRefCopy34" hidden="1">#REF!</definedName>
    <definedName name="XRefCopy34Row" localSheetId="48" hidden="1">#REF!</definedName>
    <definedName name="XRefCopy34Row" hidden="1">#REF!</definedName>
    <definedName name="XRefCopy35Row" localSheetId="48" hidden="1">#REF!</definedName>
    <definedName name="XRefCopy35Row" hidden="1">#REF!</definedName>
    <definedName name="XRefCopy36Row" localSheetId="48" hidden="1">#REF!</definedName>
    <definedName name="XRefCopy36Row" hidden="1">#REF!</definedName>
    <definedName name="XRefCopy37Row" localSheetId="48" hidden="1">#REF!</definedName>
    <definedName name="XRefCopy37Row" hidden="1">#REF!</definedName>
    <definedName name="XRefCopy38Row" localSheetId="48" hidden="1">#REF!</definedName>
    <definedName name="XRefCopy38Row" hidden="1">#REF!</definedName>
    <definedName name="XRefCopy3Row" localSheetId="48" hidden="1">#REF!</definedName>
    <definedName name="XRefCopy3Row" hidden="1">#REF!</definedName>
    <definedName name="XRefCopy4" localSheetId="48" hidden="1">#REF!</definedName>
    <definedName name="XRefCopy4" hidden="1">#REF!</definedName>
    <definedName name="XRefCopy41Row" localSheetId="48" hidden="1">#REF!</definedName>
    <definedName name="XRefCopy41Row" hidden="1">#REF!</definedName>
    <definedName name="XRefCopy42Row" localSheetId="48" hidden="1">#REF!</definedName>
    <definedName name="XRefCopy42Row" hidden="1">#REF!</definedName>
    <definedName name="XRefCopy43Row" localSheetId="48" hidden="1">#REF!</definedName>
    <definedName name="XRefCopy43Row" hidden="1">#REF!</definedName>
    <definedName name="XRefCopy44Row" localSheetId="48" hidden="1">#REF!</definedName>
    <definedName name="XRefCopy44Row" hidden="1">#REF!</definedName>
    <definedName name="XRefCopy46Row" localSheetId="48" hidden="1">#REF!</definedName>
    <definedName name="XRefCopy46Row" hidden="1">#REF!</definedName>
    <definedName name="XRefCopy47Row" localSheetId="48" hidden="1">#REF!</definedName>
    <definedName name="XRefCopy47Row" hidden="1">#REF!</definedName>
    <definedName name="XRefCopy48Row" localSheetId="48" hidden="1">#REF!</definedName>
    <definedName name="XRefCopy48Row" hidden="1">#REF!</definedName>
    <definedName name="XRefCopy49Row" localSheetId="48" hidden="1">#REF!</definedName>
    <definedName name="XRefCopy49Row" hidden="1">#REF!</definedName>
    <definedName name="XRefCopy4Row" localSheetId="48" hidden="1">#REF!</definedName>
    <definedName name="XRefCopy4Row" hidden="1">#REF!</definedName>
    <definedName name="XRefCopy5" localSheetId="48" hidden="1">#REF!</definedName>
    <definedName name="XRefCopy5" hidden="1">#REF!</definedName>
    <definedName name="XRefCopy50Row" localSheetId="48" hidden="1">#REF!</definedName>
    <definedName name="XRefCopy50Row" hidden="1">#REF!</definedName>
    <definedName name="XRefCopy52Row" localSheetId="48" hidden="1">#REF!</definedName>
    <definedName name="XRefCopy52Row" hidden="1">#REF!</definedName>
    <definedName name="XRefCopy53Row" localSheetId="48" hidden="1">#REF!</definedName>
    <definedName name="XRefCopy53Row" hidden="1">#REF!</definedName>
    <definedName name="XRefCopy54Row" localSheetId="48" hidden="1">#REF!</definedName>
    <definedName name="XRefCopy54Row" hidden="1">#REF!</definedName>
    <definedName name="XRefCopy55Row" localSheetId="48" hidden="1">#REF!</definedName>
    <definedName name="XRefCopy55Row" hidden="1">#REF!</definedName>
    <definedName name="XRefCopy56Row" localSheetId="48" hidden="1">#REF!</definedName>
    <definedName name="XRefCopy56Row" hidden="1">#REF!</definedName>
    <definedName name="XRefCopy58Row" localSheetId="48" hidden="1">#REF!</definedName>
    <definedName name="XRefCopy58Row" hidden="1">#REF!</definedName>
    <definedName name="XRefCopy59Row" localSheetId="48" hidden="1">#REF!</definedName>
    <definedName name="XRefCopy59Row" hidden="1">#REF!</definedName>
    <definedName name="XRefCopy5Row" localSheetId="48" hidden="1">#REF!</definedName>
    <definedName name="XRefCopy5Row" hidden="1">#REF!</definedName>
    <definedName name="XRefCopy6" localSheetId="48" hidden="1">#REF!</definedName>
    <definedName name="XRefCopy6" hidden="1">#REF!</definedName>
    <definedName name="XRefCopy60Row" localSheetId="48" hidden="1">#REF!</definedName>
    <definedName name="XRefCopy60Row" hidden="1">#REF!</definedName>
    <definedName name="XRefCopy62Row" localSheetId="48" hidden="1">#REF!</definedName>
    <definedName name="XRefCopy62Row" hidden="1">#REF!</definedName>
    <definedName name="XRefCopy63Row" localSheetId="48" hidden="1">#REF!</definedName>
    <definedName name="XRefCopy63Row" hidden="1">#REF!</definedName>
    <definedName name="XRefCopy64Row" localSheetId="48" hidden="1">#REF!</definedName>
    <definedName name="XRefCopy64Row" hidden="1">#REF!</definedName>
    <definedName name="XRefCopy65Row" localSheetId="48" hidden="1">#REF!</definedName>
    <definedName name="XRefCopy65Row" hidden="1">#REF!</definedName>
    <definedName name="XRefCopy66Row" localSheetId="48" hidden="1">#REF!</definedName>
    <definedName name="XRefCopy66Row" hidden="1">#REF!</definedName>
    <definedName name="XRefCopy67" localSheetId="48" hidden="1">#REF!</definedName>
    <definedName name="XRefCopy67" hidden="1">#REF!</definedName>
    <definedName name="XRefCopy68Row" localSheetId="48" hidden="1">#REF!</definedName>
    <definedName name="XRefCopy68Row" hidden="1">#REF!</definedName>
    <definedName name="XRefCopy69Row" localSheetId="48" hidden="1">#REF!</definedName>
    <definedName name="XRefCopy69Row" hidden="1">#REF!</definedName>
    <definedName name="XRefCopy6Row" localSheetId="48" hidden="1">#REF!</definedName>
    <definedName name="XRefCopy6Row" hidden="1">#REF!</definedName>
    <definedName name="XRefCopy7" localSheetId="48" hidden="1">#REF!</definedName>
    <definedName name="XRefCopy7" hidden="1">#REF!</definedName>
    <definedName name="XRefCopy70Row" localSheetId="48" hidden="1">#REF!</definedName>
    <definedName name="XRefCopy70Row" hidden="1">#REF!</definedName>
    <definedName name="XRefCopy71Row" localSheetId="48" hidden="1">#REF!</definedName>
    <definedName name="XRefCopy71Row" hidden="1">#REF!</definedName>
    <definedName name="XRefCopy73" localSheetId="48" hidden="1">#REF!</definedName>
    <definedName name="XRefCopy73" hidden="1">#REF!</definedName>
    <definedName name="XRefCopy73Row" localSheetId="48" hidden="1">#REF!</definedName>
    <definedName name="XRefCopy73Row" hidden="1">#REF!</definedName>
    <definedName name="XRefCopy74Row" localSheetId="48" hidden="1">#REF!</definedName>
    <definedName name="XRefCopy74Row" hidden="1">#REF!</definedName>
    <definedName name="XRefCopy75Row" localSheetId="48" hidden="1">#REF!</definedName>
    <definedName name="XRefCopy75Row" hidden="1">#REF!</definedName>
    <definedName name="XRefCopy76Row" localSheetId="48" hidden="1">#REF!</definedName>
    <definedName name="XRefCopy76Row" hidden="1">#REF!</definedName>
    <definedName name="XRefCopy77Row" localSheetId="48" hidden="1">#REF!</definedName>
    <definedName name="XRefCopy77Row" hidden="1">#REF!</definedName>
    <definedName name="XRefCopy78Row" localSheetId="48" hidden="1">#REF!</definedName>
    <definedName name="XRefCopy78Row" hidden="1">#REF!</definedName>
    <definedName name="XRefCopy79Row" localSheetId="48" hidden="1">#REF!</definedName>
    <definedName name="XRefCopy79Row" hidden="1">#REF!</definedName>
    <definedName name="XRefCopy7Row" localSheetId="48" hidden="1">#REF!</definedName>
    <definedName name="XRefCopy7Row" hidden="1">#REF!</definedName>
    <definedName name="XRefCopy8" localSheetId="48" hidden="1">#REF!</definedName>
    <definedName name="XRefCopy8" hidden="1">#REF!</definedName>
    <definedName name="XRefCopy80Row" localSheetId="48" hidden="1">#REF!</definedName>
    <definedName name="XRefCopy80Row" hidden="1">#REF!</definedName>
    <definedName name="XRefCopy81Row" localSheetId="48" hidden="1">#REF!</definedName>
    <definedName name="XRefCopy81Row" hidden="1">#REF!</definedName>
    <definedName name="XRefCopy82Row" localSheetId="48" hidden="1">#REF!</definedName>
    <definedName name="XRefCopy82Row" hidden="1">#REF!</definedName>
    <definedName name="XRefCopy84Row" localSheetId="48" hidden="1">#REF!</definedName>
    <definedName name="XRefCopy84Row" hidden="1">#REF!</definedName>
    <definedName name="XRefCopy85Row" localSheetId="48" hidden="1">#REF!</definedName>
    <definedName name="XRefCopy85Row" hidden="1">#REF!</definedName>
    <definedName name="XRefCopy86Row" localSheetId="48" hidden="1">#REF!</definedName>
    <definedName name="XRefCopy86Row" hidden="1">#REF!</definedName>
    <definedName name="XRefCopy87Row" localSheetId="48" hidden="1">#REF!</definedName>
    <definedName name="XRefCopy87Row" hidden="1">#REF!</definedName>
    <definedName name="XRefCopy88Row" localSheetId="48" hidden="1">#REF!</definedName>
    <definedName name="XRefCopy88Row" hidden="1">#REF!</definedName>
    <definedName name="XRefCopy89Row" localSheetId="48" hidden="1">#REF!</definedName>
    <definedName name="XRefCopy89Row" hidden="1">#REF!</definedName>
    <definedName name="XRefCopy8Row" localSheetId="48" hidden="1">#REF!</definedName>
    <definedName name="XRefCopy8Row" hidden="1">#REF!</definedName>
    <definedName name="XRefCopy9" localSheetId="48" hidden="1">#REF!</definedName>
    <definedName name="XRefCopy9" hidden="1">#REF!</definedName>
    <definedName name="XRefCopy90Row" localSheetId="48" hidden="1">#REF!</definedName>
    <definedName name="XRefCopy90Row" hidden="1">#REF!</definedName>
    <definedName name="XRefCopy91Row" localSheetId="48" hidden="1">#REF!</definedName>
    <definedName name="XRefCopy91Row" hidden="1">#REF!</definedName>
    <definedName name="XRefCopy92Row" localSheetId="48" hidden="1">#REF!</definedName>
    <definedName name="XRefCopy92Row" hidden="1">#REF!</definedName>
    <definedName name="XRefCopy93Row" localSheetId="48" hidden="1">#REF!</definedName>
    <definedName name="XRefCopy93Row" hidden="1">#REF!</definedName>
    <definedName name="XRefCopy94Row" localSheetId="48" hidden="1">#REF!</definedName>
    <definedName name="XRefCopy94Row" hidden="1">#REF!</definedName>
    <definedName name="XRefCopy95Row" localSheetId="48" hidden="1">#REF!</definedName>
    <definedName name="XRefCopy95Row" hidden="1">#REF!</definedName>
    <definedName name="XRefCopy96Row" localSheetId="48" hidden="1">#REF!</definedName>
    <definedName name="XRefCopy96Row" hidden="1">#REF!</definedName>
    <definedName name="XRefCopy99Row" localSheetId="48" hidden="1">#REF!</definedName>
    <definedName name="XRefCopy99Row" hidden="1">#REF!</definedName>
    <definedName name="XRefCopy9Row" localSheetId="48" hidden="1">#REF!</definedName>
    <definedName name="XRefCopy9Row" hidden="1">#REF!</definedName>
    <definedName name="XRefCopyRangeCount" hidden="1">1</definedName>
    <definedName name="XRefPaste1" localSheetId="48" hidden="1">#REF!</definedName>
    <definedName name="XRefPaste1" hidden="1">#REF!</definedName>
    <definedName name="XRefPaste100Row" localSheetId="48" hidden="1">#REF!</definedName>
    <definedName name="XRefPaste100Row" hidden="1">#REF!</definedName>
    <definedName name="XRefPaste101Row" localSheetId="48" hidden="1">#REF!</definedName>
    <definedName name="XRefPaste101Row" hidden="1">#REF!</definedName>
    <definedName name="XRefPaste102Row" localSheetId="48" hidden="1">#REF!</definedName>
    <definedName name="XRefPaste102Row" hidden="1">#REF!</definedName>
    <definedName name="XRefPaste103Row" localSheetId="48" hidden="1">#REF!</definedName>
    <definedName name="XRefPaste103Row" hidden="1">#REF!</definedName>
    <definedName name="XRefPaste104Row" localSheetId="48" hidden="1">#REF!</definedName>
    <definedName name="XRefPaste104Row" hidden="1">#REF!</definedName>
    <definedName name="XRefPaste105Row" localSheetId="48" hidden="1">#REF!</definedName>
    <definedName name="XRefPaste105Row" hidden="1">#REF!</definedName>
    <definedName name="XRefPaste106Row" localSheetId="48" hidden="1">#REF!</definedName>
    <definedName name="XRefPaste106Row" hidden="1">#REF!</definedName>
    <definedName name="XRefPaste107Row" localSheetId="48" hidden="1">#REF!</definedName>
    <definedName name="XRefPaste107Row" hidden="1">#REF!</definedName>
    <definedName name="XRefPaste108Row" localSheetId="48" hidden="1">#REF!</definedName>
    <definedName name="XRefPaste108Row" hidden="1">#REF!</definedName>
    <definedName name="XRefPaste109Row" localSheetId="48" hidden="1">#REF!</definedName>
    <definedName name="XRefPaste109Row" hidden="1">#REF!</definedName>
    <definedName name="XRefPaste110Row" localSheetId="48" hidden="1">#REF!</definedName>
    <definedName name="XRefPaste110Row" hidden="1">#REF!</definedName>
    <definedName name="XRefPaste111Row" localSheetId="48" hidden="1">#REF!</definedName>
    <definedName name="XRefPaste111Row" hidden="1">#REF!</definedName>
    <definedName name="XRefPaste112Row" localSheetId="48" hidden="1">#REF!</definedName>
    <definedName name="XRefPaste112Row" hidden="1">#REF!</definedName>
    <definedName name="XRefPaste113Row" localSheetId="48" hidden="1">#REF!</definedName>
    <definedName name="XRefPaste113Row" hidden="1">#REF!</definedName>
    <definedName name="XRefPaste114Row" localSheetId="48" hidden="1">#REF!</definedName>
    <definedName name="XRefPaste114Row" hidden="1">#REF!</definedName>
    <definedName name="XRefPaste115Row" localSheetId="48" hidden="1">#REF!</definedName>
    <definedName name="XRefPaste115Row" hidden="1">#REF!</definedName>
    <definedName name="XRefPaste117Row" localSheetId="48" hidden="1">#REF!</definedName>
    <definedName name="XRefPaste117Row" hidden="1">#REF!</definedName>
    <definedName name="XRefPaste120Row" localSheetId="48" hidden="1">#REF!</definedName>
    <definedName name="XRefPaste120Row" hidden="1">#REF!</definedName>
    <definedName name="XRefPaste122Row" localSheetId="48" hidden="1">#REF!</definedName>
    <definedName name="XRefPaste122Row" hidden="1">#REF!</definedName>
    <definedName name="XRefPaste123Row" localSheetId="48" hidden="1">#REF!</definedName>
    <definedName name="XRefPaste123Row" hidden="1">#REF!</definedName>
    <definedName name="XRefPaste125Row" localSheetId="48" hidden="1">#REF!</definedName>
    <definedName name="XRefPaste125Row" hidden="1">#REF!</definedName>
    <definedName name="XRefPaste126Row" localSheetId="48" hidden="1">#REF!</definedName>
    <definedName name="XRefPaste126Row" hidden="1">#REF!</definedName>
    <definedName name="XRefPaste127Row" localSheetId="48" hidden="1">#REF!</definedName>
    <definedName name="XRefPaste127Row" hidden="1">#REF!</definedName>
    <definedName name="XRefPaste129Row" localSheetId="48" hidden="1">#REF!</definedName>
    <definedName name="XRefPaste129Row" hidden="1">#REF!</definedName>
    <definedName name="XRefPaste131Row" localSheetId="48" hidden="1">#REF!</definedName>
    <definedName name="XRefPaste131Row" hidden="1">#REF!</definedName>
    <definedName name="XRefPaste132Row" localSheetId="48" hidden="1">#REF!</definedName>
    <definedName name="XRefPaste132Row" hidden="1">#REF!</definedName>
    <definedName name="XRefPaste134" localSheetId="48" hidden="1">#REF!</definedName>
    <definedName name="XRefPaste134" hidden="1">#REF!</definedName>
    <definedName name="XRefPaste134Row" localSheetId="48" hidden="1">#REF!</definedName>
    <definedName name="XRefPaste134Row" hidden="1">#REF!</definedName>
    <definedName name="XRefPaste136Row" localSheetId="48" hidden="1">#REF!</definedName>
    <definedName name="XRefPaste136Row" hidden="1">#REF!</definedName>
    <definedName name="XRefPaste138Row" localSheetId="48" hidden="1">#REF!</definedName>
    <definedName name="XRefPaste138Row" hidden="1">#REF!</definedName>
    <definedName name="XRefPaste144" localSheetId="48" hidden="1">#REF!</definedName>
    <definedName name="XRefPaste144" hidden="1">#REF!</definedName>
    <definedName name="XRefPaste144Row" localSheetId="48" hidden="1">#REF!</definedName>
    <definedName name="XRefPaste144Row" hidden="1">#REF!</definedName>
    <definedName name="XRefPaste145Row" localSheetId="48" hidden="1">#REF!</definedName>
    <definedName name="XRefPaste145Row" hidden="1">#REF!</definedName>
    <definedName name="XRefPaste148Row" localSheetId="48" hidden="1">#REF!</definedName>
    <definedName name="XRefPaste148Row" hidden="1">#REF!</definedName>
    <definedName name="XRefPaste150Row" localSheetId="48" hidden="1">#REF!</definedName>
    <definedName name="XRefPaste150Row" hidden="1">#REF!</definedName>
    <definedName name="XRefPaste151Row" localSheetId="48" hidden="1">#REF!</definedName>
    <definedName name="XRefPaste151Row" hidden="1">#REF!</definedName>
    <definedName name="XRefPaste152Row" localSheetId="48" hidden="1">#REF!</definedName>
    <definedName name="XRefPaste152Row" hidden="1">#REF!</definedName>
    <definedName name="XRefPaste153Row" localSheetId="48" hidden="1">#REF!</definedName>
    <definedName name="XRefPaste153Row" hidden="1">#REF!</definedName>
    <definedName name="XRefPaste154Row" localSheetId="48" hidden="1">#REF!</definedName>
    <definedName name="XRefPaste154Row" hidden="1">#REF!</definedName>
    <definedName name="XRefPaste155Row" localSheetId="48" hidden="1">#REF!</definedName>
    <definedName name="XRefPaste155Row" hidden="1">#REF!</definedName>
    <definedName name="XRefPaste157Row" localSheetId="48" hidden="1">#REF!</definedName>
    <definedName name="XRefPaste157Row" hidden="1">#REF!</definedName>
    <definedName name="XRefPaste158Row" localSheetId="48" hidden="1">#REF!</definedName>
    <definedName name="XRefPaste158Row" hidden="1">#REF!</definedName>
    <definedName name="XRefPaste159Row" localSheetId="48" hidden="1">#REF!</definedName>
    <definedName name="XRefPaste159Row" hidden="1">#REF!</definedName>
    <definedName name="XRefPaste16" localSheetId="48" hidden="1">#REF!</definedName>
    <definedName name="XRefPaste16" hidden="1">#REF!</definedName>
    <definedName name="XRefPaste160Row" localSheetId="48" hidden="1">#REF!</definedName>
    <definedName name="XRefPaste160Row" hidden="1">#REF!</definedName>
    <definedName name="XRefPaste162Row" localSheetId="48" hidden="1">#REF!</definedName>
    <definedName name="XRefPaste162Row" hidden="1">#REF!</definedName>
    <definedName name="XRefPaste163Row" localSheetId="48" hidden="1">#REF!</definedName>
    <definedName name="XRefPaste163Row" hidden="1">#REF!</definedName>
    <definedName name="XRefPaste164Row" localSheetId="48" hidden="1">#REF!</definedName>
    <definedName name="XRefPaste164Row" hidden="1">#REF!</definedName>
    <definedName name="XRefPaste165Row" localSheetId="48" hidden="1">#REF!</definedName>
    <definedName name="XRefPaste165Row" hidden="1">#REF!</definedName>
    <definedName name="XRefPaste166Row" localSheetId="48" hidden="1">#REF!</definedName>
    <definedName name="XRefPaste166Row" hidden="1">#REF!</definedName>
    <definedName name="XRefPaste167Row" localSheetId="48" hidden="1">#REF!</definedName>
    <definedName name="XRefPaste167Row" hidden="1">#REF!</definedName>
    <definedName name="XRefPaste168" localSheetId="48" hidden="1">#REF!</definedName>
    <definedName name="XRefPaste168" hidden="1">#REF!</definedName>
    <definedName name="XRefPaste168Row" localSheetId="48" hidden="1">#REF!</definedName>
    <definedName name="XRefPaste168Row" hidden="1">#REF!</definedName>
    <definedName name="XRefPaste16Row" localSheetId="48" hidden="1">#REF!</definedName>
    <definedName name="XRefPaste16Row" hidden="1">#REF!</definedName>
    <definedName name="XRefPaste17" localSheetId="48" hidden="1">#REF!</definedName>
    <definedName name="XRefPaste17" hidden="1">#REF!</definedName>
    <definedName name="XRefPaste19" localSheetId="48" hidden="1">#REF!</definedName>
    <definedName name="XRefPaste19" hidden="1">#REF!</definedName>
    <definedName name="XRefPaste1Row" localSheetId="48" hidden="1">#REF!</definedName>
    <definedName name="XRefPaste1Row" hidden="1">#REF!</definedName>
    <definedName name="XRefPaste2" localSheetId="48" hidden="1">#REF!</definedName>
    <definedName name="XRefPaste2" hidden="1">#REF!</definedName>
    <definedName name="XRefPaste22" localSheetId="48" hidden="1">#REF!</definedName>
    <definedName name="XRefPaste22" hidden="1">#REF!</definedName>
    <definedName name="XRefPaste22Row" localSheetId="48" hidden="1">#REF!</definedName>
    <definedName name="XRefPaste22Row" hidden="1">#REF!</definedName>
    <definedName name="XRefPaste24" localSheetId="48" hidden="1">#REF!</definedName>
    <definedName name="XRefPaste24" hidden="1">#REF!</definedName>
    <definedName name="XRefPaste25" localSheetId="48" hidden="1">#REF!</definedName>
    <definedName name="XRefPaste25" hidden="1">#REF!</definedName>
    <definedName name="XRefPaste26" localSheetId="48" hidden="1">#REF!</definedName>
    <definedName name="XRefPaste26" hidden="1">#REF!</definedName>
    <definedName name="XRefPaste27" localSheetId="48" hidden="1">#REF!</definedName>
    <definedName name="XRefPaste27" hidden="1">#REF!</definedName>
    <definedName name="XRefPaste28" localSheetId="48" hidden="1">#REF!</definedName>
    <definedName name="XRefPaste28" hidden="1">#REF!</definedName>
    <definedName name="XRefPaste29" localSheetId="48" hidden="1">#REF!</definedName>
    <definedName name="XRefPaste29" hidden="1">#REF!</definedName>
    <definedName name="XRefPaste29Row" localSheetId="48" hidden="1">#REF!</definedName>
    <definedName name="XRefPaste29Row" hidden="1">#REF!</definedName>
    <definedName name="XRefPaste3" localSheetId="48" hidden="1">#REF!</definedName>
    <definedName name="XRefPaste3" hidden="1">#REF!</definedName>
    <definedName name="XRefPaste30" localSheetId="48" hidden="1">#REF!</definedName>
    <definedName name="XRefPaste30" hidden="1">#REF!</definedName>
    <definedName name="XRefPaste31" localSheetId="48" hidden="1">#REF!</definedName>
    <definedName name="XRefPaste31" hidden="1">#REF!</definedName>
    <definedName name="XRefPaste38Row" localSheetId="48" hidden="1">#REF!</definedName>
    <definedName name="XRefPaste38Row" hidden="1">#REF!</definedName>
    <definedName name="XRefPaste3Row" localSheetId="48" hidden="1">#REF!</definedName>
    <definedName name="XRefPaste3Row" hidden="1">#REF!</definedName>
    <definedName name="XRefPaste4" localSheetId="48" hidden="1">#REF!</definedName>
    <definedName name="XRefPaste4" hidden="1">#REF!</definedName>
    <definedName name="XRefPaste45Row" localSheetId="48" hidden="1">#REF!</definedName>
    <definedName name="XRefPaste45Row" hidden="1">#REF!</definedName>
    <definedName name="XRefPaste51Row" localSheetId="48" hidden="1">#REF!</definedName>
    <definedName name="XRefPaste51Row" hidden="1">#REF!</definedName>
    <definedName name="XRefPaste56Row" localSheetId="48" hidden="1">#REF!</definedName>
    <definedName name="XRefPaste56Row" hidden="1">#REF!</definedName>
    <definedName name="XRefPaste57Row" localSheetId="48" hidden="1">#REF!</definedName>
    <definedName name="XRefPaste57Row" hidden="1">#REF!</definedName>
    <definedName name="XRefPaste5Row" localSheetId="48" hidden="1">#REF!</definedName>
    <definedName name="XRefPaste5Row" hidden="1">#REF!</definedName>
    <definedName name="XRefPaste6" localSheetId="48" hidden="1">#REF!</definedName>
    <definedName name="XRefPaste6" hidden="1">#REF!</definedName>
    <definedName name="XRefPaste61Row" localSheetId="48" hidden="1">#REF!</definedName>
    <definedName name="XRefPaste61Row" hidden="1">#REF!</definedName>
    <definedName name="XRefPaste63Row" localSheetId="48" hidden="1">#REF!</definedName>
    <definedName name="XRefPaste63Row" hidden="1">#REF!</definedName>
    <definedName name="XRefPaste64Row" localSheetId="48" hidden="1">#REF!</definedName>
    <definedName name="XRefPaste64Row" hidden="1">#REF!</definedName>
    <definedName name="XRefPaste67Row" localSheetId="48" hidden="1">#REF!</definedName>
    <definedName name="XRefPaste67Row" hidden="1">#REF!</definedName>
    <definedName name="XRefPaste68Row" localSheetId="48" hidden="1">#REF!</definedName>
    <definedName name="XRefPaste68Row" hidden="1">#REF!</definedName>
    <definedName name="XRefPaste69Row" localSheetId="48" hidden="1">#REF!</definedName>
    <definedName name="XRefPaste69Row" hidden="1">#REF!</definedName>
    <definedName name="XRefPaste6Row" localSheetId="48" hidden="1">#REF!</definedName>
    <definedName name="XRefPaste6Row" hidden="1">#REF!</definedName>
    <definedName name="XRefPaste7" localSheetId="48" hidden="1">#REF!</definedName>
    <definedName name="XRefPaste7" hidden="1">#REF!</definedName>
    <definedName name="XRefPaste71Row" localSheetId="48" hidden="1">#REF!</definedName>
    <definedName name="XRefPaste71Row" hidden="1">#REF!</definedName>
    <definedName name="XRefPaste72Row" localSheetId="48" hidden="1">#REF!</definedName>
    <definedName name="XRefPaste72Row" hidden="1">#REF!</definedName>
    <definedName name="XRefPaste73Row" localSheetId="48" hidden="1">#REF!</definedName>
    <definedName name="XRefPaste73Row" hidden="1">#REF!</definedName>
    <definedName name="XRefPaste74Row" localSheetId="48" hidden="1">#REF!</definedName>
    <definedName name="XRefPaste74Row" hidden="1">#REF!</definedName>
    <definedName name="XRefPaste75Row" localSheetId="48" hidden="1">#REF!</definedName>
    <definedName name="XRefPaste75Row" hidden="1">#REF!</definedName>
    <definedName name="XRefPaste76Row" localSheetId="48" hidden="1">#REF!</definedName>
    <definedName name="XRefPaste76Row" hidden="1">#REF!</definedName>
    <definedName name="XRefPaste77Row" localSheetId="48" hidden="1">#REF!</definedName>
    <definedName name="XRefPaste77Row" hidden="1">#REF!</definedName>
    <definedName name="XRefPaste78Row" localSheetId="48" hidden="1">#REF!</definedName>
    <definedName name="XRefPaste78Row" hidden="1">#REF!</definedName>
    <definedName name="XRefPaste79Row" localSheetId="48" hidden="1">#REF!</definedName>
    <definedName name="XRefPaste79Row" hidden="1">#REF!</definedName>
    <definedName name="XRefPaste7Row" localSheetId="48" hidden="1">#REF!</definedName>
    <definedName name="XRefPaste7Row" hidden="1">#REF!</definedName>
    <definedName name="XRefPaste8" localSheetId="48" hidden="1">#REF!</definedName>
    <definedName name="XRefPaste8" hidden="1">#REF!</definedName>
    <definedName name="XRefPaste80Row" localSheetId="48" hidden="1">#REF!</definedName>
    <definedName name="XRefPaste80Row" hidden="1">#REF!</definedName>
    <definedName name="XRefPaste82Row" localSheetId="48" hidden="1">#REF!</definedName>
    <definedName name="XRefPaste82Row" hidden="1">#REF!</definedName>
    <definedName name="XRefPaste83Row" localSheetId="48" hidden="1">#REF!</definedName>
    <definedName name="XRefPaste83Row" hidden="1">#REF!</definedName>
    <definedName name="XRefPaste84Row" localSheetId="48" hidden="1">#REF!</definedName>
    <definedName name="XRefPaste84Row" hidden="1">#REF!</definedName>
    <definedName name="XRefPaste86Row" localSheetId="48" hidden="1">#REF!</definedName>
    <definedName name="XRefPaste86Row" hidden="1">#REF!</definedName>
    <definedName name="XRefPaste87Row" localSheetId="48" hidden="1">#REF!</definedName>
    <definedName name="XRefPaste87Row" hidden="1">#REF!</definedName>
    <definedName name="XRefPaste88Row" localSheetId="48" hidden="1">#REF!</definedName>
    <definedName name="XRefPaste88Row" hidden="1">#REF!</definedName>
    <definedName name="XRefPaste89Row" localSheetId="48" hidden="1">#REF!</definedName>
    <definedName name="XRefPaste89Row" hidden="1">#REF!</definedName>
    <definedName name="XRefPaste8Row" localSheetId="48" hidden="1">#REF!</definedName>
    <definedName name="XRefPaste8Row" hidden="1">#REF!</definedName>
    <definedName name="XRefPaste9" localSheetId="48" hidden="1">#REF!</definedName>
    <definedName name="XRefPaste9" hidden="1">#REF!</definedName>
    <definedName name="XRefPaste90Row" localSheetId="48" hidden="1">#REF!</definedName>
    <definedName name="XRefPaste90Row" hidden="1">#REF!</definedName>
    <definedName name="XRefPaste91Row" localSheetId="48" hidden="1">#REF!</definedName>
    <definedName name="XRefPaste91Row" hidden="1">#REF!</definedName>
    <definedName name="XRefPaste93Row" localSheetId="48" hidden="1">#REF!</definedName>
    <definedName name="XRefPaste93Row" hidden="1">#REF!</definedName>
    <definedName name="XRefPaste94Row" localSheetId="48" hidden="1">#REF!</definedName>
    <definedName name="XRefPaste94Row" hidden="1">#REF!</definedName>
    <definedName name="XRefPaste95Row" localSheetId="48" hidden="1">#REF!</definedName>
    <definedName name="XRefPaste95Row" hidden="1">#REF!</definedName>
    <definedName name="XRefPaste96Row" localSheetId="48" hidden="1">#REF!</definedName>
    <definedName name="XRefPaste96Row" hidden="1">#REF!</definedName>
    <definedName name="XRefPaste97Row" localSheetId="48" hidden="1">#REF!</definedName>
    <definedName name="XRefPaste97Row" hidden="1">#REF!</definedName>
    <definedName name="XRefPaste99Row" localSheetId="48"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48" hidden="1">#REF!</definedName>
    <definedName name="Y" hidden="1">#REF!</definedName>
    <definedName name="YB" localSheetId="48">#REF!</definedName>
    <definedName name="YB">#REF!</definedName>
    <definedName name="year">#REF!</definedName>
    <definedName name="Year_Of__Assessment_2003">year</definedName>
    <definedName name="Year1" localSheetId="48">#REF!</definedName>
    <definedName name="Year1">#REF!</definedName>
    <definedName name="Year2" localSheetId="48">#REF!</definedName>
    <definedName name="Year2">#REF!</definedName>
    <definedName name="Year3" localSheetId="48">#REF!</definedName>
    <definedName name="Year3">#REF!</definedName>
    <definedName name="YearRange" localSheetId="48">#REF!</definedName>
    <definedName name="YearRange">#REF!</definedName>
    <definedName name="yf" localSheetId="48">#REF!</definedName>
    <definedName name="yf">#REF!</definedName>
    <definedName name="yjyjytyjety" localSheetId="48" hidden="1">#REF!</definedName>
    <definedName name="yjyjytyjety" hidden="1">#REF!</definedName>
    <definedName name="yjyjyyyy" localSheetId="48"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48" hidden="1">#REF!</definedName>
    <definedName name="yoyyiyyi" hidden="1">#REF!</definedName>
    <definedName name="YQ_HTBH">#REF!&amp;IF(AND(#REF!="",#REF!=""),"","-")&amp;IF(AND(#REF!&lt;&gt;"",#REF!&lt;&gt;""),#REF!&amp;"-"&amp;#REF!,IF(#REF!="",#REF!,#REF!))</definedName>
    <definedName name="YRH" localSheetId="48">#REF!</definedName>
    <definedName name="YRH">#REF!</definedName>
    <definedName name="ys" localSheetId="48">#REF!</definedName>
    <definedName name="ys">#REF!</definedName>
    <definedName name="yukfjfghkdhgjhdggdj" localSheetId="48"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48"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48" hidden="1">#REF!</definedName>
    <definedName name="Z_47D4C474_81EA_4562_A03B_66488F80C527_.wvu.FilterData" hidden="1">#REF!</definedName>
    <definedName name="Z_69236D49_722D_40B7_A111_ABD2A8204911_.wvu.PrintTitles" localSheetId="48" hidden="1">#REF!</definedName>
    <definedName name="Z_69236D49_722D_40B7_A111_ABD2A8204911_.wvu.PrintTitles" hidden="1">#REF!</definedName>
    <definedName name="Z_69236D49_722D_40B7_A111_ABD2A8204911_.wvu.Rows" localSheetId="48" hidden="1">#REF!,#REF!</definedName>
    <definedName name="Z_69236D49_722D_40B7_A111_ABD2A8204911_.wvu.Rows" hidden="1">#REF!,#REF!</definedName>
    <definedName name="Z_85E7D15F_9559_4B54_A2EE_DCCECE011EC4_.wvu.Cols" localSheetId="48" hidden="1">#REF!</definedName>
    <definedName name="Z_85E7D15F_9559_4B54_A2EE_DCCECE011EC4_.wvu.Cols" hidden="1">#REF!</definedName>
    <definedName name="Z_8DFF34A6_717E_47BE_B868_D1681DBE72CD_.wvu.Cols" localSheetId="48" hidden="1">#REF!</definedName>
    <definedName name="Z_8DFF34A6_717E_47BE_B868_D1681DBE72CD_.wvu.Cols" hidden="1">#REF!</definedName>
    <definedName name="Z_B8A42129_8AFC_4C88_A4BF_631F42E72A3A_.wvu.Cols" localSheetId="48" hidden="1">#REF!,#REF!,#REF!,#REF!,#REF!</definedName>
    <definedName name="Z_B8A42129_8AFC_4C88_A4BF_631F42E72A3A_.wvu.Cols" hidden="1">#REF!,#REF!,#REF!,#REF!,#REF!</definedName>
    <definedName name="Z_E738B51C_56AE_4F9F_8D8A_36AD6137B90D_.wvu.Cols" localSheetId="48" hidden="1">#REF!</definedName>
    <definedName name="Z_E738B51C_56AE_4F9F_8D8A_36AD6137B90D_.wvu.Cols" hidden="1">#REF!</definedName>
    <definedName name="Z_E738B51C_56AE_4F9F_8D8A_36AD6137B90D_.wvu.PrintArea" localSheetId="48" hidden="1">#REF!</definedName>
    <definedName name="Z_E738B51C_56AE_4F9F_8D8A_36AD6137B90D_.wvu.PrintArea" hidden="1">#REF!</definedName>
    <definedName name="Z_E738B51C_56AE_4F9F_8D8A_36AD6137B90D_.wvu.PrintTitles" localSheetId="48" hidden="1">#REF!,#REF!</definedName>
    <definedName name="Z_E738B51C_56AE_4F9F_8D8A_36AD6137B90D_.wvu.PrintTitles" hidden="1">#REF!,#REF!</definedName>
    <definedName name="Z_E738B51C_56AE_4F9F_8D8A_36AD6137B90D_.wvu.Rows" localSheetId="48" hidden="1">#REF!</definedName>
    <definedName name="Z_E738B51C_56AE_4F9F_8D8A_36AD6137B90D_.wvu.Rows" hidden="1">#REF!</definedName>
    <definedName name="zczczz" localSheetId="48"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48" hidden="1">#REF!</definedName>
    <definedName name="zzzzzzzz" hidden="1">#REF!</definedName>
    <definedName name="㌦ﾚｰﾄ">#REF!</definedName>
    <definedName name="가나">[0]!JEPUMS*!H14:XEY1048565</definedName>
    <definedName name="啊" localSheetId="48">#REF!</definedName>
    <definedName name="啊">#REF!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#REF!</definedName>
    <definedName name="办增10">#REF!</definedName>
    <definedName name="办增2">#REF!</definedName>
    <definedName name="办增3">#REF!</definedName>
    <definedName name="办增4">#REF!</definedName>
    <definedName name="办增5">#REF!</definedName>
    <definedName name="办增6">#REF!</definedName>
    <definedName name="办增7">#REF!</definedName>
    <definedName name="办增8">#REF!</definedName>
    <definedName name="办增9">#REF!</definedName>
    <definedName name="구조지수">#REF!</definedName>
    <definedName name="报表" localSheetId="48">#REF!</definedName>
    <definedName name="报表">#REF!</definedName>
    <definedName name="本年利润" localSheetId="48">#REF!</definedName>
    <definedName name="本年利润">#REF!</definedName>
    <definedName name="금융상거래출자비율">#REF!</definedName>
    <definedName name="금호채권">#REF!</definedName>
    <definedName name="比例">#REF!</definedName>
    <definedName name="编号">#REF!</definedName>
    <definedName name="编号2">#REF!</definedName>
    <definedName name="变动率">#REF!</definedName>
    <definedName name="标杆">#REF!</definedName>
    <definedName name="表p">#REF!</definedName>
    <definedName name="表头">#REF!,#REF!,#REF!,#REF!</definedName>
    <definedName name="别增1">#REF!</definedName>
    <definedName name="别增10">#REF!</definedName>
    <definedName name="别增2">#REF!</definedName>
    <definedName name="别增3">#REF!</definedName>
    <definedName name="别增4">#REF!</definedName>
    <definedName name="别增5">#REF!</definedName>
    <definedName name="别增6">#REF!</definedName>
    <definedName name="别增7">#REF!</definedName>
    <definedName name="别增8">#REF!</definedName>
    <definedName name="别增9">#REF!</definedName>
    <definedName name="部门">#REF!</definedName>
    <definedName name="财务费用" localSheetId="48">#REF!</definedName>
    <definedName name="财务费用">#REF!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#REF!</definedName>
    <definedName name="拆迁费用">#REF!</definedName>
    <definedName name="产业集聚程度">定义!$N$1:$N$6</definedName>
    <definedName name="长期借款" localSheetId="48">#REF!</definedName>
    <definedName name="长期借款">#REF!</definedName>
    <definedName name="长期投资" localSheetId="48">#REF!</definedName>
    <definedName name="长期投资">#REF!</definedName>
    <definedName name="长期应付款" localSheetId="48">#REF!</definedName>
    <definedName name="长期应付款">#REF!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#REF!</definedName>
    <definedName name="成本差" localSheetId="48" hidden="1">#REF!</definedName>
    <definedName name="成本差" hidden="1">#REF!</definedName>
    <definedName name="成本科目">#REF!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48">#REF!</definedName>
    <definedName name="筹建期间汇兑收益">#REF!</definedName>
    <definedName name="筹建期间汇兑损失" localSheetId="48">#REF!</definedName>
    <definedName name="筹建期间汇兑损失">#REF!</definedName>
    <definedName name="出口成本" localSheetId="48">#REF!</definedName>
    <definedName name="出口成本">#REF!</definedName>
    <definedName name="出口收入" localSheetId="48">#REF!</definedName>
    <definedName name="出口收入">#REF!</definedName>
    <definedName name="初期１">#REF!</definedName>
    <definedName name="初期２">#REF!</definedName>
    <definedName name="初期３">#REF!</definedName>
    <definedName name="初期４">#REF!</definedName>
    <definedName name="도서">#REF!</definedName>
    <definedName name="存货" localSheetId="48">#REF!</definedName>
    <definedName name="存货">#REF!</definedName>
    <definedName name="存货变现损失准备" localSheetId="48">#REF!</definedName>
    <definedName name="存货变现损失准备">#REF!</definedName>
    <definedName name="大配套费">#REF!</definedName>
    <definedName name="待处理固定资产净损失" localSheetId="48">#REF!</definedName>
    <definedName name="待处理固定资产净损失">#REF!</definedName>
    <definedName name="待处理流动资产净损失" localSheetId="48">#REF!</definedName>
    <definedName name="待处理流动资产净损失">#REF!</definedName>
    <definedName name="待摊费用" localSheetId="48">#REF!</definedName>
    <definedName name="待摊费用">#REF!</definedName>
    <definedName name="待转销汇兑收益" localSheetId="48">#REF!</definedName>
    <definedName name="待转销汇兑收益">#REF!</definedName>
    <definedName name="贷款印花税">#REF!</definedName>
    <definedName name="贷款营业税">#REF!</definedName>
    <definedName name="单价内涵">定义!$V$1:$V$3</definedName>
    <definedName name="当前明细帐">#REF!</definedName>
    <definedName name="堤围费">#REF!</definedName>
    <definedName name="地对地导弹">#REF!</definedName>
    <definedName name="地类判定">定义!$H$1:$H$9</definedName>
    <definedName name="地下室总建面">#REF!</definedName>
    <definedName name="递延税款贷项" localSheetId="48">#REF!</definedName>
    <definedName name="递延税款贷项">#REF!</definedName>
    <definedName name="递延税款借项" localSheetId="48">#REF!</definedName>
    <definedName name="递延税款借项">#REF!</definedName>
    <definedName name="递延投资收益" localSheetId="48">#REF!</definedName>
    <definedName name="递延投资收益">#REF!</definedName>
    <definedName name="递延投资损失" localSheetId="48">#REF!</definedName>
    <definedName name="递延投资损失">#REF!</definedName>
    <definedName name="递延资产" localSheetId="48">#REF!</definedName>
    <definedName name="递延资产">#REF!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48">#REF!</definedName>
    <definedName name="短期借款">#REF!</definedName>
    <definedName name="短期投资" localSheetId="48">#REF!</definedName>
    <definedName name="短期投资">#REF!</definedName>
    <definedName name="对方单位">#REF!</definedName>
    <definedName name="ㄺ" hidden="1">{#N/A,#N/A,FALSE,"Aging Summary";#N/A,#N/A,FALSE,"Ratio Analysis";#N/A,#N/A,FALSE,"Test 120 Day Accts";#N/A,#N/A,FALSE,"Tickmarks"}</definedName>
    <definedName name="尔" hidden="1">{"'Z3-1'!$B$9:$I$29"}</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#REF!</definedName>
    <definedName name="二期装修">#REF!</definedName>
    <definedName name="法定最高年限">定义!$G$1:$G$4</definedName>
    <definedName name="法人税">#REF!</definedName>
    <definedName name="泛华余额05" localSheetId="48">#REF!</definedName>
    <definedName name="泛华余额05">#REF!</definedName>
    <definedName name="모르">#REF!</definedName>
    <definedName name="费用" localSheetId="48" hidden="1">#REF!</definedName>
    <definedName name="费用" hidden="1">#REF!</definedName>
    <definedName name="分１">#REF!</definedName>
    <definedName name="分２">#REF!</definedName>
    <definedName name="分考課">#REF!</definedName>
    <definedName name="分仲介">#REF!</definedName>
    <definedName name="무형자산">#REF!</definedName>
    <definedName name="미수이자1" hidden="1">#REF!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[0]!JEPUMS*!H14:XEY1048565</definedName>
    <definedName name="ㅂㅈㄷ" hidden="1">"C0168M47EQ82J0CS1RJ7NZD0U"</definedName>
    <definedName name="富民余额" localSheetId="48">#REF!</definedName>
    <definedName name="富民余额">#REF!</definedName>
    <definedName name="배분1차다">#REF!</definedName>
    <definedName name="改良投资">#REF!</definedName>
    <definedName name="별도합산">#REF!</definedName>
    <definedName name="별도합산세">#REF!</definedName>
    <definedName name="보증담보개시전이자">#REF!</definedName>
    <definedName name="복리">#REF!</definedName>
    <definedName name="个">#REF!</definedName>
    <definedName name="부외부채">#REF!</definedName>
    <definedName name="분리과세액">#REF!</definedName>
    <definedName name="工程">#REF!</definedName>
    <definedName name="工会经费Book" localSheetId="48">#REF!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48">#REF!</definedName>
    <definedName name="公益金">#REF!</definedName>
    <definedName name="公寓成本分摊" hidden="1">{"已付情况表",#N/A,FALSE,"成本测算 (3)";"折算各货币成本",#N/A,FALSE,"成本测算 (3)"}</definedName>
    <definedName name="公寓出租">#REF!</definedName>
    <definedName name="购入价">#REF!</definedName>
    <definedName name="估价方法">定义!$B$1:$B$50</definedName>
    <definedName name="股本" localSheetId="48">#REF!</definedName>
    <definedName name="股本">#REF!</definedName>
    <definedName name="股权交易印花税">#REF!</definedName>
    <definedName name="固定资产清单" localSheetId="48">#REF!</definedName>
    <definedName name="固定资产清单">#REF!</definedName>
    <definedName name="固定资产清理" localSheetId="48">#REF!</definedName>
    <definedName name="固定资产清理">#REF!</definedName>
    <definedName name="固定资产原值" localSheetId="48">#REF!</definedName>
    <definedName name="固定资产原值">#REF!</definedName>
    <definedName name="管理">#REF!</definedName>
    <definedName name="管理费用" localSheetId="48">#REF!</definedName>
    <definedName name="管理费用">#REF!</definedName>
    <definedName name="管理费用费率">#REF!</definedName>
    <definedName name="管理费用年末" localSheetId="48">#REF!</definedName>
    <definedName name="管理费用年末">#REF!</definedName>
    <definedName name="光熱">#REF!</definedName>
    <definedName name="広告">#REF!</definedName>
    <definedName name="毫毫毫" hidden="1">{"'毛利比较'!$A$4:$P$26"}</definedName>
    <definedName name="合同编号">#REF!</definedName>
    <definedName name="合同付款情况清单">#REF!</definedName>
    <definedName name="合同累计付款金额">#REF!</definedName>
    <definedName name="合同名称_2">#N/A</definedName>
    <definedName name="合同名称_3">#N/A</definedName>
    <definedName name="合同名称_5">#N/A</definedName>
    <definedName name="合同未付款金额">#REF!</definedName>
    <definedName name="상1">#REF!</definedName>
    <definedName name="상2">#REF!</definedName>
    <definedName name="상4">#REF!</definedName>
    <definedName name="상5">#REF!</definedName>
    <definedName name="상거래2차변제">#REF!</definedName>
    <definedName name="상거래출자비율">#REF!</definedName>
    <definedName name="새한채권">#REF!</definedName>
    <definedName name="宏">"CommandButton1"</definedName>
    <definedName name="생활관">#REF!</definedName>
    <definedName name="서울보증채권">#REF!</definedName>
    <definedName name="서현점">#REF!</definedName>
    <definedName name="선급비용">#REF!</definedName>
    <definedName name="선수금2">#REF!</definedName>
    <definedName name="세금유형">#REF!</definedName>
    <definedName name="세금종류">#REF!</definedName>
    <definedName name="세율">#REF!</definedName>
    <definedName name="戸平均">#REF!</definedName>
    <definedName name="손익">#REF!</definedName>
    <definedName name="손익계산서200312">#REF!</definedName>
    <definedName name="坏帐准备" localSheetId="48">#REF!</definedName>
    <definedName name="坏帐准备">#REF!</definedName>
    <definedName name="环境">定义!$S$1:$S$6</definedName>
    <definedName name="수산업채권">#REF!</definedName>
    <definedName name="수질">#REF!</definedName>
    <definedName name="순천킴스">#REF!</definedName>
    <definedName name="숫자">[0]!JEPUMS*!H14:XEY1048565</definedName>
    <definedName name="汇兑损失" localSheetId="48">#REF!</definedName>
    <definedName name="汇兑损失">#REF!</definedName>
    <definedName name="活动总结" localSheetId="48" hidden="1">#REF!</definedName>
    <definedName name="活动总结" hidden="1">#REF!</definedName>
    <definedName name="货币资金" localSheetId="48">#REF!</definedName>
    <definedName name="货币资金">#REF!</definedName>
    <definedName name="基础设施水平">定义!$R$1:$R$6</definedName>
    <definedName name="基数">#REF!</definedName>
    <definedName name="基准收益">#REF!</definedName>
    <definedName name="集团往来余额表" localSheetId="48">#REF!</definedName>
    <definedName name="集团往来余额表">#REF!</definedName>
    <definedName name="计容面积">#REF!</definedName>
    <definedName name="计提坏帐准备" localSheetId="48">#REF!</definedName>
    <definedName name="计提坏帐准备">#REF!</definedName>
    <definedName name="季度">基准地价修正!$Q$19:$AD$19</definedName>
    <definedName name="家具">#REF!</definedName>
    <definedName name="价格变动率">#REF!</definedName>
    <definedName name="价值类型2">定义!$B$54:$B$56</definedName>
    <definedName name="ㅇㅇㄴ">BlankMacro1</definedName>
    <definedName name="ㅏㅓㅓ">#REF!</definedName>
    <definedName name="ㅓ">#REF!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#REF!</definedName>
    <definedName name="ㅣㅣㅣ" hidden="1">25</definedName>
    <definedName name="아세아채권">#REF!</definedName>
    <definedName name="안전본봉">#REF!</definedName>
    <definedName name="建面原価">#REF!</definedName>
    <definedName name="建築面積">#REF!</definedName>
    <definedName name="에너지비용산출근거">BlankMacro1</definedName>
    <definedName name="交际应酬费" localSheetId="48">#REF!</definedName>
    <definedName name="交际应酬费">#REF!</definedName>
    <definedName name="交际应酬费计税调整数" localSheetId="48">#REF!</definedName>
    <definedName name="交际应酬费计税调整数">#REF!</definedName>
    <definedName name="交际应酬费实际发生额" localSheetId="48">#REF!</definedName>
    <definedName name="交际应酬费实际发生额">#REF!</definedName>
    <definedName name="交通便捷度">定义!$O$1:$O$6</definedName>
    <definedName name="예">#REF!</definedName>
    <definedName name="예수보증금내꺼">#REF!</definedName>
    <definedName name="오알">#REF!</definedName>
    <definedName name="완성주태">#REF!</definedName>
    <definedName name="완성주택">#REF!</definedName>
    <definedName name="외환채권">#REF!</definedName>
    <definedName name="节点计划">#REF!</definedName>
    <definedName name="용">#REF!</definedName>
    <definedName name="용도지수">#REF!</definedName>
    <definedName name="원가">#N/A</definedName>
    <definedName name="원본2" hidden="1">#REF!</definedName>
    <definedName name="金利１">#REF!</definedName>
    <definedName name="金利２">#REF!</definedName>
    <definedName name="金利３">#REF!</definedName>
    <definedName name="金利４">#REF!</definedName>
    <definedName name="위치지수">#REF!</definedName>
    <definedName name="유가">#REF!</definedName>
    <definedName name="유가증권" hidden="1">{#N/A,#N/A,FALSE,"Aging Summary";#N/A,#N/A,FALSE,"Ratio Analysis";#N/A,#N/A,FALSE,"Test 120 Day Accts";#N/A,#N/A,FALSE,"Tickmarks"}</definedName>
    <definedName name="经济">#REF!</definedName>
    <definedName name="이공구가설비">#REF!</definedName>
    <definedName name="이공구공사원가">#REF!</definedName>
    <definedName name="이공구안전관리비">#REF!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#REF!</definedName>
    <definedName name="이자율">#REF!</definedName>
    <definedName name="인수자안">#REF!</definedName>
    <definedName name="인천킴스">#REF!</definedName>
    <definedName name="일산푸드몰">#REF!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#REF!</definedName>
    <definedName name="잔여배분4">#REF!</definedName>
    <definedName name="淨額差" localSheetId="48" hidden="1">#REF!</definedName>
    <definedName name="淨額差" hidden="1">#REF!</definedName>
    <definedName name="竟品" localSheetId="48" hidden="1">#REF!</definedName>
    <definedName name="竟品" hidden="1">#REF!</definedName>
    <definedName name="재">#REF!</definedName>
    <definedName name="九级">区片价!$P$1:$P$46</definedName>
    <definedName name="적용1">#REF!</definedName>
    <definedName name="전">#REF!</definedName>
    <definedName name="전입액">#REF!</definedName>
    <definedName name="정리채권미지급금">#REF!</definedName>
    <definedName name="제1금융개시전이자">#REF!</definedName>
    <definedName name="제1금융채권개시전이자">#REF!</definedName>
    <definedName name="제1금융채권출자비율">#REF!</definedName>
    <definedName name="제1금융출자비율">#REF!</definedName>
    <definedName name="제2금융개시전이자">#REF!</definedName>
    <definedName name="제2금융채권산입이자">#REF!</definedName>
    <definedName name="제목">#REF!</definedName>
    <definedName name="제일담보">#REF!</definedName>
    <definedName name="居住社区成熟度">定义!$K$1:$K$6</definedName>
    <definedName name="종합합산">#REF!</definedName>
    <definedName name="주택사업본부">#REF!</definedName>
    <definedName name="开办费" localSheetId="48">#REF!</definedName>
    <definedName name="开办费">#REF!</definedName>
    <definedName name="开发">#REF!</definedName>
    <definedName name="开发开发">#REF!</definedName>
    <definedName name="开间费">#REF!</definedName>
    <definedName name="科" localSheetId="48">#REF!</definedName>
    <definedName name="科">#REF!</definedName>
    <definedName name="科技楼总建面">#REF!</definedName>
    <definedName name="科目编码">#REF!</definedName>
    <definedName name="科目余额表" localSheetId="48">#REF!</definedName>
    <definedName name="科目余额表">#REF!</definedName>
    <definedName name="可销售面积">#REF!</definedName>
    <definedName name="枯" localSheetId="48" hidden="1">#REF!</definedName>
    <definedName name="枯" hidden="1">#REF!</definedName>
    <definedName name="庫存成" localSheetId="48" hidden="1">#REF!</definedName>
    <definedName name="庫存成" hidden="1">#REF!</definedName>
    <definedName name="철구사업본부">#REF!</definedName>
    <definedName name="类别">定义!$J$1:$J$3</definedName>
    <definedName name="累计折旧" localSheetId="48">#REF!</definedName>
    <definedName name="累计折旧">#REF!</definedName>
    <definedName name="추계합계">#REF!</definedName>
    <definedName name="历史">#REF!</definedName>
    <definedName name="利润表" hidden="1">{#N/A,#N/A,FALSE,"成本表[一期计算1] (2)"}</definedName>
    <definedName name="利润归还投资" localSheetId="48">#REF!</definedName>
    <definedName name="利润归还投资">#REF!</definedName>
    <definedName name="利息支出" localSheetId="48">#REF!</definedName>
    <definedName name="利息支出">#REF!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48" hidden="1">#REF!</definedName>
    <definedName name="料工费分配表" hidden="1">#REF!</definedName>
    <definedName name="临街状况">定义!$T$1:$T$5</definedName>
    <definedName name="賃１">#REF!</definedName>
    <definedName name="賃２">#REF!</definedName>
    <definedName name="賃３">#REF!</definedName>
    <definedName name="賃４">#REF!</definedName>
    <definedName name="賃貸考課">#REF!</definedName>
    <definedName name="賃貸仲介">#REF!</definedName>
    <definedName name="六级">区片价!$M$1:$M$49</definedName>
    <definedName name="六期">#REF!</definedName>
    <definedName name="六期装修">#REF!</definedName>
    <definedName name="六期总建面">#REF!</definedName>
    <definedName name="템플리트모듈5">BlankMacro1</definedName>
    <definedName name="_xlnm.Recorder">#REF!</definedName>
    <definedName name="토지">#REF!</definedName>
    <definedName name="律师费">#REF!</definedName>
    <definedName name="판군">#REF!</definedName>
    <definedName name="梅兰日兰UPS" hidden="1">{"'Sheet1'!$A$1:$J$57","'Sheet1'!$F$32:$F$35","'Sheet1'!$F$32:$F$36"}</definedName>
    <definedName name="面积">#REF!</definedName>
    <definedName name="面积比">#REF!,#REF!,#REF!,#REF!,#REF!,#REF!,#REF!,#REF!,#REF!</definedName>
    <definedName name="面积差">#REF!,#REF!,#REF!,#REF!,#REF!,#REF!,#REF!,#REF!,#REF!,#REF!,#REF!,#REF!,#REF!,#REF!,#REF!,#REF!,#REF!,#REF!</definedName>
    <definedName name="明细分类账" localSheetId="48">#REF!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#REF!</definedName>
    <definedName name="한길채권">#REF!</definedName>
    <definedName name="한미담보">#REF!</definedName>
    <definedName name="한화채권">#REF!</definedName>
    <definedName name="할인">#REF!</definedName>
    <definedName name="항도담보">#REF!</definedName>
    <definedName name="内部" localSheetId="48">#REF!</definedName>
    <definedName name="内部">#REF!</definedName>
    <definedName name="内部存款" localSheetId="48">#REF!</definedName>
    <definedName name="内部存款">#REF!</definedName>
    <definedName name="内部银行" localSheetId="48">#REF!</definedName>
    <definedName name="内部银行">#REF!</definedName>
    <definedName name="内部装修维护情况">定义!$U$1:$U$6</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#REF!</definedName>
    <definedName name="七级">区片价!$N$1:$N$49</definedName>
    <definedName name="七通一平">修正!$A$6:$A$14</definedName>
    <definedName name="期间费用">#REF!</definedName>
    <definedName name="其他长期负债" localSheetId="48">#REF!</definedName>
    <definedName name="其他长期负债">#REF!</definedName>
    <definedName name="其他长期资产" localSheetId="48">#REF!</definedName>
    <definedName name="其他长期资产">#REF!</definedName>
    <definedName name="其他递延支出" localSheetId="48">#REF!</definedName>
    <definedName name="其他递延支出">#REF!</definedName>
    <definedName name="其他流动负债" localSheetId="48">#REF!</definedName>
    <definedName name="其他流动负债">#REF!</definedName>
    <definedName name="其他流动资产" localSheetId="48">#REF!</definedName>
    <definedName name="其他流动资产">#REF!</definedName>
    <definedName name="其他土地费用">#REF!</definedName>
    <definedName name="其他未交款" localSheetId="48">#REF!</definedName>
    <definedName name="其他未交款">#REF!</definedName>
    <definedName name="其他无形资产" localSheetId="48">#REF!</definedName>
    <definedName name="其他无形资产">#REF!</definedName>
    <definedName name="其他业务收入" localSheetId="48">#REF!</definedName>
    <definedName name="其他业务收入">#REF!</definedName>
    <definedName name="其他业务支出" localSheetId="48">#REF!</definedName>
    <definedName name="其他业务支出">#REF!</definedName>
    <definedName name="其他应付款" localSheetId="48">#REF!</definedName>
    <definedName name="其他应付款">#REF!</definedName>
    <definedName name="其他应付款其他" localSheetId="48">#REF!</definedName>
    <definedName name="其他应付款其他">#REF!</definedName>
    <definedName name="其他应收" localSheetId="48">#REF!</definedName>
    <definedName name="其他应收">#REF!</definedName>
    <definedName name="其他应收款" localSheetId="48">#REF!</definedName>
    <definedName name="其他应收款">#REF!</definedName>
    <definedName name="企业所得税补缴">#REF!</definedName>
    <definedName name="契税税率">#REF!</definedName>
    <definedName name="前期" hidden="1">#REF!</definedName>
    <definedName name="前期尽职调查费">#REF!</definedName>
    <definedName name="青岛" localSheetId="48" hidden="1">#REF!</definedName>
    <definedName name="青岛" hidden="1">#REF!</definedName>
    <definedName name="区域土地利用方向">定义!$P$1:$P$6</definedName>
    <definedName name="趨勢" localSheetId="48" hidden="1">#REF!</definedName>
    <definedName name="趨勢" hidden="1">#REF!</definedName>
    <definedName name="権利金">#REF!</definedName>
    <definedName name="融资租入固定资产" localSheetId="48">#REF!</definedName>
    <definedName name="融资租入固定资产">#REF!</definedName>
    <definedName name="融资租入固定资产折旧" localSheetId="48">#REF!</definedName>
    <definedName name="融资租入固定资产折旧">#REF!</definedName>
    <definedName name="瑞斯科" localSheetId="48">#REF!</definedName>
    <definedName name="瑞斯科">#REF!</definedName>
    <definedName name="三级">区片价!$J$1:$J$21</definedName>
    <definedName name="三期">#REF!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#REF!</definedName>
    <definedName name="商增10">#REF!</definedName>
    <definedName name="商增2">#REF!</definedName>
    <definedName name="商增3">#REF!</definedName>
    <definedName name="商增4">#REF!</definedName>
    <definedName name="商增5">#REF!</definedName>
    <definedName name="商增6">#REF!</definedName>
    <definedName name="商增7">#REF!</definedName>
    <definedName name="商增8">#REF!</definedName>
    <definedName name="商增9">#REF!</definedName>
    <definedName name="商增四">#REF!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#REF!</definedName>
    <definedName name="施工费用">#REF!,#REF!,#REF!,#REF!,#REF!,#REF!,#REF!,#REF!,#REF!,#REF!,#REF!,#REF!</definedName>
    <definedName name="十二级">区片价!$S$1:$S$8</definedName>
    <definedName name="十级">区片价!$Q$1:$Q$27</definedName>
    <definedName name="十一级">区片价!$R$1:$R$22</definedName>
    <definedName name="石健华">#REF!</definedName>
    <definedName name="实际付款金额">#REF!</definedName>
    <definedName name="实际付款时间">#REF!</definedName>
    <definedName name="实际开发总成本">#REF!</definedName>
    <definedName name="事实上">#REF!</definedName>
    <definedName name="是否封闭">'比较法-仓储'!$B$89:$M$89</definedName>
    <definedName name="是否直接入户">'比较法-车位'!$B$95:$M$95</definedName>
    <definedName name="收入游" hidden="1">"c1023"</definedName>
    <definedName name="数据">#REF!</definedName>
    <definedName name="四级">区片价!$K$1:$K$28</definedName>
    <definedName name="四期">#REF!</definedName>
    <definedName name="四期装修">#REF!</definedName>
    <definedName name="损益" localSheetId="48">#REF!</definedName>
    <definedName name="损益">#REF!</definedName>
    <definedName name="损益表" localSheetId="48">#REF!</definedName>
    <definedName name="损益表">#REF!</definedName>
    <definedName name="所得税" localSheetId="48">#REF!</definedName>
    <definedName name="所得税">#REF!</definedName>
    <definedName name="所得税税率">#REF!</definedName>
    <definedName name="他面積">#REF!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#REF!</definedName>
    <definedName name="停车位">#REF!</definedName>
    <definedName name="投资" localSheetId="48">#REF!</definedName>
    <definedName name="投资">#REF!</definedName>
    <definedName name="投资收益" localSheetId="48">#REF!</definedName>
    <definedName name="投资收益">#REF!</definedName>
    <definedName name="土地">#REF!</definedName>
    <definedName name="土地估价师">估价师及机构信息!$D$3:$D$24</definedName>
    <definedName name="土地级别">定义!$C$1:$C$14</definedName>
    <definedName name="土地交易税税率">#REF!</definedName>
    <definedName name="土地利用方向">定义!$P$1:$P$6</definedName>
    <definedName name="土地面积平方米">#REF!</definedName>
    <definedName name="土地年限区间">定义!$I$1:$I$8</definedName>
    <definedName name="土地增值税补缴">#REF!</definedName>
    <definedName name="土地增值税预缴税率">#REF!</definedName>
    <definedName name="外方投资" localSheetId="48">#REF!</definedName>
    <definedName name="外方投资">#REF!</definedName>
    <definedName name="往来余额表" localSheetId="48">#REF!</definedName>
    <definedName name="往来余额表">#REF!</definedName>
    <definedName name="未分配利润" localSheetId="48">#REF!</definedName>
    <definedName name="未分配利润">#REF!</definedName>
    <definedName name="位置">定义!$E$2:$E$4</definedName>
    <definedName name="无形资产" localSheetId="48">#REF!</definedName>
    <definedName name="无形资产">#REF!</definedName>
    <definedName name="五等判定">定义!$W$1:$W$6</definedName>
    <definedName name="五级">区片价!$L$1:$L$35</definedName>
    <definedName name="五期">#REF!</definedName>
    <definedName name="五期装修">#REF!</definedName>
    <definedName name="五期总建面">#REF!</definedName>
    <definedName name="物业比例">#REF!,#REF!,#REF!,#REF!,#REF!,#REF!,#REF!,#REF!,#REF!</definedName>
    <definedName name="西安" localSheetId="48" hidden="1">#REF!</definedName>
    <definedName name="西安" hidden="1">#REF!</definedName>
    <definedName name="西安1" localSheetId="48" hidden="1">#REF!</definedName>
    <definedName name="西安1" hidden="1">#REF!</definedName>
    <definedName name="西安2" localSheetId="48" hidden="1">#REF!</definedName>
    <definedName name="西安2" hidden="1">#REF!</definedName>
    <definedName name="现金" localSheetId="48">#REF!</definedName>
    <definedName name="现金">#REF!</definedName>
    <definedName name="项目类型">'数据-汇总表'!$C$17:$C$26</definedName>
    <definedName name="项目名称">#REF!</definedName>
    <definedName name="销货净额" localSheetId="48">#REF!</definedName>
    <definedName name="销货净额">#REF!</definedName>
    <definedName name="销售费用" localSheetId="48">#REF!</definedName>
    <definedName name="销售费用">#REF!</definedName>
    <definedName name="销售回款比率">#REF!</definedName>
    <definedName name="销售价格变动率">#REF!</definedName>
    <definedName name="销售收入">#REF!</definedName>
    <definedName name="销售折扣和折让" localSheetId="48">#REF!</definedName>
    <definedName name="销售折扣和折让">#REF!</definedName>
    <definedName name="写字楼等级">'比较法-办公'!$B$113:$M$113</definedName>
    <definedName name="信托股权总额">#REF!</definedName>
    <definedName name="信托债权收益比率">#REF!</definedName>
    <definedName name="信托债权总额">#REF!</definedName>
    <definedName name="一表" localSheetId="48">#REF!</definedName>
    <definedName name="一表">#REF!</definedName>
    <definedName name="一级" localSheetId="48">#REF!</definedName>
    <definedName name="一级">区片价!$H$1:$H$6</definedName>
    <definedName name="一年内到期的长期负债" localSheetId="48">#REF!</definedName>
    <definedName name="一年内到期的长期负债">#REF!</definedName>
    <definedName name="一年内到期的长期投资" localSheetId="48">#REF!</definedName>
    <definedName name="一年内到期的长期投资">#REF!</definedName>
    <definedName name="一年以上的应收款项" localSheetId="48">#REF!</definedName>
    <definedName name="一年以上的应收款项">#REF!</definedName>
    <definedName name="一期">#REF!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#REF!</definedName>
    <definedName name="已归还投资" localSheetId="48">#REF!</definedName>
    <definedName name="已归还投资">#REF!</definedName>
    <definedName name="以前年度损益调整" localSheetId="48">#REF!</definedName>
    <definedName name="以前年度损益调整">#REF!</definedName>
    <definedName name="银行保管费">#REF!</definedName>
    <definedName name="银行存款" localSheetId="48">#REF!</definedName>
    <definedName name="银行存款">#REF!</definedName>
    <definedName name="印花税">#REF!</definedName>
    <definedName name="印花税税率">#REF!</definedName>
    <definedName name="应付" localSheetId="48">#REF!</definedName>
    <definedName name="应付">#REF!</definedName>
    <definedName name="应付福利费" localSheetId="48">#REF!</definedName>
    <definedName name="应付福利费">#REF!</definedName>
    <definedName name="应付公司债溢价折价" localSheetId="48">#REF!</definedName>
    <definedName name="应付公司债溢价折价">#REF!</definedName>
    <definedName name="应付股利" localSheetId="48">#REF!</definedName>
    <definedName name="应付股利">#REF!</definedName>
    <definedName name="应付票据" localSheetId="48">#REF!</definedName>
    <definedName name="应付票据">#REF!</definedName>
    <definedName name="应付债券" localSheetId="48">#REF!</definedName>
    <definedName name="应付债券">#REF!</definedName>
    <definedName name="应付帐款" localSheetId="48">#REF!</definedName>
    <definedName name="应付帐款">#REF!</definedName>
    <definedName name="应交税金" localSheetId="48">#REF!</definedName>
    <definedName name="应交税金">#REF!</definedName>
    <definedName name="应收" localSheetId="48">#REF!</definedName>
    <definedName name="应收">#REF!</definedName>
    <definedName name="应收票据" localSheetId="48">#REF!</definedName>
    <definedName name="应收票据">#REF!</definedName>
    <definedName name="应收帐款" localSheetId="48">#REF!</definedName>
    <definedName name="应收帐款">#REF!</definedName>
    <definedName name="盈余公积" localSheetId="48">#REF!</definedName>
    <definedName name="盈余公积">#REF!</definedName>
    <definedName name="营销费用费率">#REF!</definedName>
    <definedName name="营业成本" localSheetId="48">#REF!</definedName>
    <definedName name="营业成本">#REF!</definedName>
    <definedName name="营业税">#REF!</definedName>
    <definedName name="营业税金及附加" localSheetId="48">#REF!</definedName>
    <definedName name="营业税金及附加">#REF!</definedName>
    <definedName name="营业税税率">#REF!</definedName>
    <definedName name="营业外收入" localSheetId="48">#REF!</definedName>
    <definedName name="营业外收入">#REF!</definedName>
    <definedName name="营业外支出" localSheetId="48">#REF!</definedName>
    <definedName name="营业外支出">#REF!</definedName>
    <definedName name="用途明细">定义!$A$1:$A$50</definedName>
    <definedName name="有" localSheetId="48" hidden="1">#REF!</definedName>
    <definedName name="有" hidden="1">#REF!</definedName>
    <definedName name="有价证券" localSheetId="48">#REF!</definedName>
    <definedName name="有价证券">#REF!</definedName>
    <definedName name="有无电梯">'比较法-仓储'!$B$84:$M$84</definedName>
    <definedName name="余额" localSheetId="48">#REF!</definedName>
    <definedName name="余额">#REF!</definedName>
    <definedName name="余额表" localSheetId="48">#REF!</definedName>
    <definedName name="余额表">#REF!</definedName>
    <definedName name="预付货款" localSheetId="48">#REF!</definedName>
    <definedName name="预付货款">#REF!</definedName>
    <definedName name="预交所得税" localSheetId="48">#REF!</definedName>
    <definedName name="预交所得税">#REF!</definedName>
    <definedName name="预缴企业所得税税率">#REF!</definedName>
    <definedName name="预收货款" localSheetId="48">#REF!</definedName>
    <definedName name="预收货款">#REF!</definedName>
    <definedName name="预提费用" localSheetId="48">#REF!</definedName>
    <definedName name="预提费用">#REF!</definedName>
    <definedName name="预提所得税" localSheetId="48">#REF!</definedName>
    <definedName name="预提所得税">#REF!</definedName>
    <definedName name="元ﾚｰﾄ">#REF!</definedName>
    <definedName name="在建工程" localSheetId="48">#REF!</definedName>
    <definedName name="在建工程">#REF!</definedName>
    <definedName name="增值费">#REF!</definedName>
    <definedName name="债权收益总额">#REF!</definedName>
    <definedName name="漳州减租每月明细" hidden="1">#REF!</definedName>
    <definedName name="中方投资" localSheetId="48">#REF!</definedName>
    <definedName name="中方投资">#REF!</definedName>
    <definedName name="主营业务收入" localSheetId="48">#REF!</definedName>
    <definedName name="主营业务收入">#REF!</definedName>
    <definedName name="主用途">定义!$F$1:$F$10</definedName>
    <definedName name="住增1">#REF!</definedName>
    <definedName name="住增10">#REF!</definedName>
    <definedName name="住增2">#REF!</definedName>
    <definedName name="住增3">#REF!</definedName>
    <definedName name="住增4">#REF!</definedName>
    <definedName name="住增5">#REF!</definedName>
    <definedName name="住增6">#REF!</definedName>
    <definedName name="住增7">#REF!</definedName>
    <definedName name="住增8">#REF!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#REF!</definedName>
    <definedName name="注册房地产估价师">估价师及机构信息!$A$3:$A$24</definedName>
    <definedName name="转让价">#REF!</definedName>
    <definedName name="资本公积" localSheetId="48">#REF!</definedName>
    <definedName name="资本公积">#REF!</definedName>
    <definedName name="自有资金成本">#REF!</definedName>
    <definedName name="总建筑面积">#REF!</definedName>
    <definedName name="总土地成本">#REF!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19" i="9" l="1"/>
  <c r="I48" i="34" l="1"/>
  <c r="G48" i="34"/>
  <c r="E48" i="34"/>
  <c r="E47" i="33" l="1"/>
  <c r="I47" i="33"/>
  <c r="G47" i="33" l="1"/>
  <c r="I128" i="81"/>
  <c r="M13" i="3"/>
  <c r="G21" i="6"/>
  <c r="E21" i="6"/>
  <c r="I4" i="81"/>
  <c r="K13" i="3"/>
  <c r="F20" i="6"/>
  <c r="E20" i="6"/>
  <c r="S2" i="4"/>
  <c r="B43" i="1"/>
  <c r="D3" i="4"/>
  <c r="B2" i="1"/>
  <c r="C42" i="1"/>
  <c r="B41" i="1"/>
  <c r="K6" i="4"/>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F19" i="6"/>
  <c r="E19" i="6"/>
  <c r="E22" i="6"/>
  <c r="E23" i="6"/>
  <c r="E24" i="6"/>
  <c r="E25" i="6"/>
  <c r="E26" i="6"/>
  <c r="BA5" i="3"/>
  <c r="E27" i="6"/>
  <c r="K21" i="6"/>
  <c r="L21" i="6"/>
  <c r="M21" i="6"/>
  <c r="I21" i="6"/>
  <c r="H21" i="6"/>
  <c r="D20" i="6"/>
  <c r="K20" i="6"/>
  <c r="L20" i="6"/>
  <c r="M20" i="6"/>
  <c r="I20" i="6"/>
  <c r="H20" i="6"/>
  <c r="J7" i="80"/>
  <c r="J8" i="80"/>
  <c r="J9" i="80"/>
  <c r="J10" i="80"/>
  <c r="J14" i="80"/>
  <c r="K8" i="80"/>
  <c r="J6" i="80"/>
  <c r="J4" i="80"/>
  <c r="J3" i="80"/>
  <c r="K6" i="80"/>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D94"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D3" i="35"/>
  <c r="B3" i="35"/>
  <c r="K2" i="81"/>
  <c r="K3" i="81"/>
  <c r="K5" i="81"/>
  <c r="L5" i="81"/>
  <c r="I129" i="81"/>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J52"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C28" i="77"/>
  <c r="F23" i="77"/>
  <c r="F21" i="77"/>
  <c r="F20" i="77"/>
  <c r="M19" i="77"/>
  <c r="M18" i="77"/>
  <c r="F18" i="77"/>
  <c r="M17" i="77"/>
  <c r="F17" i="77"/>
  <c r="F15" i="77"/>
  <c r="G1" i="77"/>
  <c r="J52" i="15"/>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s="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BD5" i="3"/>
  <c r="BH5" i="3"/>
  <c r="BM5" i="3"/>
  <c r="BE5" i="3"/>
  <c r="BI5" i="3"/>
  <c r="BP5" i="3"/>
  <c r="H7" i="12"/>
  <c r="I7" i="12"/>
  <c r="J7" i="12"/>
  <c r="K7" i="12"/>
  <c r="H111" i="21"/>
  <c r="B110" i="39"/>
  <c r="B112" i="39"/>
  <c r="H36" i="39"/>
  <c r="J30" i="36"/>
  <c r="H30" i="36"/>
  <c r="F30" i="36"/>
  <c r="AA30" i="36"/>
  <c r="W31" i="35"/>
  <c r="U31" i="35"/>
  <c r="I87" i="35"/>
  <c r="J87" i="35"/>
  <c r="K87" i="35"/>
  <c r="L87" i="35"/>
  <c r="M87" i="35"/>
  <c r="H34" i="37"/>
  <c r="D101" i="37"/>
  <c r="F34" i="37"/>
  <c r="D99" i="37"/>
  <c r="E99" i="37"/>
  <c r="F99" i="37"/>
  <c r="G99" i="37"/>
  <c r="H99" i="37"/>
  <c r="I99" i="37"/>
  <c r="J99" i="37"/>
  <c r="K99" i="37"/>
  <c r="L99" i="37"/>
  <c r="M99" i="37"/>
  <c r="H42" i="34"/>
  <c r="AB42" i="34"/>
  <c r="J42" i="34"/>
  <c r="W42" i="34"/>
  <c r="F42" i="34"/>
  <c r="S42" i="34"/>
  <c r="D114" i="34"/>
  <c r="J38" i="34"/>
  <c r="W38" i="34"/>
  <c r="F38" i="34"/>
  <c r="S38" i="34"/>
  <c r="D112" i="34"/>
  <c r="E112" i="34"/>
  <c r="F112" i="34"/>
  <c r="G112" i="34"/>
  <c r="H112" i="34"/>
  <c r="I112" i="34"/>
  <c r="J112" i="34"/>
  <c r="K112" i="34"/>
  <c r="L112" i="34"/>
  <c r="M112" i="34"/>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c r="B71" i="34"/>
  <c r="J12" i="34"/>
  <c r="B130" i="33"/>
  <c r="F46" i="33"/>
  <c r="AA46" i="33"/>
  <c r="B128" i="33"/>
  <c r="B126" i="33"/>
  <c r="H44" i="33"/>
  <c r="B98" i="33"/>
  <c r="B96" i="33"/>
  <c r="F30" i="33"/>
  <c r="B94" i="33"/>
  <c r="B74" i="33"/>
  <c r="H14" i="33"/>
  <c r="U14" i="33"/>
  <c r="B72" i="33"/>
  <c r="B70" i="33"/>
  <c r="J12" i="33"/>
  <c r="W12" i="33" s="1"/>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s="1"/>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U10" i="35"/>
  <c r="F33" i="36"/>
  <c r="AA33" i="36"/>
  <c r="W30" i="36"/>
  <c r="H16" i="36"/>
  <c r="AB16" i="36"/>
  <c r="J29" i="36"/>
  <c r="AC29" i="36"/>
  <c r="F12" i="36"/>
  <c r="F24" i="36"/>
  <c r="AA24" i="36"/>
  <c r="F34" i="36"/>
  <c r="S34" i="36"/>
  <c r="S10" i="36"/>
  <c r="AB8" i="36"/>
  <c r="S8" i="36"/>
  <c r="U16" i="35"/>
  <c r="S16" i="35"/>
  <c r="W29"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F15" i="34"/>
  <c r="S15" i="34"/>
  <c r="J15" i="34"/>
  <c r="W15" i="34"/>
  <c r="H15" i="34"/>
  <c r="AB15" i="34"/>
  <c r="J28" i="34"/>
  <c r="W28" i="34"/>
  <c r="F41" i="33"/>
  <c r="AA41" i="33"/>
  <c r="E113" i="33"/>
  <c r="F32" i="33"/>
  <c r="AA32" i="33" s="1"/>
  <c r="J19" i="33"/>
  <c r="AC19" i="33"/>
  <c r="J15" i="33"/>
  <c r="AC15" i="33" s="1"/>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S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C38" i="34"/>
  <c r="AA38" i="34"/>
  <c r="J37" i="34"/>
  <c r="AC37" i="34"/>
  <c r="J11" i="33"/>
  <c r="W11" i="33"/>
  <c r="S28" i="34"/>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c r="S33" i="35"/>
  <c r="S30" i="35"/>
  <c r="E89" i="35"/>
  <c r="F89" i="35"/>
  <c r="G89" i="35"/>
  <c r="H89" i="35"/>
  <c r="I89" i="35"/>
  <c r="J89" i="35"/>
  <c r="K89" i="35"/>
  <c r="L89" i="35"/>
  <c r="M89" i="35"/>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W37" i="34"/>
  <c r="AA13" i="33"/>
  <c r="AC31" i="33"/>
  <c r="AC45" i="33"/>
  <c r="W44" i="33"/>
  <c r="U11" i="33"/>
  <c r="U19" i="21"/>
  <c r="U26" i="21"/>
  <c r="U12" i="21"/>
  <c r="F43" i="33"/>
  <c r="AA43" i="33"/>
  <c r="AC15" i="34"/>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W12" i="34"/>
  <c r="AC12" i="34"/>
  <c r="AA42" i="34"/>
  <c r="AB23" i="34"/>
  <c r="AA15" i="34"/>
  <c r="M8" i="1"/>
  <c r="G7" i="1"/>
  <c r="S8" i="33"/>
  <c r="AC36" i="34"/>
  <c r="AC17" i="34"/>
  <c r="S9" i="34"/>
  <c r="F29" i="6"/>
  <c r="A15" i="62"/>
  <c r="B61" i="72"/>
  <c r="U13" i="34"/>
  <c r="AB13" i="34"/>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AB37" i="34"/>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AB10" i="34" s="1"/>
  <c r="T49" i="34" s="1"/>
  <c r="G49" i="34" s="1"/>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W32" i="33" s="1"/>
  <c r="S46" i="33"/>
  <c r="W43" i="33"/>
  <c r="S43" i="33"/>
  <c r="H27" i="33"/>
  <c r="AB27" i="33" s="1"/>
  <c r="F87" i="33"/>
  <c r="H25" i="33"/>
  <c r="F25" i="33"/>
  <c r="J23" i="33"/>
  <c r="F85" i="33"/>
  <c r="H23" i="33"/>
  <c r="F81" i="33"/>
  <c r="F19" i="33"/>
  <c r="S19" i="33"/>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C33"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U10" i="34"/>
  <c r="J10" i="34"/>
  <c r="AC10" i="34" s="1"/>
  <c r="V49" i="34" s="1"/>
  <c r="I49" i="34" s="1"/>
  <c r="I53" i="34" s="1"/>
  <c r="J53" i="34" s="1"/>
  <c r="AB41" i="33"/>
  <c r="U41" i="33"/>
  <c r="W35" i="33"/>
  <c r="AC35" i="33"/>
  <c r="U27" i="33"/>
  <c r="J27" i="33"/>
  <c r="AC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AP7" i="1"/>
  <c r="M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6" i="43"/>
  <c r="E36" i="43" s="1"/>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c r="F27" i="11"/>
  <c r="F1" i="67"/>
  <c r="Q52" i="67"/>
  <c r="E8" i="70"/>
  <c r="AQ8" i="1"/>
  <c r="AR8" i="1"/>
  <c r="T8" i="1"/>
  <c r="AA7" i="36"/>
  <c r="R36" i="36"/>
  <c r="E36" i="36"/>
  <c r="E40" i="36"/>
  <c r="F40" i="36"/>
  <c r="AC11" i="37"/>
  <c r="W11" i="37"/>
  <c r="AB7" i="37"/>
  <c r="T42" i="37"/>
  <c r="G42" i="37"/>
  <c r="G46" i="37"/>
  <c r="H46" i="37"/>
  <c r="W11" i="34"/>
  <c r="AC11" i="34"/>
  <c r="AB7" i="36"/>
  <c r="T36" i="36"/>
  <c r="E6" i="3"/>
  <c r="D10" i="68"/>
  <c r="C10" i="68" s="1"/>
  <c r="D10" i="11"/>
  <c r="C10" i="11"/>
  <c r="D20" i="12"/>
  <c r="C20" i="12" s="1"/>
  <c r="D19" i="6"/>
  <c r="M19" i="9"/>
  <c r="C118" i="9" s="1"/>
  <c r="C14" i="74" s="1"/>
  <c r="B2" i="74" s="1"/>
  <c r="D7" i="74" s="1"/>
  <c r="D25" i="6"/>
  <c r="D26" i="6"/>
  <c r="D15" i="6"/>
  <c r="C18" i="4"/>
  <c r="D22" i="6"/>
  <c r="D8" i="6"/>
  <c r="D23" i="6"/>
  <c r="D24" i="6"/>
  <c r="D14" i="6"/>
  <c r="R20" i="6"/>
  <c r="R7" i="1"/>
  <c r="D5" i="6"/>
  <c r="D6" i="6"/>
  <c r="D12" i="6"/>
  <c r="D9" i="6"/>
  <c r="D11" i="6"/>
  <c r="D10" i="6"/>
  <c r="D13" i="6"/>
  <c r="H19" i="6"/>
  <c r="L19" i="9"/>
  <c r="D28" i="6"/>
  <c r="D29" i="6"/>
  <c r="E61" i="40"/>
  <c r="H25" i="6"/>
  <c r="R25" i="6"/>
  <c r="H22" i="6"/>
  <c r="H23" i="6"/>
  <c r="H26" i="6"/>
  <c r="H24" i="6"/>
  <c r="C13" i="12"/>
  <c r="P16" i="1"/>
  <c r="C11" i="12"/>
  <c r="C15" i="12" s="1"/>
  <c r="F34" i="11"/>
  <c r="C37" i="11"/>
  <c r="F11" i="12"/>
  <c r="F34" i="68"/>
  <c r="C36" i="68" s="1"/>
  <c r="G36" i="43"/>
  <c r="I36" i="43" s="1"/>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F63" i="40"/>
  <c r="E65" i="40"/>
  <c r="E70" i="39"/>
  <c r="F70" i="39"/>
  <c r="S19" i="6"/>
  <c r="S27" i="6"/>
  <c r="I27" i="6"/>
  <c r="F50" i="11"/>
  <c r="F50" i="69"/>
  <c r="F50" i="68"/>
  <c r="C47" i="11"/>
  <c r="D45" i="11"/>
  <c r="C29" i="11"/>
  <c r="D27" i="11"/>
  <c r="C28" i="11"/>
  <c r="C27" i="11"/>
  <c r="L16" i="1"/>
  <c r="C34" i="11"/>
  <c r="AA7" i="34"/>
  <c r="C36" i="11"/>
  <c r="G36" i="36"/>
  <c r="R37" i="36"/>
  <c r="AB7"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R6" i="1"/>
  <c r="E47" i="37"/>
  <c r="F47" i="37"/>
  <c r="E46" i="37"/>
  <c r="F46" i="37"/>
  <c r="C43" i="37"/>
  <c r="C42" i="37"/>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55" i="40" s="1"/>
  <c r="F55" i="40" s="1"/>
  <c r="S7" i="40"/>
  <c r="E42" i="40"/>
  <c r="E46" i="40" s="1"/>
  <c r="F46" i="40" s="1"/>
  <c r="E47" i="40"/>
  <c r="F47" i="40" s="1"/>
  <c r="B53" i="40"/>
  <c r="F53" i="40" s="1"/>
  <c r="F61" i="40"/>
  <c r="B2" i="40" s="1"/>
  <c r="B3" i="40" s="1"/>
  <c r="S16" i="1"/>
  <c r="T16" i="1"/>
  <c r="AG6" i="1"/>
  <c r="H109" i="9"/>
  <c r="H110" i="9"/>
  <c r="D18" i="53"/>
  <c r="B35" i="72"/>
  <c r="D124" i="9"/>
  <c r="D16" i="53"/>
  <c r="B34" i="72"/>
  <c r="D10" i="52"/>
  <c r="H14" i="74"/>
  <c r="D17" i="53"/>
  <c r="B36" i="72"/>
  <c r="D125" i="9"/>
  <c r="D11" i="52"/>
  <c r="B7" i="74"/>
  <c r="J7" i="33"/>
  <c r="W7" i="33"/>
  <c r="F7" i="33"/>
  <c r="S7" i="33"/>
  <c r="H7" i="33"/>
  <c r="AB7" i="33"/>
  <c r="AA7" i="33"/>
  <c r="U7" i="33"/>
  <c r="AC7" i="33"/>
  <c r="J7" i="39"/>
  <c r="AC7" i="39"/>
  <c r="V47" i="39"/>
  <c r="I47" i="39"/>
  <c r="F7" i="39"/>
  <c r="S7" i="39"/>
  <c r="H7" i="39"/>
  <c r="AB7" i="39"/>
  <c r="T47" i="39"/>
  <c r="G47" i="39"/>
  <c r="W7" i="39"/>
  <c r="U7" i="39"/>
  <c r="AA7" i="39"/>
  <c r="R47" i="39"/>
  <c r="R48" i="39" s="1"/>
  <c r="C48" i="39" s="1"/>
  <c r="C47" i="39"/>
  <c r="H112" i="9"/>
  <c r="D21" i="53"/>
  <c r="B39" i="72"/>
  <c r="H111" i="9"/>
  <c r="D126" i="9"/>
  <c r="D19" i="53"/>
  <c r="D59" i="9"/>
  <c r="M55" i="9"/>
  <c r="B38" i="72"/>
  <c r="D20" i="53"/>
  <c r="B40" i="72"/>
  <c r="I14" i="74"/>
  <c r="B8" i="74"/>
  <c r="D127" i="9"/>
  <c r="D13" i="52"/>
  <c r="D12" i="52"/>
  <c r="AD3" i="71"/>
  <c r="P21" i="43"/>
  <c r="P22" i="43"/>
  <c r="P23" i="43"/>
  <c r="B71" i="39"/>
  <c r="P24" i="43"/>
  <c r="B66" i="40"/>
  <c r="P25" i="43"/>
  <c r="C8" i="74" l="1"/>
  <c r="C7" i="74"/>
  <c r="D8" i="74"/>
  <c r="G16" i="1"/>
  <c r="H10" i="40" s="1"/>
  <c r="E47" i="39"/>
  <c r="B60" i="40"/>
  <c r="F60" i="40" s="1"/>
  <c r="C42" i="40"/>
  <c r="C29" i="43"/>
  <c r="C30" i="43" s="1"/>
  <c r="E30" i="43" s="1"/>
  <c r="C34" i="43"/>
  <c r="E51" i="39"/>
  <c r="F51" i="39" s="1"/>
  <c r="E52" i="39"/>
  <c r="F52" i="39" s="1"/>
  <c r="G47" i="40"/>
  <c r="H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J10" i="39"/>
  <c r="E33" i="43"/>
  <c r="G33" i="43"/>
  <c r="I33" i="43" s="1"/>
  <c r="G52" i="39"/>
  <c r="H52" i="39" s="1"/>
  <c r="G51" i="39"/>
  <c r="H51" i="39" s="1"/>
  <c r="I51" i="39"/>
  <c r="J51" i="39" s="1"/>
  <c r="I52" i="39"/>
  <c r="J52" i="39" s="1"/>
  <c r="I47" i="40"/>
  <c r="J47" i="40" s="1"/>
  <c r="E29" i="43"/>
  <c r="C26" i="43" s="1"/>
  <c r="C37" i="43"/>
  <c r="C39" i="43"/>
  <c r="E39" i="43" s="1"/>
  <c r="T4" i="43"/>
  <c r="V4" i="43" s="1"/>
  <c r="T6" i="43"/>
  <c r="V6" i="43" s="1"/>
  <c r="T5" i="43"/>
  <c r="V5" i="43" s="1"/>
  <c r="T10" i="43"/>
  <c r="V10" i="43" s="1"/>
  <c r="T13" i="43"/>
  <c r="V13" i="43" s="1"/>
  <c r="T15" i="43"/>
  <c r="V15" i="43" s="1"/>
  <c r="T8" i="43"/>
  <c r="V8" i="43" s="1"/>
  <c r="T2" i="43"/>
  <c r="V2" i="43" s="1"/>
  <c r="T7" i="43"/>
  <c r="V7" i="43" s="1"/>
  <c r="T3" i="43"/>
  <c r="V3" i="43" s="1"/>
  <c r="T9" i="43"/>
  <c r="V9" i="43" s="1"/>
  <c r="T12" i="43"/>
  <c r="V12" i="43" s="1"/>
  <c r="T14" i="43"/>
  <c r="V14" i="43" s="1"/>
  <c r="T16" i="43"/>
  <c r="V16" i="43" s="1"/>
  <c r="T11" i="43"/>
  <c r="V11" i="43" s="1"/>
  <c r="C38" i="43"/>
  <c r="C35" i="43"/>
  <c r="AB26" i="33"/>
  <c r="W27" i="33"/>
  <c r="D19" i="69"/>
  <c r="D37" i="69" s="1"/>
  <c r="C37" i="69" s="1"/>
  <c r="AC32" i="33"/>
  <c r="G111" i="33"/>
  <c r="J36" i="33" s="1"/>
  <c r="G53" i="34"/>
  <c r="H53" i="34" s="1"/>
  <c r="G54" i="34"/>
  <c r="H54" i="34" s="1"/>
  <c r="D19" i="68"/>
  <c r="C19" i="68" s="1"/>
  <c r="AA10" i="33"/>
  <c r="AA12" i="34"/>
  <c r="R49" i="34" s="1"/>
  <c r="AC12" i="33"/>
  <c r="C14" i="12"/>
  <c r="C47" i="69"/>
  <c r="D45" i="69" s="1"/>
  <c r="C23" i="12"/>
  <c r="B29" i="1"/>
  <c r="C18" i="12" s="1"/>
  <c r="R16" i="1"/>
  <c r="C47" i="68"/>
  <c r="D45" i="68" s="1"/>
  <c r="U32" i="33"/>
  <c r="C34" i="68"/>
  <c r="C38" i="68" s="1"/>
  <c r="C12" i="12"/>
  <c r="C35" i="69"/>
  <c r="C10" i="69"/>
  <c r="C8" i="69" s="1"/>
  <c r="C5" i="69" s="1"/>
  <c r="C19" i="69"/>
  <c r="M22" i="78"/>
  <c r="C76" i="77"/>
  <c r="C76" i="78"/>
  <c r="F40" i="67"/>
  <c r="J15" i="15"/>
  <c r="M29" i="67"/>
  <c r="M28" i="78"/>
  <c r="F16" i="67"/>
  <c r="F8" i="15"/>
  <c r="F42" i="67"/>
  <c r="B8" i="76"/>
  <c r="E9" i="76"/>
  <c r="M27" i="15"/>
  <c r="F38" i="67"/>
  <c r="F38" i="77"/>
  <c r="M22" i="15"/>
  <c r="C14" i="15"/>
  <c r="B7" i="76"/>
  <c r="C76" i="15"/>
  <c r="F43" i="15"/>
  <c r="M26" i="78"/>
  <c r="M6" i="78"/>
  <c r="M23" i="77"/>
  <c r="F9" i="15"/>
  <c r="AO12" i="1"/>
  <c r="F20" i="31"/>
  <c r="L48" i="67"/>
  <c r="F3" i="73"/>
  <c r="D2" i="21"/>
  <c r="M9" i="77"/>
  <c r="F9" i="67"/>
  <c r="F6" i="77"/>
  <c r="M8" i="67"/>
  <c r="F5" i="73"/>
  <c r="B12" i="76"/>
  <c r="M27" i="67"/>
  <c r="M8" i="15"/>
  <c r="M28" i="77"/>
  <c r="F38" i="78"/>
  <c r="L48" i="15"/>
  <c r="D5" i="73"/>
  <c r="M28" i="15"/>
  <c r="F35" i="78"/>
  <c r="F8" i="78"/>
  <c r="M6" i="67"/>
  <c r="F7" i="77"/>
  <c r="M22" i="77"/>
  <c r="F35" i="67"/>
  <c r="F13" i="67"/>
  <c r="F6" i="78"/>
  <c r="F7" i="78"/>
  <c r="B10" i="76"/>
  <c r="D2" i="36"/>
  <c r="F35" i="77"/>
  <c r="E10" i="76"/>
  <c r="D3" i="73"/>
  <c r="F16" i="77"/>
  <c r="M24" i="15"/>
  <c r="C14" i="77"/>
  <c r="M21" i="77"/>
  <c r="F42" i="15"/>
  <c r="F40" i="78"/>
  <c r="F40" i="77"/>
  <c r="F9" i="77"/>
  <c r="F42" i="78"/>
  <c r="M26" i="77"/>
  <c r="F26" i="15"/>
  <c r="F37" i="15"/>
  <c r="F6" i="73"/>
  <c r="M29" i="78"/>
  <c r="F43" i="77"/>
  <c r="F26" i="77"/>
  <c r="M27" i="77"/>
  <c r="AO9" i="1"/>
  <c r="F26" i="67"/>
  <c r="E12" i="76"/>
  <c r="B11" i="76"/>
  <c r="F26" i="78"/>
  <c r="F6" i="67"/>
  <c r="D7" i="73"/>
  <c r="G1" i="73"/>
  <c r="F36" i="15"/>
  <c r="M8" i="78"/>
  <c r="F35" i="15"/>
  <c r="AO13" i="1"/>
  <c r="M23" i="15"/>
  <c r="L48" i="78"/>
  <c r="E8" i="76"/>
  <c r="F43" i="78"/>
  <c r="AO11" i="1"/>
  <c r="M24" i="78"/>
  <c r="M23" i="67"/>
  <c r="E7" i="76"/>
  <c r="M8" i="77"/>
  <c r="F37" i="78"/>
  <c r="F8" i="77"/>
  <c r="L47" i="15"/>
  <c r="F13" i="15"/>
  <c r="F41" i="67"/>
  <c r="E13" i="76"/>
  <c r="F16" i="78"/>
  <c r="M9" i="15"/>
  <c r="C76" i="67"/>
  <c r="D6" i="73"/>
  <c r="F36" i="67"/>
  <c r="M29" i="77"/>
  <c r="E2" i="69"/>
  <c r="F37" i="77"/>
  <c r="F38" i="15"/>
  <c r="M21" i="78"/>
  <c r="M29" i="15"/>
  <c r="B9" i="76"/>
  <c r="J15" i="78"/>
  <c r="F36" i="77"/>
  <c r="C14" i="78"/>
  <c r="L48" i="77"/>
  <c r="F7" i="67"/>
  <c r="M27" i="78"/>
  <c r="F7" i="15"/>
  <c r="M28" i="67"/>
  <c r="F16" i="15"/>
  <c r="E2" i="68"/>
  <c r="F42" i="77"/>
  <c r="F9" i="78"/>
  <c r="F8" i="67"/>
  <c r="F37" i="67"/>
  <c r="E11" i="76"/>
  <c r="AO10" i="1"/>
  <c r="F4" i="73"/>
  <c r="L47" i="77"/>
  <c r="D2" i="35"/>
  <c r="M6" i="15"/>
  <c r="D2" i="34"/>
  <c r="M26" i="67"/>
  <c r="M9" i="78"/>
  <c r="B13" i="76"/>
  <c r="M26" i="15"/>
  <c r="J15" i="77"/>
  <c r="M22" i="67"/>
  <c r="M21" i="67"/>
  <c r="L47" i="78"/>
  <c r="M6" i="77"/>
  <c r="D2" i="33"/>
  <c r="D4" i="73"/>
  <c r="M24" i="77"/>
  <c r="F40" i="15"/>
  <c r="F36" i="78"/>
  <c r="F13" i="77"/>
  <c r="M24" i="67"/>
  <c r="F13" i="78"/>
  <c r="L47" i="67"/>
  <c r="F43" i="67"/>
  <c r="M23" i="78"/>
  <c r="M21" i="15"/>
  <c r="J15" i="67"/>
  <c r="M9" i="67"/>
  <c r="F6" i="15"/>
  <c r="F7" i="73"/>
  <c r="D2" i="37"/>
  <c r="C6" i="67" l="1"/>
  <c r="F63" i="15"/>
  <c r="C62" i="15" s="1"/>
  <c r="C34" i="15"/>
  <c r="F66" i="78"/>
  <c r="C15" i="77"/>
  <c r="C18" i="77"/>
  <c r="F71" i="15"/>
  <c r="L59" i="78"/>
  <c r="L58" i="78"/>
  <c r="N59" i="78"/>
  <c r="M59" i="78"/>
  <c r="C27" i="78"/>
  <c r="Q71" i="67"/>
  <c r="B2" i="37"/>
  <c r="B3" i="37" s="1"/>
  <c r="Q71" i="15"/>
  <c r="J20" i="67"/>
  <c r="C6" i="15"/>
  <c r="F64" i="15"/>
  <c r="C18" i="15"/>
  <c r="C15" i="15"/>
  <c r="M7" i="15"/>
  <c r="J6" i="15" s="1"/>
  <c r="F50" i="15"/>
  <c r="C27" i="67"/>
  <c r="B9" i="70"/>
  <c r="F69" i="67"/>
  <c r="F63" i="77"/>
  <c r="C62" i="77" s="1"/>
  <c r="C34" i="77"/>
  <c r="F66" i="77"/>
  <c r="M7" i="67"/>
  <c r="J6" i="67" s="1"/>
  <c r="F50" i="67"/>
  <c r="B2" i="36"/>
  <c r="B3" i="36" s="1"/>
  <c r="J20" i="15"/>
  <c r="F66" i="67"/>
  <c r="L56" i="77"/>
  <c r="I54" i="77"/>
  <c r="L60" i="77"/>
  <c r="J53" i="77"/>
  <c r="L57" i="77"/>
  <c r="J57" i="77"/>
  <c r="J55" i="77" s="1"/>
  <c r="J58" i="77" s="1"/>
  <c r="Q50" i="77" s="1"/>
  <c r="C27" i="77"/>
  <c r="L58" i="15"/>
  <c r="M59" i="15"/>
  <c r="N59" i="15"/>
  <c r="L59" i="15"/>
  <c r="C15" i="78"/>
  <c r="C18" i="78"/>
  <c r="F71" i="77"/>
  <c r="F51" i="77"/>
  <c r="C6" i="77"/>
  <c r="F50" i="78"/>
  <c r="M7" i="78"/>
  <c r="J6" i="78" s="1"/>
  <c r="F71" i="67"/>
  <c r="F64" i="77"/>
  <c r="F65" i="78"/>
  <c r="C6" i="78"/>
  <c r="N59" i="67"/>
  <c r="L58" i="67"/>
  <c r="M59" i="67"/>
  <c r="L59" i="67"/>
  <c r="F70" i="67"/>
  <c r="F65" i="15"/>
  <c r="B2" i="21"/>
  <c r="B3" i="21" s="1"/>
  <c r="F63" i="67"/>
  <c r="C62" i="67" s="1"/>
  <c r="C34" i="67"/>
  <c r="F51" i="15"/>
  <c r="L59" i="77"/>
  <c r="Q61" i="77" s="1"/>
  <c r="N59" i="77"/>
  <c r="L58" i="77"/>
  <c r="Q73" i="77" s="1"/>
  <c r="M59" i="77"/>
  <c r="C27" i="15"/>
  <c r="I1" i="73"/>
  <c r="B39" i="1" s="1"/>
  <c r="M11" i="77" s="1"/>
  <c r="L56" i="67"/>
  <c r="J57" i="67"/>
  <c r="J55" i="67" s="1"/>
  <c r="J58" i="67" s="1"/>
  <c r="Q50" i="67" s="1"/>
  <c r="I54" i="67"/>
  <c r="M7" i="77"/>
  <c r="J6" i="77" s="1"/>
  <c r="F50" i="77"/>
  <c r="C49" i="77" s="1"/>
  <c r="J20" i="78"/>
  <c r="B10" i="70"/>
  <c r="B11" i="70"/>
  <c r="B20" i="31"/>
  <c r="F64" i="78"/>
  <c r="F66" i="15"/>
  <c r="F71" i="78"/>
  <c r="B12" i="70"/>
  <c r="F51" i="78"/>
  <c r="C49" i="78" s="1"/>
  <c r="F68" i="15"/>
  <c r="F65" i="77"/>
  <c r="F65" i="67"/>
  <c r="F68" i="77"/>
  <c r="C34" i="78"/>
  <c r="F63" i="78"/>
  <c r="C62" i="78" s="1"/>
  <c r="F68" i="67"/>
  <c r="F51" i="67"/>
  <c r="C49" i="67" s="1"/>
  <c r="F68" i="78"/>
  <c r="J57" i="78"/>
  <c r="J55" i="78" s="1"/>
  <c r="J58" i="78" s="1"/>
  <c r="Q50" i="78" s="1"/>
  <c r="L57" i="78"/>
  <c r="L60" i="78"/>
  <c r="Q66" i="78" s="1"/>
  <c r="L56" i="78"/>
  <c r="I54" i="78"/>
  <c r="J53" i="78"/>
  <c r="Q52" i="78" s="1"/>
  <c r="E20" i="43"/>
  <c r="P17" i="43" s="1"/>
  <c r="Q71" i="78"/>
  <c r="Q71" i="77"/>
  <c r="F64" i="67"/>
  <c r="J20" i="77"/>
  <c r="B13" i="70"/>
  <c r="J57" i="15"/>
  <c r="J55" i="15" s="1"/>
  <c r="J58" i="15" s="1"/>
  <c r="Q50" i="15" s="1"/>
  <c r="L56" i="15"/>
  <c r="L57" i="15"/>
  <c r="J53" i="15"/>
  <c r="Q52" i="15" s="1"/>
  <c r="I54" i="15"/>
  <c r="L60" i="15"/>
  <c r="Q66" i="15" s="1"/>
  <c r="E11" i="49"/>
  <c r="B8" i="49"/>
  <c r="B4" i="49"/>
  <c r="E5" i="49"/>
  <c r="E10" i="49"/>
  <c r="E8" i="49"/>
  <c r="E16" i="49"/>
  <c r="B9" i="49"/>
  <c r="B5" i="49"/>
  <c r="E22" i="49"/>
  <c r="B14" i="49"/>
  <c r="B7" i="49"/>
  <c r="B22" i="49"/>
  <c r="C27" i="43"/>
  <c r="G34" i="43"/>
  <c r="I34" i="43" s="1"/>
  <c r="E34" i="43"/>
  <c r="F10" i="39"/>
  <c r="F10" i="40"/>
  <c r="J10" i="40"/>
  <c r="H10" i="39"/>
  <c r="G38" i="43"/>
  <c r="I38" i="43" s="1"/>
  <c r="E38" i="43"/>
  <c r="B2" i="43"/>
  <c r="AC10" i="39"/>
  <c r="W10" i="39"/>
  <c r="E35" i="43"/>
  <c r="G35" i="43"/>
  <c r="I35" i="43" s="1"/>
  <c r="E37" i="43"/>
  <c r="G37" i="43"/>
  <c r="I37" i="43" s="1"/>
  <c r="U10" i="40"/>
  <c r="AB10" i="40"/>
  <c r="B40" i="1"/>
  <c r="F24" i="78" s="1"/>
  <c r="C24" i="78" s="1"/>
  <c r="W36" i="33"/>
  <c r="AC36" i="33"/>
  <c r="V48" i="33" s="1"/>
  <c r="I48" i="33" s="1"/>
  <c r="I52" i="33" s="1"/>
  <c r="J52" i="33" s="1"/>
  <c r="F36" i="33"/>
  <c r="H36" i="33"/>
  <c r="H111" i="33"/>
  <c r="I111" i="33" s="1"/>
  <c r="J111" i="33" s="1"/>
  <c r="K111" i="33" s="1"/>
  <c r="L111" i="33" s="1"/>
  <c r="M111" i="33" s="1"/>
  <c r="C20" i="69"/>
  <c r="C28" i="69" s="1"/>
  <c r="C27" i="69" s="1"/>
  <c r="C8" i="68"/>
  <c r="C5" i="68" s="1"/>
  <c r="C20" i="68" s="1"/>
  <c r="C28" i="68" s="1"/>
  <c r="C27" i="68" s="1"/>
  <c r="D37" i="68"/>
  <c r="C37" i="68" s="1"/>
  <c r="R50" i="34"/>
  <c r="C49" i="34" s="1"/>
  <c r="E49" i="34"/>
  <c r="E54" i="34" s="1"/>
  <c r="F54" i="34" s="1"/>
  <c r="C16" i="12"/>
  <c r="C21" i="12" s="1"/>
  <c r="C22" i="12" s="1"/>
  <c r="C30" i="12" s="1"/>
  <c r="C28" i="12" s="1"/>
  <c r="C33" i="69"/>
  <c r="C39" i="69" s="1"/>
  <c r="C35" i="68"/>
  <c r="Q60" i="15"/>
  <c r="Q73" i="15"/>
  <c r="Q74" i="15"/>
  <c r="Q61" i="15"/>
  <c r="Q60" i="78"/>
  <c r="Q73" i="78"/>
  <c r="Q61" i="78"/>
  <c r="Q74" i="78"/>
  <c r="F11" i="78"/>
  <c r="M11" i="15"/>
  <c r="J10" i="15" s="1"/>
  <c r="J5" i="15" s="1"/>
  <c r="M11" i="78"/>
  <c r="J10" i="78" s="1"/>
  <c r="J5" i="78" s="1"/>
  <c r="F11" i="67"/>
  <c r="Q66" i="77"/>
  <c r="Q57" i="77"/>
  <c r="Q57" i="78"/>
  <c r="C49" i="15"/>
  <c r="Q73" i="67"/>
  <c r="Q60" i="67"/>
  <c r="Q74" i="77"/>
  <c r="N17" i="43"/>
  <c r="Q52" i="77"/>
  <c r="F1" i="77"/>
  <c r="Q61" i="67"/>
  <c r="Q74" i="67"/>
  <c r="C16" i="78"/>
  <c r="C17" i="77"/>
  <c r="C16" i="15"/>
  <c r="C17" i="67"/>
  <c r="E6" i="76"/>
  <c r="AE8" i="1"/>
  <c r="C17" i="15"/>
  <c r="C14" i="67"/>
  <c r="C16" i="67"/>
  <c r="C16" i="77"/>
  <c r="C17" i="78"/>
  <c r="B6" i="76"/>
  <c r="J10" i="77" l="1"/>
  <c r="J5" i="77" s="1"/>
  <c r="O17" i="43"/>
  <c r="F11" i="15"/>
  <c r="F11" i="77"/>
  <c r="C53" i="77" s="1"/>
  <c r="C48" i="77" s="1"/>
  <c r="M11" i="67"/>
  <c r="J10" i="67" s="1"/>
  <c r="J5" i="67" s="1"/>
  <c r="F1" i="78"/>
  <c r="Q57" i="15"/>
  <c r="F1" i="15"/>
  <c r="Q60" i="77"/>
  <c r="C18" i="67"/>
  <c r="C15" i="67"/>
  <c r="C19" i="78"/>
  <c r="C20" i="78" s="1"/>
  <c r="C26" i="78" s="1"/>
  <c r="C19" i="77"/>
  <c r="C19" i="15"/>
  <c r="C20" i="15" s="1"/>
  <c r="C26" i="15" s="1"/>
  <c r="M17" i="43"/>
  <c r="F22" i="69"/>
  <c r="C44" i="69" s="1"/>
  <c r="D41" i="69" s="1"/>
  <c r="F24" i="77"/>
  <c r="C24" i="77" s="1"/>
  <c r="E2" i="76"/>
  <c r="W10" i="40"/>
  <c r="AC10" i="40"/>
  <c r="S10" i="39"/>
  <c r="AA10" i="39"/>
  <c r="AB10" i="39"/>
  <c r="U10" i="39"/>
  <c r="AA10" i="40"/>
  <c r="S10" i="40"/>
  <c r="B2" i="76"/>
  <c r="F24" i="67"/>
  <c r="C24" i="67" s="1"/>
  <c r="F24" i="15"/>
  <c r="C24" i="15" s="1"/>
  <c r="B3" i="43"/>
  <c r="F22" i="68"/>
  <c r="C25" i="68" s="1"/>
  <c r="F25" i="12"/>
  <c r="C27" i="12" s="1"/>
  <c r="C25" i="12" s="1"/>
  <c r="F22" i="11"/>
  <c r="C44" i="11" s="1"/>
  <c r="D41" i="11" s="1"/>
  <c r="AA36" i="33"/>
  <c r="R48" i="33" s="1"/>
  <c r="S36" i="33"/>
  <c r="AB36" i="33"/>
  <c r="T48" i="33" s="1"/>
  <c r="G48" i="33" s="1"/>
  <c r="U36" i="33"/>
  <c r="C50" i="34"/>
  <c r="B2" i="34" s="1"/>
  <c r="C33" i="68"/>
  <c r="C39" i="68" s="1"/>
  <c r="C43" i="68" s="1"/>
  <c r="I54" i="34"/>
  <c r="J54" i="34" s="1"/>
  <c r="E53" i="34"/>
  <c r="F53" i="34" s="1"/>
  <c r="J18" i="67"/>
  <c r="J24" i="67"/>
  <c r="J26" i="67"/>
  <c r="J29" i="67" s="1"/>
  <c r="J24" i="77"/>
  <c r="J26" i="77"/>
  <c r="J18" i="77"/>
  <c r="J24" i="78"/>
  <c r="J18" i="78"/>
  <c r="J26" i="78"/>
  <c r="C53" i="15"/>
  <c r="C48" i="15" s="1"/>
  <c r="C10" i="15"/>
  <c r="C5" i="15" s="1"/>
  <c r="C10" i="77"/>
  <c r="C5" i="77" s="1"/>
  <c r="J18" i="15"/>
  <c r="J24" i="15"/>
  <c r="J26" i="15"/>
  <c r="C20" i="77"/>
  <c r="C23" i="77" s="1"/>
  <c r="C53" i="67"/>
  <c r="C10" i="67"/>
  <c r="C5" i="67" s="1"/>
  <c r="C53" i="78"/>
  <c r="C48" i="78" s="1"/>
  <c r="C10" i="78"/>
  <c r="C5" i="78" s="1"/>
  <c r="C48" i="67"/>
  <c r="C25" i="69"/>
  <c r="C46" i="69"/>
  <c r="C45" i="69" s="1"/>
  <c r="AE7" i="1"/>
  <c r="AE6" i="1"/>
  <c r="F41" i="77"/>
  <c r="F41" i="15"/>
  <c r="F41" i="78"/>
  <c r="C43" i="69" l="1"/>
  <c r="C26" i="69"/>
  <c r="D22" i="69" s="1"/>
  <c r="C19" i="67"/>
  <c r="C20" i="67" s="1"/>
  <c r="C23" i="67" s="1"/>
  <c r="C26" i="12"/>
  <c r="D25" i="12" s="1"/>
  <c r="C32" i="12" s="1"/>
  <c r="B2" i="12" s="1"/>
  <c r="B3" i="12" s="1"/>
  <c r="C42" i="69"/>
  <c r="C41" i="69" s="1"/>
  <c r="C49" i="69" s="1"/>
  <c r="C51" i="69" s="1"/>
  <c r="C23" i="69"/>
  <c r="C24" i="69"/>
  <c r="C23" i="11"/>
  <c r="B3" i="76"/>
  <c r="C43" i="11"/>
  <c r="C23" i="68"/>
  <c r="C24" i="11"/>
  <c r="C25" i="11"/>
  <c r="C26" i="68"/>
  <c r="D22" i="68" s="1"/>
  <c r="C42" i="11"/>
  <c r="C26" i="11"/>
  <c r="D22" i="11" s="1"/>
  <c r="C24" i="68"/>
  <c r="C44" i="68"/>
  <c r="D41" i="68" s="1"/>
  <c r="B3" i="34"/>
  <c r="G52" i="33"/>
  <c r="H52" i="33" s="1"/>
  <c r="G53" i="33"/>
  <c r="H53" i="33" s="1"/>
  <c r="E48" i="33"/>
  <c r="R49" i="33"/>
  <c r="C42" i="68"/>
  <c r="C41" i="68" s="1"/>
  <c r="C46" i="68"/>
  <c r="C45" i="68" s="1"/>
  <c r="C102" i="9"/>
  <c r="C21" i="9"/>
  <c r="F69" i="15"/>
  <c r="F69" i="77"/>
  <c r="F69" i="78"/>
  <c r="J29" i="15"/>
  <c r="J29" i="78"/>
  <c r="J29" i="77"/>
  <c r="C23" i="15"/>
  <c r="C29" i="15" s="1"/>
  <c r="C60" i="78"/>
  <c r="C66" i="78"/>
  <c r="C60" i="15"/>
  <c r="C66" i="15"/>
  <c r="C66" i="67"/>
  <c r="C60" i="67"/>
  <c r="C60" i="77"/>
  <c r="C66" i="77"/>
  <c r="C26" i="77"/>
  <c r="C29" i="77" s="1"/>
  <c r="C23" i="78"/>
  <c r="C29" i="78" s="1"/>
  <c r="C38" i="78"/>
  <c r="C32" i="78"/>
  <c r="C33" i="78"/>
  <c r="C32" i="67"/>
  <c r="C38" i="67"/>
  <c r="C38" i="77"/>
  <c r="C32" i="77"/>
  <c r="C33" i="77"/>
  <c r="C38" i="15"/>
  <c r="C32" i="15"/>
  <c r="C33" i="15"/>
  <c r="C20" i="9"/>
  <c r="C41" i="11" l="1"/>
  <c r="C49" i="11" s="1"/>
  <c r="C51" i="11" s="1"/>
  <c r="C22" i="69"/>
  <c r="C31" i="69" s="1"/>
  <c r="C22" i="11"/>
  <c r="C31" i="11" s="1"/>
  <c r="C52" i="11" s="1"/>
  <c r="B2" i="11" s="1"/>
  <c r="B3" i="11" s="1"/>
  <c r="C22" i="68"/>
  <c r="C31" i="68" s="1"/>
  <c r="C103" i="9"/>
  <c r="C48" i="33"/>
  <c r="C49" i="33"/>
  <c r="E52" i="33"/>
  <c r="F52" i="33" s="1"/>
  <c r="E53" i="33"/>
  <c r="F53" i="33" s="1"/>
  <c r="I53" i="33"/>
  <c r="J53" i="33" s="1"/>
  <c r="C49" i="68"/>
  <c r="C51" i="68" s="1"/>
  <c r="C26" i="67"/>
  <c r="C29" i="67" s="1"/>
  <c r="Q49" i="67" s="1"/>
  <c r="C31" i="77"/>
  <c r="C52" i="69"/>
  <c r="B2" i="69" s="1"/>
  <c r="B3" i="69" s="1"/>
  <c r="C31" i="15"/>
  <c r="J19" i="77"/>
  <c r="J17" i="77" s="1"/>
  <c r="C13" i="77"/>
  <c r="C36" i="77"/>
  <c r="C57" i="77"/>
  <c r="Q49" i="77"/>
  <c r="J14" i="77"/>
  <c r="J59" i="77"/>
  <c r="J60" i="77" s="1"/>
  <c r="C31" i="78"/>
  <c r="C57" i="78"/>
  <c r="J14" i="78"/>
  <c r="C13" i="78"/>
  <c r="J19" i="78"/>
  <c r="J17" i="78" s="1"/>
  <c r="C36" i="78"/>
  <c r="Q49" i="78"/>
  <c r="J59" i="78"/>
  <c r="J60" i="78" s="1"/>
  <c r="J19" i="15"/>
  <c r="J17" i="15" s="1"/>
  <c r="Q49" i="15"/>
  <c r="J14" i="15"/>
  <c r="C36" i="15"/>
  <c r="C57" i="15"/>
  <c r="C13" i="15"/>
  <c r="J59" i="15"/>
  <c r="J60" i="15" s="1"/>
  <c r="C52" i="68" l="1"/>
  <c r="B2" i="68" s="1"/>
  <c r="B3" i="68" s="1"/>
  <c r="B2" i="33"/>
  <c r="B3" i="33"/>
  <c r="C57" i="67"/>
  <c r="C33" i="67"/>
  <c r="C31" i="67" s="1"/>
  <c r="C13" i="67"/>
  <c r="J14" i="67"/>
  <c r="C36" i="67"/>
  <c r="J59" i="67"/>
  <c r="J60" i="67" s="1"/>
  <c r="J19" i="67"/>
  <c r="J17" i="67" s="1"/>
  <c r="C56" i="11"/>
  <c r="C57" i="11" s="1"/>
  <c r="C57" i="69"/>
  <c r="C56" i="69" s="1"/>
  <c r="C37" i="15"/>
  <c r="C30" i="15" s="1"/>
  <c r="C39" i="15" s="1"/>
  <c r="Q70" i="15"/>
  <c r="C56" i="15"/>
  <c r="C65" i="15" s="1"/>
  <c r="C75" i="15"/>
  <c r="Q48" i="78"/>
  <c r="L46" i="78"/>
  <c r="C75" i="78"/>
  <c r="Q70" i="78"/>
  <c r="C56" i="78"/>
  <c r="C65" i="78" s="1"/>
  <c r="C37" i="78"/>
  <c r="C30" i="78" s="1"/>
  <c r="C39" i="78" s="1"/>
  <c r="Q48" i="15"/>
  <c r="L46" i="15"/>
  <c r="C61" i="15"/>
  <c r="C59" i="15" s="1"/>
  <c r="C64" i="15"/>
  <c r="J13" i="15"/>
  <c r="J23" i="15" s="1"/>
  <c r="J22" i="15"/>
  <c r="J13" i="78"/>
  <c r="J23" i="78" s="1"/>
  <c r="J22" i="78"/>
  <c r="J13" i="77"/>
  <c r="J23" i="77" s="1"/>
  <c r="J22" i="77"/>
  <c r="C61" i="77"/>
  <c r="C59" i="77" s="1"/>
  <c r="C64" i="77"/>
  <c r="C37" i="77"/>
  <c r="C30" i="77" s="1"/>
  <c r="C39" i="77" s="1"/>
  <c r="C56" i="77"/>
  <c r="C65" i="77" s="1"/>
  <c r="Q70" i="77"/>
  <c r="C75" i="77"/>
  <c r="C64" i="78"/>
  <c r="C61" i="78"/>
  <c r="C59" i="78" s="1"/>
  <c r="Q48" i="77"/>
  <c r="L46" i="77"/>
  <c r="C57" i="68" l="1"/>
  <c r="C56" i="68" s="1"/>
  <c r="G25" i="9"/>
  <c r="C64" i="67"/>
  <c r="C61" i="67"/>
  <c r="C59" i="67" s="1"/>
  <c r="Q70" i="67"/>
  <c r="C56" i="67"/>
  <c r="C65" i="67" s="1"/>
  <c r="C75" i="67"/>
  <c r="C37" i="67"/>
  <c r="C30" i="67" s="1"/>
  <c r="C39" i="67" s="1"/>
  <c r="C40" i="67" s="1"/>
  <c r="C58" i="78"/>
  <c r="C67" i="78" s="1"/>
  <c r="C68" i="78" s="1"/>
  <c r="C71" i="78" s="1"/>
  <c r="J13" i="67"/>
  <c r="J23" i="67" s="1"/>
  <c r="J22" i="67"/>
  <c r="L46" i="67"/>
  <c r="Q48" i="67"/>
  <c r="J16" i="78"/>
  <c r="J25" i="78" s="1"/>
  <c r="J16" i="77"/>
  <c r="J25" i="77" s="1"/>
  <c r="J16" i="15"/>
  <c r="J25" i="15" s="1"/>
  <c r="Q69" i="77"/>
  <c r="Q68" i="77" s="1"/>
  <c r="C40" i="77"/>
  <c r="C80" i="77"/>
  <c r="C79" i="77" s="1"/>
  <c r="Q69" i="78"/>
  <c r="Q68" i="78" s="1"/>
  <c r="C40" i="78"/>
  <c r="C80" i="78"/>
  <c r="C79" i="78" s="1"/>
  <c r="C58" i="77"/>
  <c r="C67" i="77" s="1"/>
  <c r="C68" i="77" s="1"/>
  <c r="C58" i="15"/>
  <c r="C67" i="15" s="1"/>
  <c r="C68" i="15" s="1"/>
  <c r="C80" i="15"/>
  <c r="C79" i="15" s="1"/>
  <c r="Q69" i="15"/>
  <c r="Q68" i="15" s="1"/>
  <c r="C40" i="15"/>
  <c r="L51" i="78"/>
  <c r="L51" i="15"/>
  <c r="L51" i="77"/>
  <c r="L51" i="67"/>
  <c r="Q69" i="67" l="1"/>
  <c r="Q68" i="67" s="1"/>
  <c r="C80" i="67"/>
  <c r="C79" i="67" s="1"/>
  <c r="J16" i="67"/>
  <c r="J25" i="67" s="1"/>
  <c r="C58" i="67"/>
  <c r="C67" i="67" s="1"/>
  <c r="C68" i="67" s="1"/>
  <c r="C71" i="67" s="1"/>
  <c r="Q56" i="67"/>
  <c r="L57" i="67"/>
  <c r="L60" i="67" s="1"/>
  <c r="Q57" i="67" s="1"/>
  <c r="Q67" i="67"/>
  <c r="D2" i="67"/>
  <c r="B2" i="67" s="1"/>
  <c r="C43" i="67"/>
  <c r="C83" i="67"/>
  <c r="C82" i="67" s="1"/>
  <c r="Q47" i="67"/>
  <c r="Q53" i="67" s="1"/>
  <c r="Q65" i="67"/>
  <c r="Q67" i="78"/>
  <c r="Q67" i="77"/>
  <c r="Q67" i="15"/>
  <c r="C43" i="15"/>
  <c r="Q65" i="15"/>
  <c r="Q75" i="15" s="1"/>
  <c r="Q47" i="15"/>
  <c r="Q53" i="15" s="1"/>
  <c r="Q56" i="15"/>
  <c r="Q62" i="15" s="1"/>
  <c r="B2" i="15"/>
  <c r="C83" i="15"/>
  <c r="C82" i="15" s="1"/>
  <c r="C71" i="77"/>
  <c r="C46" i="77"/>
  <c r="B3" i="67"/>
  <c r="C46" i="15"/>
  <c r="C71" i="15"/>
  <c r="Q65" i="78"/>
  <c r="Q75" i="78" s="1"/>
  <c r="Q47" i="78"/>
  <c r="Q53" i="78" s="1"/>
  <c r="B2" i="78"/>
  <c r="Q56" i="78"/>
  <c r="Q62" i="78" s="1"/>
  <c r="C43" i="78"/>
  <c r="C83" i="78"/>
  <c r="C82" i="78" s="1"/>
  <c r="C46" i="78"/>
  <c r="B2" i="77"/>
  <c r="Q56" i="77"/>
  <c r="Q62" i="77" s="1"/>
  <c r="C43" i="77"/>
  <c r="Q65" i="77"/>
  <c r="Q75" i="77" s="1"/>
  <c r="Q47" i="77"/>
  <c r="Q53" i="77" s="1"/>
  <c r="C83" i="77"/>
  <c r="C82" i="77" s="1"/>
  <c r="Q66" i="67"/>
  <c r="AO7" i="1"/>
  <c r="AO6" i="1"/>
  <c r="AO8" i="1"/>
  <c r="C45" i="67" l="1"/>
  <c r="C46" i="67" s="1"/>
  <c r="Q62" i="67"/>
  <c r="Q75" i="67"/>
  <c r="B8" i="70"/>
  <c r="B7" i="70"/>
  <c r="B6" i="70"/>
  <c r="B3" i="77"/>
  <c r="B3" i="78"/>
  <c r="B3" i="15"/>
  <c r="B2" i="70" l="1"/>
  <c r="D19" i="9"/>
  <c r="D102" i="9" l="1"/>
  <c r="D22" i="9"/>
  <c r="H25" i="9"/>
  <c r="H27" i="9" s="1"/>
  <c r="D21" i="9"/>
  <c r="G19" i="9"/>
  <c r="B3" i="70"/>
  <c r="F15" i="74"/>
  <c r="E15" i="74"/>
  <c r="E16" i="74"/>
  <c r="F16" i="74"/>
  <c r="D34" i="9"/>
  <c r="D35" i="9"/>
  <c r="D20" i="9"/>
  <c r="D103" i="9" l="1"/>
  <c r="G20" i="9"/>
  <c r="C32" i="9"/>
  <c r="G21" i="9"/>
  <c r="H29" i="9"/>
  <c r="H28" i="9"/>
  <c r="H118" i="9" l="1"/>
  <c r="C35" i="9"/>
  <c r="F118" i="9" s="1"/>
  <c r="F4" i="52" l="1"/>
  <c r="B51" i="72" s="1"/>
  <c r="G118" i="9"/>
  <c r="G4" i="52" s="1"/>
  <c r="B52" i="72" s="1"/>
  <c r="F119" i="9"/>
  <c r="F5" i="52" s="1"/>
  <c r="B53" i="72" s="1"/>
  <c r="C34" i="9"/>
  <c r="D118" i="9" s="1"/>
  <c r="C104" i="9"/>
  <c r="I118" i="9"/>
  <c r="H4" i="52"/>
  <c r="H101" i="9"/>
  <c r="H119" i="9"/>
  <c r="H5" i="52" s="1"/>
  <c r="D14" i="74"/>
  <c r="E14" i="74" l="1"/>
  <c r="B5" i="74"/>
  <c r="F14" i="74"/>
  <c r="H107" i="9"/>
  <c r="M48" i="9"/>
  <c r="D5" i="53"/>
  <c r="D45" i="9"/>
  <c r="C105" i="9"/>
  <c r="H102" i="9"/>
  <c r="D7" i="53" s="1"/>
  <c r="B21" i="72" s="1"/>
  <c r="I4" i="52"/>
  <c r="E118" i="9"/>
  <c r="E4" i="52" s="1"/>
  <c r="B48" i="72" s="1"/>
  <c r="D4" i="52"/>
  <c r="B47" i="72" s="1"/>
  <c r="D119" i="9"/>
  <c r="D5" i="52" s="1"/>
  <c r="B49" i="72" s="1"/>
  <c r="B20" i="72" l="1"/>
  <c r="D6" i="53"/>
  <c r="B22" i="72" s="1"/>
  <c r="H108" i="9"/>
  <c r="D15" i="53" s="1"/>
  <c r="B31" i="72" s="1"/>
  <c r="D122" i="9"/>
  <c r="M49" i="9"/>
  <c r="D13" i="53"/>
  <c r="C5" i="74"/>
  <c r="D5" i="74"/>
  <c r="D53" i="9"/>
  <c r="D52" i="9"/>
  <c r="C78" i="9"/>
  <c r="C73" i="9" s="1"/>
  <c r="D55" i="9"/>
  <c r="M53" i="9" s="1"/>
  <c r="C93" i="9"/>
  <c r="C86" i="9" s="1"/>
  <c r="C72" i="9"/>
  <c r="C85" i="9"/>
  <c r="C95" i="9" s="1"/>
  <c r="C96" i="9" s="1"/>
  <c r="E96" i="9" s="1"/>
  <c r="E97" i="9" s="1"/>
  <c r="C64" i="9"/>
  <c r="C63" i="9" s="1"/>
  <c r="C67" i="9" s="1"/>
  <c r="C68" i="9" s="1"/>
  <c r="D54" i="9" s="1"/>
  <c r="C97" i="9" l="1"/>
  <c r="D58" i="9" s="1"/>
  <c r="D56" i="9" s="1"/>
  <c r="M54" i="9" s="1"/>
  <c r="N57" i="9" s="1"/>
  <c r="N58" i="9" s="1"/>
  <c r="C79" i="9"/>
  <c r="C80" i="9" s="1"/>
  <c r="E80" i="9" s="1"/>
  <c r="E81" i="9" s="1"/>
  <c r="B30" i="72"/>
  <c r="D14" i="53"/>
  <c r="B32" i="72" s="1"/>
  <c r="D123" i="9"/>
  <c r="D9" i="52" s="1"/>
  <c r="G14" i="74"/>
  <c r="B6" i="74" s="1"/>
  <c r="D8" i="52"/>
  <c r="L66" i="9"/>
  <c r="M66" i="9" s="1"/>
  <c r="L65" i="9"/>
  <c r="M65" i="9" s="1"/>
  <c r="L67" i="9"/>
  <c r="M67" i="9" s="1"/>
  <c r="L68" i="9"/>
  <c r="M68" i="9" s="1"/>
  <c r="L64" i="9"/>
  <c r="M64" i="9" s="1"/>
  <c r="L63" i="9"/>
  <c r="M63" i="9" s="1"/>
  <c r="P57" i="9"/>
  <c r="C81" i="9"/>
  <c r="N59" i="9" l="1"/>
  <c r="N61" i="9" s="1"/>
  <c r="D6" i="74"/>
  <c r="C6" i="74"/>
  <c r="M69" i="9"/>
  <c r="N69"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<sst xmlns="http://schemas.openxmlformats.org/spreadsheetml/2006/main" count="9228" uniqueCount="3686">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</sst>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
      <patternFill patternType="solid">
        <fgColor theme="4" tint="0.59999389629810485"/>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83">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11"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83" fontId="50" fillId="6" borderId="5"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136" fillId="6" borderId="23" xfId="0" applyFont="1" applyFill="1" applyBorder="1" applyProtection="1">
      <alignment vertical="center"/>
    </xf>
    <xf numFmtId="0" fontId="52" fillId="6" borderId="23" xfId="0" applyFont="1" applyFill="1" applyBorder="1" applyAlignment="1" applyProtection="1">
      <alignment horizontal="lef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xf>
    <xf numFmtId="0"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28" fillId="0" borderId="11"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22" fillId="0" borderId="1" xfId="0" applyFont="1" applyBorder="1" applyAlignment="1"/>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48" fillId="0" borderId="0" xfId="9" applyFont="1" applyAlignment="1">
      <alignment horizontal="center" vertical="center"/>
    </xf>
    <xf numFmtId="0" fontId="111" fillId="0" borderId="0" xfId="9" applyFont="1" applyAlignment="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Fill="1" applyAlignment="1">
      <alignment horizontal="left" vertical="center"/>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xf numFmtId="0" fontId="102" fillId="0" borderId="0" xfId="0" applyFont="1" applyAlignment="1">
      <alignment horizontal="left" vertical="center"/>
    </xf>
    <xf numFmtId="0" fontId="0" fillId="0" borderId="0" xfId="0" applyAlignment="1">
      <alignment horizontal="left" vertical="center"/>
    </xf>
    <xf numFmtId="0" fontId="102" fillId="0" borderId="0" xfId="0" applyFont="1" applyAlignment="1">
      <alignment horizontal="left" vertical="center" wrapText="1"/>
    </xf>
    <xf numFmtId="14" fontId="0" fillId="0" borderId="0" xfId="0" applyNumberFormat="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83" fillId="5" borderId="0" xfId="0" applyFont="1" applyFill="1" applyProtection="1">
      <alignment vertical="center"/>
      <protection locked="0"/>
    </xf>
    <xf numFmtId="0" fontId="107" fillId="19" borderId="13" xfId="0" applyFont="1" applyFill="1" applyBorder="1" applyAlignment="1" applyProtection="1">
      <alignment horizontal="center" vertical="center"/>
      <protection locked="0"/>
    </xf>
    <xf numFmtId="0" fontId="107" fillId="19" borderId="9" xfId="0" applyFont="1" applyFill="1" applyBorder="1" applyAlignment="1" applyProtection="1">
      <alignment horizontal="center" vertical="center"/>
    </xf>
    <xf numFmtId="0" fontId="107" fillId="19" borderId="1" xfId="0" applyFont="1" applyFill="1" applyBorder="1" applyAlignment="1" applyProtection="1">
      <alignment horizontal="center" vertical="center"/>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1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79" customWidth="1"/>
    <col min="2" max="2" width="81" style="1596" customWidth="1"/>
    <col min="3" max="16384" width="8.875" style="1594"/>
  </cols>
  <sheetData>
    <row r="1" spans="1:2" s="1582" customFormat="1" ht="16.5" thickBot="1">
      <c r="A1" s="1581" t="s">
        <v>1219</v>
      </c>
      <c r="B1" s="1580" t="s">
        <v>1298</v>
      </c>
    </row>
    <row r="2" spans="1:2" s="1585" customFormat="1" ht="15" thickTop="1">
      <c r="A2" s="1583" t="s">
        <v>1220</v>
      </c>
      <c r="B2" s="1584" t="str">
        <f>'预评函-封皮'!B37:I37</f>
        <v>北京市海淀区西四环北路160号房地产抵押价值预评估</v>
      </c>
    </row>
    <row r="3" spans="1:2" s="1588" customFormat="1">
      <c r="A3" s="1586" t="s">
        <v>1221</v>
      </c>
      <c r="B3" s="1587" t="str">
        <f>'预评函-封皮'!B40</f>
        <v>昆仑信托有限责任公司</v>
      </c>
    </row>
    <row r="4" spans="1:2" s="1588" customFormat="1">
      <c r="A4" s="1586" t="s">
        <v>1222</v>
      </c>
      <c r="B4" s="1587" t="str">
        <f>'预评函-封皮'!B46</f>
        <v>（注册号：0)、（注册号：0)</v>
      </c>
    </row>
    <row r="5" spans="1:2" s="1582" customFormat="1" ht="15" thickBot="1">
      <c r="A5" s="1589" t="s">
        <v>1223</v>
      </c>
      <c r="B5" s="1590" t="str">
        <f>'预评函-封皮'!B49</f>
        <v>康正预评字2018-1-0214-P01DYGJ3号</v>
      </c>
    </row>
    <row r="6" spans="1:2" s="1585" customFormat="1" ht="15" thickTop="1">
      <c r="A6" s="1583" t="s">
        <v>1224</v>
      </c>
      <c r="B6" s="1584" t="str">
        <f>'预评函-1'!A4</f>
        <v>受贵公司委托，我公司对北京市海淀区西四环北路160号房地产抵押价值进行了预评估。</v>
      </c>
    </row>
    <row r="7" spans="1:2" s="1588" customFormat="1">
      <c r="A7" s="1586" t="s">
        <v>1264</v>
      </c>
      <c r="B7" s="1587"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8" customFormat="1">
      <c r="A12" s="1586" t="s">
        <v>1226</v>
      </c>
      <c r="B12" s="1587" t="str">
        <f>'预评函-1'!A15</f>
        <v>2018年3月26日（评估专业人员实地查勘之日）</v>
      </c>
    </row>
    <row r="13" spans="1:2" s="1588" customFormat="1">
      <c r="A13" s="1586" t="s">
        <v>1227</v>
      </c>
      <c r="B13" s="1587"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本次评估采用的主估价方法为比较法和收益法。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43077</v>
      </c>
    </row>
    <row r="21" spans="1:2" s="1588" customFormat="1">
      <c r="A21" s="1586" t="s">
        <v>1235</v>
      </c>
      <c r="B21" s="1587">
        <f ca="1">'预评函-2'!D7</f>
        <v>37045</v>
      </c>
    </row>
    <row r="22" spans="1:2" s="1588" customFormat="1">
      <c r="A22" s="1586" t="s">
        <v>1236</v>
      </c>
      <c r="B22" s="1587" t="str">
        <f ca="1">'预评函-2'!D6</f>
        <v>肆亿叁仟零柒拾柒万元整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43077</v>
      </c>
    </row>
    <row r="31" spans="1:2" s="1588" customFormat="1">
      <c r="A31" s="1586" t="s">
        <v>1274</v>
      </c>
      <c r="B31" s="1587">
        <f ca="1">'预评函-2'!D15</f>
        <v>37045</v>
      </c>
    </row>
    <row r="32" spans="1:2" s="1588" customFormat="1">
      <c r="A32" s="1586" t="s">
        <v>1241</v>
      </c>
      <c r="B32" s="1587" t="str">
        <f ca="1">'预评函-2'!D14</f>
        <v>肆亿叁仟零柒拾柒万元整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北京市海淀区西四环北路160号房地产</v>
      </c>
    </row>
    <row r="42" spans="1:2" s="1588" customFormat="1">
      <c r="A42" s="1586" t="s">
        <v>1288</v>
      </c>
      <c r="B42" s="1587" t="str">
        <f>'预评函-3'!B2</f>
        <v>建筑面积</v>
      </c>
    </row>
    <row r="43" spans="1:2" s="1588" customFormat="1">
      <c r="A43" s="1586" t="s">
        <v>1289</v>
      </c>
      <c r="B43" s="1587">
        <f>'预评函-3'!B4</f>
        <v>11628.210000000001</v>
      </c>
    </row>
    <row r="44" spans="1:2" s="1588" customFormat="1">
      <c r="A44" s="1586" t="s">
        <v>1273</v>
      </c>
      <c r="B44" s="1587" t="str">
        <f>'预评函-3'!C2</f>
        <v>(分摊)土地面积</v>
      </c>
    </row>
    <row r="45" spans="1:2" s="1588" customFormat="1">
      <c r="A45" s="1586" t="s">
        <v>1245</v>
      </c>
      <c r="B45" s="1587">
        <f>'预评函-3'!C4</f>
        <v>0</v>
      </c>
    </row>
    <row r="46" spans="1:2" s="1588" customFormat="1">
      <c r="A46" s="1586" t="s">
        <v>1271</v>
      </c>
      <c r="B46" s="1587" t="str">
        <f>'预评函-3'!D2</f>
        <v>出让国有建设用地使用权价值</v>
      </c>
    </row>
    <row r="47" spans="1:2" s="1588" customFormat="1">
      <c r="A47" s="1586" t="s">
        <v>1246</v>
      </c>
      <c r="B47" s="1587">
        <f ca="1">'预评函-3'!D4</f>
        <v>43077</v>
      </c>
    </row>
    <row r="48" spans="1:2" s="1588" customFormat="1">
      <c r="A48" s="1586" t="s">
        <v>1247</v>
      </c>
      <c r="B48" s="1587">
        <f ca="1">'预评函-3'!E4</f>
        <v>37045</v>
      </c>
    </row>
    <row r="49" spans="1:2" s="1588" customFormat="1">
      <c r="A49" s="1586" t="s">
        <v>1248</v>
      </c>
      <c r="B49" s="1587" t="str">
        <f ca="1">'预评函-3'!D5</f>
        <v>肆亿叁仟零柒拾柒万元整</v>
      </c>
    </row>
    <row r="50" spans="1:2" s="1588" customFormat="1">
      <c r="A50" s="1586" t="s">
        <v>1272</v>
      </c>
      <c r="B50" s="1587" t="str">
        <f>'预评函-3'!F2</f>
        <v>建筑物价值</v>
      </c>
    </row>
    <row r="51" spans="1:2" s="1588" customFormat="1">
      <c r="A51" s="1586" t="s">
        <v>1249</v>
      </c>
      <c r="B51" s="1587">
        <f ca="1">'预评函-3'!F4</f>
        <v>0</v>
      </c>
    </row>
    <row r="52" spans="1:2" s="1588" customFormat="1">
      <c r="A52" s="1586" t="s">
        <v>1250</v>
      </c>
      <c r="B52" s="1587">
        <f ca="1">'预评函-3'!G4</f>
        <v>0</v>
      </c>
    </row>
    <row r="53" spans="1:2" s="1588" customFormat="1">
      <c r="A53" s="1586" t="s">
        <v>1278</v>
      </c>
      <c r="B53" s="1587" t="str">
        <f ca="1">'预评函-3'!F5</f>
        <v>零元整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（1）根据估价对象《不动产权证书》复印件、，截至价值时点，估价对象抵押权未见登记。</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f>'预评函-4'!A4</f>
        <v>0</v>
      </c>
    </row>
    <row r="71" spans="1:2">
      <c r="A71" s="1586" t="s">
        <v>1261</v>
      </c>
      <c r="B71" s="1587">
        <f>'预评函-4'!B4</f>
        <v>0</v>
      </c>
    </row>
    <row r="72" spans="1:2">
      <c r="A72" s="1586" t="s">
        <v>1262</v>
      </c>
      <c r="B72" s="1595">
        <f>'预评函-4'!A5</f>
        <v>0</v>
      </c>
    </row>
    <row r="73" spans="1:2" s="1582" customFormat="1" ht="15" thickBot="1">
      <c r="A73" s="1589" t="s">
        <v>1263</v>
      </c>
      <c r="B73" s="1590">
        <f>'预评函-4'!B5</f>
        <v>0</v>
      </c>
    </row>
    <row r="74" spans="1:2" ht="15" thickTop="1">
      <c r="A74" s="1579" t="s">
        <v>1299</v>
      </c>
      <c r="B74" s="1596"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19" customWidth="1"/>
    <col min="2" max="2" width="23.125" style="1970" customWidth="1"/>
    <col min="3" max="3" width="13" style="2014" hidden="1" customWidth="1"/>
    <col min="4" max="4" width="5.62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8.875" style="1970"/>
  </cols>
  <sheetData>
    <row r="1" spans="1:23" s="2008" customFormat="1" ht="27">
      <c r="A1" s="2002" t="s">
        <v>71</v>
      </c>
      <c r="B1" s="2003" t="s">
        <v>1691</v>
      </c>
      <c r="C1" s="2004" t="s">
        <v>759</v>
      </c>
      <c r="D1" s="2005" t="s">
        <v>1692</v>
      </c>
      <c r="E1" s="2005" t="s">
        <v>1693</v>
      </c>
      <c r="F1" s="2005" t="s">
        <v>1694</v>
      </c>
      <c r="G1" s="2005" t="s">
        <v>1695</v>
      </c>
      <c r="H1" s="2005" t="s">
        <v>1696</v>
      </c>
      <c r="I1" s="2005" t="s">
        <v>1697</v>
      </c>
      <c r="J1" s="2005" t="s">
        <v>1698</v>
      </c>
      <c r="K1" s="2005" t="s">
        <v>1699</v>
      </c>
      <c r="L1" s="2005" t="s">
        <v>1700</v>
      </c>
      <c r="M1" s="2005" t="s">
        <v>1701</v>
      </c>
      <c r="N1" s="2005" t="s">
        <v>1702</v>
      </c>
      <c r="O1" s="2005" t="s">
        <v>1703</v>
      </c>
      <c r="P1" s="2006" t="s">
        <v>753</v>
      </c>
      <c r="Q1" s="2006" t="s">
        <v>1144</v>
      </c>
      <c r="R1" s="2005" t="s">
        <v>1138</v>
      </c>
      <c r="S1" s="2005" t="s">
        <v>1704</v>
      </c>
      <c r="T1" s="2007" t="s">
        <v>1705</v>
      </c>
      <c r="U1" s="2005" t="s">
        <v>1706</v>
      </c>
      <c r="V1" s="2005" t="s">
        <v>1707</v>
      </c>
      <c r="W1" s="2005" t="s">
        <v>755</v>
      </c>
    </row>
    <row r="2" spans="1:23">
      <c r="A2" s="2009" t="s">
        <v>22</v>
      </c>
      <c r="B2" s="2009" t="s">
        <v>1708</v>
      </c>
      <c r="C2" s="2010" t="s">
        <v>760</v>
      </c>
      <c r="D2" s="2011" t="s">
        <v>1709</v>
      </c>
      <c r="E2" s="2011" t="s">
        <v>1710</v>
      </c>
      <c r="F2" s="2011" t="s">
        <v>1711</v>
      </c>
      <c r="G2" s="2011">
        <v>40</v>
      </c>
      <c r="H2" s="2011" t="s">
        <v>1711</v>
      </c>
      <c r="I2" s="2011" t="s">
        <v>1712</v>
      </c>
      <c r="J2" s="2011" t="s">
        <v>1713</v>
      </c>
      <c r="K2" s="2011" t="s">
        <v>1714</v>
      </c>
      <c r="L2" s="2011" t="s">
        <v>1714</v>
      </c>
      <c r="M2" s="2011" t="s">
        <v>1714</v>
      </c>
      <c r="N2" s="2011" t="s">
        <v>1714</v>
      </c>
      <c r="O2" s="2011" t="s">
        <v>1714</v>
      </c>
      <c r="P2" s="2011" t="s">
        <v>1714</v>
      </c>
      <c r="Q2" s="2011" t="s">
        <v>1714</v>
      </c>
      <c r="R2" s="2011" t="s">
        <v>1140</v>
      </c>
      <c r="S2" s="2011" t="s">
        <v>1714</v>
      </c>
      <c r="T2" s="2011" t="s">
        <v>1715</v>
      </c>
      <c r="U2" s="2011" t="s">
        <v>1714</v>
      </c>
      <c r="V2" s="2011" t="s">
        <v>1716</v>
      </c>
      <c r="W2" s="2011" t="s">
        <v>1714</v>
      </c>
    </row>
    <row r="3" spans="1:23">
      <c r="A3" s="2009" t="s">
        <v>1717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1725</v>
      </c>
      <c r="B4" s="2009" t="s">
        <v>1726</v>
      </c>
      <c r="C4" s="2010" t="s">
        <v>762</v>
      </c>
      <c r="D4" s="2011" t="s">
        <v>868</v>
      </c>
      <c r="E4" s="2011" t="s">
        <v>1727</v>
      </c>
      <c r="F4" s="2011" t="s">
        <v>1728</v>
      </c>
      <c r="G4" s="2011">
        <v>70</v>
      </c>
      <c r="H4" s="2011" t="s">
        <v>1728</v>
      </c>
      <c r="I4" s="2011" t="s">
        <v>1729</v>
      </c>
      <c r="K4" s="2011" t="s">
        <v>1730</v>
      </c>
      <c r="L4" s="2011" t="s">
        <v>1730</v>
      </c>
      <c r="M4" s="2011" t="s">
        <v>1730</v>
      </c>
      <c r="N4" s="2011" t="s">
        <v>1730</v>
      </c>
      <c r="O4" s="2011" t="s">
        <v>1730</v>
      </c>
      <c r="P4" s="2011" t="s">
        <v>1730</v>
      </c>
      <c r="Q4" s="2011" t="s">
        <v>1730</v>
      </c>
      <c r="R4" s="2011" t="s">
        <v>1141</v>
      </c>
      <c r="S4" s="2011" t="s">
        <v>1730</v>
      </c>
      <c r="T4" s="2011" t="s">
        <v>1731</v>
      </c>
      <c r="U4" s="2011" t="s">
        <v>1730</v>
      </c>
      <c r="W4" s="2011" t="s">
        <v>1730</v>
      </c>
    </row>
    <row r="5" spans="1:23">
      <c r="A5" s="2009" t="s">
        <v>1732</v>
      </c>
      <c r="B5" s="2009" t="s">
        <v>1733</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09" t="s">
        <v>757</v>
      </c>
      <c r="C17" s="2010"/>
    </row>
    <row r="18" spans="1:3">
      <c r="A18" s="2009" t="s">
        <v>1768</v>
      </c>
      <c r="B18" s="2009" t="s">
        <v>3070</v>
      </c>
      <c r="C18" s="2010"/>
    </row>
    <row r="19" spans="1:3">
      <c r="A19" s="2009" t="s">
        <v>1769</v>
      </c>
      <c r="B19" s="2009" t="s">
        <v>3071</v>
      </c>
      <c r="C19" s="2010"/>
    </row>
    <row r="20" spans="1:3">
      <c r="A20" s="2009" t="s">
        <v>1770</v>
      </c>
      <c r="B20" s="2009" t="s">
        <v>3072</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7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17" t="s">
        <v>864</v>
      </c>
      <c r="C54" s="2014" t="s">
        <v>1281</v>
      </c>
    </row>
    <row r="55" spans="1:4">
      <c r="A55" s="3077"/>
      <c r="B55" s="2017" t="s">
        <v>865</v>
      </c>
      <c r="C55" s="2014" t="s">
        <v>1282</v>
      </c>
    </row>
    <row r="56" spans="1:4">
      <c r="A56" s="3077"/>
      <c r="B56" s="2017" t="s">
        <v>866</v>
      </c>
      <c r="C56" s="2014" t="s">
        <v>1286</v>
      </c>
    </row>
    <row r="57" spans="1:4">
      <c r="A57" s="307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62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1777</v>
      </c>
      <c r="B1" s="3078" t="str">
        <f>IF(B10="北京市","北京市",C10)&amp;F10&amp;IF(结果表!G1="在建","出让国有建设用地使用权及在建建筑物",IF(结果表!G1="土地","出让国有建设用地使用权",))&amp;B9&amp;"预评估"</f>
        <v>北京市海淀区西四环北路160号房地产抵押价值预评估</v>
      </c>
      <c r="C1" s="3079"/>
      <c r="D1" s="3079"/>
      <c r="E1" s="3079"/>
      <c r="F1" s="3079"/>
      <c r="G1" s="3079"/>
      <c r="H1" s="3079"/>
      <c r="I1" s="308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1" t="s">
        <v>1778</v>
      </c>
      <c r="B2" s="1034" t="s">
        <v>3032</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0" t="s">
        <v>1779</v>
      </c>
      <c r="B3" s="2031">
        <v>43185</v>
      </c>
      <c r="C3" s="2032" t="s">
        <v>1780</v>
      </c>
      <c r="D3" s="2031">
        <f>B3</f>
        <v>43185</v>
      </c>
      <c r="E3" s="2021"/>
      <c r="F3" s="2021"/>
      <c r="G3" s="2021"/>
      <c r="H3" s="2021"/>
      <c r="I3" s="2021"/>
      <c r="J3" s="2021"/>
      <c r="K3" s="2022"/>
      <c r="L3" s="2023"/>
      <c r="M3" s="2023"/>
      <c r="N3" s="2024"/>
      <c r="O3" s="2025"/>
      <c r="P3" s="2024"/>
      <c r="Q3" s="2024"/>
      <c r="R3" s="2024"/>
      <c r="S3" s="2026"/>
    </row>
    <row r="4" spans="1:19" ht="18" customHeight="1" thickBot="1">
      <c r="A4" s="2033" t="s">
        <v>1781</v>
      </c>
      <c r="B4" s="2034"/>
      <c r="C4" s="1032">
        <f>SUMIF(注册房地产估价师,B4,估价师及机构信息!B3:B24)</f>
        <v>0</v>
      </c>
      <c r="D4" s="2034"/>
      <c r="E4" s="1033">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1782</v>
      </c>
      <c r="B5" s="2040" t="str">
        <f>B6</f>
        <v>昆仑信托有限责任公司</v>
      </c>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1783</v>
      </c>
      <c r="B6" s="2941" t="s">
        <v>3033</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3" t="s">
        <v>1784</v>
      </c>
      <c r="B7" s="2047" t="str">
        <f>C11</f>
        <v>北京碧生源物业管理有限公司</v>
      </c>
      <c r="C7" s="2044"/>
      <c r="D7" s="2045"/>
      <c r="E7" s="2029"/>
      <c r="F7" s="2037"/>
      <c r="G7" s="2037"/>
      <c r="H7" s="2037"/>
      <c r="I7" s="2037"/>
      <c r="J7" s="2037"/>
      <c r="K7" s="2048"/>
      <c r="L7" s="2023"/>
      <c r="M7" s="2023"/>
      <c r="N7" s="2024"/>
      <c r="O7" s="2025"/>
      <c r="P7" s="2024"/>
      <c r="Q7" s="2024"/>
      <c r="R7" s="2024"/>
    </row>
    <row r="8" spans="1:19" ht="18" customHeight="1">
      <c r="A8" s="2043" t="s">
        <v>1785</v>
      </c>
      <c r="B8" s="2049" t="s">
        <v>3034</v>
      </c>
      <c r="C8" s="2050"/>
      <c r="D8" s="3081" t="s">
        <v>1786</v>
      </c>
      <c r="E8" s="2051" t="s">
        <v>3035</v>
      </c>
      <c r="F8" s="2052"/>
      <c r="G8" s="2021"/>
      <c r="H8" s="2021"/>
      <c r="I8" s="2021"/>
      <c r="J8" s="2037"/>
      <c r="K8" s="2038"/>
      <c r="L8" s="2023"/>
      <c r="M8" s="2023"/>
      <c r="N8" s="2024"/>
      <c r="O8" s="2025"/>
      <c r="P8" s="2024"/>
      <c r="Q8" s="2024"/>
      <c r="R8" s="2024"/>
    </row>
    <row r="9" spans="1:19" ht="18" customHeight="1" thickBot="1">
      <c r="A9" s="2035" t="s">
        <v>1787</v>
      </c>
      <c r="B9" s="2053" t="s">
        <v>3035</v>
      </c>
      <c r="C9" s="2054"/>
      <c r="D9" s="3082"/>
      <c r="E9" s="2053" t="s">
        <v>70</v>
      </c>
      <c r="F9" s="2055"/>
      <c r="G9" s="2056"/>
      <c r="H9" s="2056"/>
      <c r="I9" s="2056"/>
      <c r="J9" s="2037"/>
      <c r="K9" s="2048"/>
      <c r="L9" s="2023"/>
      <c r="M9" s="2023"/>
      <c r="N9" s="2024"/>
      <c r="O9" s="2025"/>
      <c r="P9" s="2024"/>
      <c r="Q9" s="2024"/>
      <c r="R9" s="2024"/>
    </row>
    <row r="10" spans="1:19" ht="18" customHeight="1" thickTop="1">
      <c r="A10" s="2057" t="s">
        <v>1788</v>
      </c>
      <c r="B10" s="2058" t="s">
        <v>3036</v>
      </c>
      <c r="C10" s="2059"/>
      <c r="D10" s="2042"/>
      <c r="E10" s="2060" t="s">
        <v>1789</v>
      </c>
      <c r="F10" s="2061" t="s">
        <v>3039</v>
      </c>
      <c r="G10" s="2062"/>
      <c r="H10" s="2063"/>
      <c r="I10" s="2042"/>
      <c r="J10" s="2037"/>
      <c r="K10" s="2048"/>
      <c r="L10" s="2023"/>
      <c r="M10" s="2023"/>
      <c r="N10" s="2024"/>
      <c r="O10" s="2025"/>
      <c r="P10" s="2024"/>
      <c r="Q10" s="2024"/>
      <c r="R10" s="2024"/>
    </row>
    <row r="11" spans="1:19" ht="18" customHeight="1">
      <c r="A11" s="2064" t="s">
        <v>1790</v>
      </c>
      <c r="B11" s="2065" t="s">
        <v>3037</v>
      </c>
      <c r="C11" s="2942" t="s">
        <v>3038</v>
      </c>
      <c r="D11" s="2066"/>
      <c r="E11" s="2037"/>
      <c r="F11" s="2037"/>
      <c r="G11" s="2037"/>
      <c r="H11" s="2037"/>
      <c r="I11" s="2037"/>
      <c r="J11" s="2037"/>
      <c r="K11" s="2048"/>
      <c r="L11" s="2023"/>
      <c r="M11" s="2023"/>
      <c r="N11" s="2024"/>
      <c r="O11" s="2025"/>
      <c r="P11" s="2024"/>
      <c r="Q11" s="2024"/>
      <c r="R11" s="2024"/>
    </row>
    <row r="12" spans="1:19" ht="18" customHeight="1">
      <c r="A12" s="2067" t="s">
        <v>1791</v>
      </c>
      <c r="B12" s="2065" t="s">
        <v>3099</v>
      </c>
      <c r="C12" s="2068" t="s">
        <v>1792</v>
      </c>
      <c r="D12" s="2069" t="s">
        <v>1793</v>
      </c>
      <c r="E12" s="2069" t="s">
        <v>1794</v>
      </c>
      <c r="F12" s="2069" t="s">
        <v>1795</v>
      </c>
      <c r="G12" s="2069" t="s">
        <v>1796</v>
      </c>
      <c r="H12" s="2069" t="s">
        <v>1797</v>
      </c>
      <c r="I12" s="2069" t="s">
        <v>1798</v>
      </c>
      <c r="J12" s="2037"/>
      <c r="K12" s="2048"/>
      <c r="L12" s="2023"/>
      <c r="M12" s="2023"/>
      <c r="N12" s="2024"/>
      <c r="O12" s="2025"/>
      <c r="P12" s="2024"/>
      <c r="Q12" s="2024"/>
      <c r="R12" s="2024"/>
    </row>
    <row r="13" spans="1:19" ht="18" customHeight="1">
      <c r="A13" s="2070"/>
      <c r="B13" s="2071"/>
      <c r="C13" s="2072" t="s">
        <v>1799</v>
      </c>
      <c r="D13" s="2073"/>
      <c r="E13" s="2073">
        <v>54584</v>
      </c>
      <c r="F13" s="2073">
        <v>58236</v>
      </c>
      <c r="G13" s="2073">
        <v>58236</v>
      </c>
      <c r="H13" s="2073"/>
      <c r="I13" s="1042"/>
      <c r="J13" s="2037"/>
      <c r="K13" s="2048"/>
      <c r="L13" s="2023"/>
      <c r="M13" s="2023"/>
      <c r="N13" s="2024"/>
      <c r="O13" s="2025"/>
      <c r="P13" s="2024"/>
      <c r="Q13" s="2024"/>
      <c r="R13" s="2024"/>
    </row>
    <row r="14" spans="1:19" ht="18" customHeight="1">
      <c r="A14" s="2070"/>
      <c r="B14" s="2071"/>
      <c r="C14" s="2072" t="s">
        <v>1800</v>
      </c>
      <c r="D14" s="1045"/>
      <c r="E14" s="1045">
        <v>40</v>
      </c>
      <c r="F14" s="1045">
        <v>50</v>
      </c>
      <c r="G14" s="1045">
        <v>50</v>
      </c>
      <c r="H14" s="1045"/>
      <c r="I14" s="1045"/>
      <c r="J14" s="2037"/>
      <c r="K14" s="2074"/>
      <c r="L14" s="2023"/>
      <c r="M14" s="2023"/>
      <c r="N14" s="2024"/>
      <c r="O14" s="2025"/>
      <c r="P14" s="2024"/>
      <c r="Q14" s="2024"/>
      <c r="R14" s="2024"/>
    </row>
    <row r="15" spans="1:19" ht="18" customHeight="1">
      <c r="A15" s="2057"/>
      <c r="B15" s="2075"/>
      <c r="C15" s="2072" t="s">
        <v>1801</v>
      </c>
      <c r="D15" s="1044" t="str">
        <f>IF(B12="出让",IF(D13="","",ROUNDDOWN(MIN((D13-$D$3)/365,D14),2)),D14)</f>
        <v/>
      </c>
      <c r="E15" s="1044">
        <f>IF(B12="出让",IF(E13="","",ROUNDDOWN(MIN((E13-$D$3)/365,E14),2)),E14)</f>
        <v>31.23</v>
      </c>
      <c r="F15" s="1044">
        <f>IF(B12="出让",IF(F13="","",ROUNDDOWN(MIN((F13-$D$3)/365,F14),2)),F14)</f>
        <v>41.23</v>
      </c>
      <c r="G15" s="1044">
        <f>IF(B12="出让",IF(G13="","",ROUNDDOWN(MIN((G13-$D$3)/365,G14),2)),G14)</f>
        <v>41.23</v>
      </c>
      <c r="H15" s="1044" t="str">
        <f>IF(B12="出让",IF(H13="","",ROUNDDOWN(MIN((H13-$D$3)/365,H14),2)),H14)</f>
        <v/>
      </c>
      <c r="I15" s="1044" t="str">
        <f>IF(B12="出让",IF(I13="","",ROUNDDOWN(MIN((I13-$D$3)/365,I14),2)),I14)</f>
        <v/>
      </c>
      <c r="J15" s="2037"/>
      <c r="K15" s="2076"/>
      <c r="L15" s="2077"/>
      <c r="M15" s="2077"/>
      <c r="N15" s="2078"/>
      <c r="O15" s="2077"/>
      <c r="P15" s="2078"/>
      <c r="Q15" s="2024"/>
      <c r="R15" s="2024"/>
    </row>
    <row r="16" spans="1:19" ht="30.75" customHeight="1">
      <c r="A16" s="2060" t="s">
        <v>1802</v>
      </c>
      <c r="B16" s="3088"/>
      <c r="C16" s="3089"/>
      <c r="D16" s="3090"/>
      <c r="E16" s="2079" t="s">
        <v>1803</v>
      </c>
      <c r="F16" s="3091"/>
      <c r="G16" s="3092"/>
      <c r="H16" s="3092"/>
      <c r="I16" s="3093"/>
      <c r="J16" s="2024"/>
      <c r="K16" s="2076"/>
      <c r="L16" s="2077"/>
      <c r="M16" s="2077"/>
      <c r="N16" s="2078"/>
      <c r="O16" s="2077"/>
      <c r="P16" s="2078"/>
      <c r="Q16" s="2024"/>
      <c r="R16" s="2024"/>
    </row>
    <row r="17" spans="1:22" ht="18" customHeight="1">
      <c r="A17" s="2080" t="s">
        <v>1804</v>
      </c>
      <c r="B17" s="2030" t="s">
        <v>1805</v>
      </c>
      <c r="C17" s="1049">
        <f>'数据-汇总表'!E3</f>
        <v>11628.210000000001</v>
      </c>
      <c r="D17" s="2081" t="s">
        <v>1806</v>
      </c>
      <c r="E17" s="3094" t="s">
        <v>3040</v>
      </c>
      <c r="F17" s="3095"/>
      <c r="G17" s="3095"/>
      <c r="H17" s="3095"/>
      <c r="I17" s="3096"/>
      <c r="J17" s="2024"/>
      <c r="K17" s="2082"/>
      <c r="L17" s="2077"/>
      <c r="M17" s="2077"/>
      <c r="N17" s="2078"/>
      <c r="O17" s="2077"/>
      <c r="P17" s="2078"/>
      <c r="Q17" s="2024"/>
      <c r="R17" s="2024"/>
      <c r="S17" s="2024"/>
      <c r="T17" s="2024"/>
      <c r="U17" s="2024"/>
      <c r="V17" s="2024"/>
    </row>
    <row r="18" spans="1:22" ht="36" customHeight="1" thickBot="1">
      <c r="A18" s="2083" t="s">
        <v>70</v>
      </c>
      <c r="B18" s="2033" t="s">
        <v>1807</v>
      </c>
      <c r="C18" s="1439">
        <f>'数据-汇总表'!D3</f>
        <v>0</v>
      </c>
      <c r="D18" s="2084" t="s">
        <v>1806</v>
      </c>
      <c r="E18" s="3097"/>
      <c r="F18" s="3098"/>
      <c r="G18" s="3098"/>
      <c r="H18" s="3098"/>
      <c r="I18" s="3099"/>
      <c r="J18" s="2024"/>
      <c r="K18" s="2082"/>
      <c r="L18" s="2077"/>
      <c r="M18" s="2077"/>
      <c r="N18" s="2078"/>
      <c r="O18" s="2077"/>
      <c r="P18" s="2078"/>
      <c r="Q18" s="2024"/>
      <c r="R18" s="2024"/>
      <c r="S18" s="2024"/>
      <c r="T18" s="2024"/>
      <c r="U18" s="2024"/>
      <c r="V18" s="2024"/>
    </row>
    <row r="19" spans="1:22" ht="37.5" customHeight="1" thickTop="1" thickBot="1">
      <c r="A19" s="372" t="s">
        <v>1808</v>
      </c>
      <c r="B19" s="351" t="s">
        <v>1809</v>
      </c>
      <c r="C19" s="2085" t="s">
        <v>3041</v>
      </c>
      <c r="D19" s="2086" t="s">
        <v>1810</v>
      </c>
      <c r="E19" s="2087" t="s">
        <v>70</v>
      </c>
      <c r="F19" s="2088" t="str">
        <f>IF(AND(C19="是",E19="否"),"是否提供他项权证或相关说明","")</f>
        <v/>
      </c>
      <c r="G19" s="2089"/>
      <c r="H19" s="2037"/>
      <c r="I19" s="2037"/>
      <c r="J19" s="2037"/>
      <c r="K19" s="2048"/>
      <c r="L19" s="2023"/>
      <c r="M19" s="2023"/>
      <c r="N19" s="2078"/>
      <c r="O19" s="2077"/>
      <c r="P19" s="2078"/>
      <c r="Q19" s="2024"/>
      <c r="R19" s="2024"/>
      <c r="S19" s="2024"/>
      <c r="T19" s="2024"/>
      <c r="U19" s="2024"/>
      <c r="V19" s="2024"/>
    </row>
    <row r="20" spans="1:22" ht="18" customHeight="1">
      <c r="A20" s="2090" t="s">
        <v>1811</v>
      </c>
      <c r="B20" s="3084" t="s">
        <v>1812</v>
      </c>
      <c r="C20" s="3085"/>
      <c r="D20" s="3086" t="s">
        <v>1813</v>
      </c>
      <c r="E20" s="3087"/>
      <c r="F20" s="2091" t="s">
        <v>1814</v>
      </c>
      <c r="G20" s="2037"/>
      <c r="H20" s="2037"/>
      <c r="I20" s="2037"/>
      <c r="J20" s="2037"/>
      <c r="K20" s="3083" t="s">
        <v>1815</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8"/>
      <c r="O20" s="2077"/>
      <c r="P20" s="2078"/>
      <c r="Q20" s="2024"/>
      <c r="R20" s="2024"/>
      <c r="S20" s="2024"/>
      <c r="T20" s="2024"/>
      <c r="U20" s="2024"/>
      <c r="V20" s="2024"/>
    </row>
    <row r="21" spans="1:22" ht="24.75" customHeight="1">
      <c r="A21" s="2090"/>
      <c r="B21" s="2092" t="s">
        <v>3042</v>
      </c>
      <c r="C21" s="2093" t="s">
        <v>3043</v>
      </c>
      <c r="D21" s="2094"/>
      <c r="E21" s="2095"/>
      <c r="F21" s="2096"/>
      <c r="G21" s="2037"/>
      <c r="H21" s="2037"/>
      <c r="I21" s="2037"/>
      <c r="J21" s="2037"/>
      <c r="K21" s="308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8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2" t="s">
        <v>1817</v>
      </c>
      <c r="C23" s="2100"/>
      <c r="D23" s="2101" t="s">
        <v>1817</v>
      </c>
      <c r="E23" s="2102"/>
      <c r="F23" s="2098"/>
      <c r="G23" s="2037"/>
      <c r="H23" s="2037"/>
      <c r="I23" s="2037"/>
      <c r="J23" s="2037"/>
      <c r="K23" s="2103"/>
      <c r="L23" s="745"/>
      <c r="M23" s="2023"/>
      <c r="N23" s="2078"/>
      <c r="O23" s="2077"/>
      <c r="P23" s="2078"/>
      <c r="Q23" s="2024"/>
      <c r="R23" s="2024"/>
      <c r="S23" s="2024"/>
      <c r="T23" s="2024"/>
      <c r="U23" s="2024"/>
      <c r="V23" s="2024"/>
    </row>
    <row r="24" spans="1:22" ht="18" customHeight="1">
      <c r="A24" s="2104"/>
      <c r="B24" s="182" t="s">
        <v>1818</v>
      </c>
      <c r="C24" s="2105"/>
      <c r="D24" s="2099" t="s">
        <v>1818</v>
      </c>
      <c r="E24" s="2106"/>
      <c r="F24" s="2098"/>
      <c r="G24" s="2037"/>
      <c r="H24" s="2037"/>
      <c r="I24" s="2037"/>
      <c r="J24" s="2037"/>
      <c r="K24" s="2103"/>
      <c r="L24" s="745"/>
      <c r="M24" s="2023"/>
      <c r="N24" s="2078"/>
      <c r="O24" s="2077"/>
      <c r="P24" s="2078"/>
      <c r="Q24" s="2024"/>
      <c r="R24" s="2024"/>
      <c r="S24" s="2024"/>
      <c r="T24" s="2024"/>
      <c r="U24" s="2024"/>
      <c r="V24" s="2024"/>
    </row>
    <row r="25" spans="1:22" ht="18" customHeight="1">
      <c r="A25" s="2104"/>
      <c r="B25" s="182" t="s">
        <v>1819</v>
      </c>
      <c r="C25" s="2105"/>
      <c r="D25" s="2099" t="s">
        <v>1819</v>
      </c>
      <c r="E25" s="2106"/>
      <c r="F25" s="2098"/>
      <c r="G25" s="2037"/>
      <c r="H25" s="2037"/>
      <c r="I25" s="2037"/>
      <c r="J25" s="2037"/>
      <c r="K25" s="2048"/>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6"/>
      <c r="H26" s="2056"/>
      <c r="I26" s="2056"/>
      <c r="J26" s="2037"/>
      <c r="K26" s="2048"/>
      <c r="L26" s="2023"/>
      <c r="M26" s="2023"/>
      <c r="N26" s="2078"/>
      <c r="O26" s="2077"/>
      <c r="P26" s="2078"/>
      <c r="Q26" s="2024"/>
      <c r="R26" s="2024"/>
      <c r="S26" s="2024"/>
      <c r="T26" s="2024"/>
      <c r="U26" s="2024"/>
      <c r="V26" s="2024"/>
    </row>
    <row r="27" spans="1:22" ht="18" customHeight="1" thickTop="1">
      <c r="A27" s="3101" t="s">
        <v>1822</v>
      </c>
      <c r="B27" s="2057" t="s">
        <v>1823</v>
      </c>
      <c r="C27" s="2113" t="s">
        <v>3044</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101"/>
      <c r="B28" s="2030" t="s">
        <v>1824</v>
      </c>
      <c r="C28" s="2115"/>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101"/>
      <c r="B29" s="2030" t="s">
        <v>1825</v>
      </c>
      <c r="C29" s="2118"/>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102"/>
      <c r="B30" s="2030" t="s">
        <v>1826</v>
      </c>
      <c r="C30" s="3103"/>
      <c r="D30" s="3104"/>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105" t="s">
        <v>1827</v>
      </c>
      <c r="B31" s="2120" t="s">
        <v>3045</v>
      </c>
      <c r="C31" s="2121" t="str">
        <f>IF(B31="现房","成新及维护状况正常否",IF(B31="在建","工程状态是否正常",IF(B31="土地","是否闲置","-")))</f>
        <v>成新及维护状况正常否</v>
      </c>
      <c r="D31" s="2122"/>
      <c r="E31" s="2123"/>
      <c r="F31" s="2037"/>
      <c r="G31" s="2037"/>
      <c r="H31" s="2037"/>
      <c r="I31" s="2037"/>
      <c r="J31" s="2037"/>
      <c r="K31" s="2046"/>
      <c r="L31" s="2023"/>
      <c r="M31" s="2023"/>
      <c r="N31" s="2024"/>
      <c r="O31" s="2025"/>
      <c r="P31" s="2024"/>
      <c r="Q31" s="2024"/>
      <c r="R31" s="2024"/>
      <c r="S31" s="2024"/>
      <c r="T31" s="2024"/>
      <c r="U31" s="2024"/>
      <c r="V31" s="2024"/>
    </row>
    <row r="32" spans="1:22" ht="18" customHeight="1">
      <c r="A32" s="3106"/>
      <c r="B32" s="2120"/>
      <c r="C32" s="2121" t="str">
        <f>IF(B32="现房","成新及维护状况是否正常",IF(B32="在建","工程状态是否正常",IF(B32="土地","是否闲置","-")))</f>
        <v>-</v>
      </c>
      <c r="D32" s="2122"/>
      <c r="E32" s="2123"/>
      <c r="F32" s="2037"/>
      <c r="G32" s="2037"/>
      <c r="H32" s="2037"/>
      <c r="I32" s="2037"/>
      <c r="J32" s="2037"/>
      <c r="K32" s="2048"/>
      <c r="L32" s="2023"/>
      <c r="M32" s="2023"/>
      <c r="N32" s="2024"/>
      <c r="O32" s="2025"/>
      <c r="P32" s="2024"/>
      <c r="Q32" s="2024"/>
      <c r="R32" s="2024"/>
      <c r="S32" s="2024"/>
      <c r="T32" s="2024"/>
      <c r="U32" s="2024"/>
      <c r="V32" s="2024"/>
    </row>
    <row r="33" spans="1:22" ht="18" customHeight="1">
      <c r="A33" s="3106"/>
      <c r="B33" s="2124"/>
      <c r="C33" s="2064" t="str">
        <f>IF(B33="现房","成新及维护状况是否正常",IF(B33="在建","工程状态是否正常",IF(B33="土地","是否闲置","-")))</f>
        <v>-</v>
      </c>
      <c r="D33" s="2125"/>
      <c r="E33" s="2126"/>
      <c r="F33" s="2037"/>
      <c r="G33" s="2037"/>
      <c r="H33" s="2037"/>
      <c r="I33" s="2037"/>
      <c r="J33" s="2037"/>
      <c r="K33" s="2048"/>
      <c r="L33" s="2023"/>
      <c r="M33" s="2023"/>
      <c r="N33" s="2024"/>
      <c r="O33" s="2025"/>
      <c r="P33" s="2024"/>
      <c r="Q33" s="2024"/>
      <c r="R33" s="2024"/>
      <c r="S33" s="2024"/>
      <c r="T33" s="2024"/>
      <c r="U33" s="2024"/>
      <c r="V33" s="2024"/>
    </row>
    <row r="34" spans="1:22" ht="18" customHeight="1">
      <c r="A34" s="2030" t="s">
        <v>1828</v>
      </c>
      <c r="B34" s="2127" t="s">
        <v>3046</v>
      </c>
      <c r="C34" s="2127" t="s">
        <v>3047</v>
      </c>
      <c r="D34" s="2127" t="s">
        <v>3048</v>
      </c>
      <c r="E34" s="2127" t="s">
        <v>3049</v>
      </c>
      <c r="F34" s="2127" t="s">
        <v>3050</v>
      </c>
      <c r="G34" s="2127" t="s">
        <v>3051</v>
      </c>
      <c r="H34" s="2127"/>
      <c r="I34" s="2037"/>
      <c r="J34" s="2037"/>
      <c r="K34" s="1790">
        <f>COUNTIF(B34:H34,"——")</f>
        <v>0</v>
      </c>
      <c r="L34" s="2068" t="s">
        <v>1829</v>
      </c>
      <c r="M34" s="2068" t="s">
        <v>1830</v>
      </c>
      <c r="N34" s="2068" t="s">
        <v>1831</v>
      </c>
      <c r="O34" s="2068" t="s">
        <v>1832</v>
      </c>
      <c r="P34" s="2068" t="s">
        <v>1833</v>
      </c>
      <c r="Q34" s="2068" t="s">
        <v>1834</v>
      </c>
      <c r="R34" s="2068" t="s">
        <v>1835</v>
      </c>
      <c r="S34" s="3100" t="s">
        <v>1836</v>
      </c>
      <c r="T34" s="2128" t="str">
        <f>NUMBERSTRING(7-K34,1)&amp;"通"</f>
        <v>七通</v>
      </c>
      <c r="U34" s="2024"/>
      <c r="V34" s="2024"/>
    </row>
    <row r="35" spans="1:22" ht="18" customHeight="1">
      <c r="A35" s="2129"/>
      <c r="B35" s="3107" t="s">
        <v>1837</v>
      </c>
      <c r="C35" s="3107"/>
      <c r="D35" s="3107"/>
      <c r="E35" s="3107"/>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00"/>
      <c r="T35" s="48" t="str">
        <f>IF(T34="一通",L35,IF(T34="二通",M35,IF(T34="三通",N35,IF(T34="四通",O35,IF(T34="五通",P35,IF(T34="六通",Q35,R35))))))</f>
        <v>通路、通电、通讯、通上水、通下水、通热、</v>
      </c>
      <c r="U35" s="2024"/>
      <c r="V35" s="2024"/>
    </row>
    <row r="36" spans="1:22" ht="18" customHeight="1">
      <c r="A36" s="2131"/>
      <c r="B36" s="2130" t="s">
        <v>1838</v>
      </c>
      <c r="C36" s="2130" t="s">
        <v>1839</v>
      </c>
      <c r="D36" s="2130" t="s">
        <v>1840</v>
      </c>
      <c r="E36" s="2130" t="s">
        <v>1841</v>
      </c>
      <c r="F36" s="2132"/>
      <c r="G36" s="2037"/>
      <c r="H36" s="2037"/>
      <c r="I36" s="2037"/>
      <c r="J36" s="2037"/>
      <c r="K36" s="2048"/>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8"/>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6"/>
      <c r="H38" s="2056"/>
      <c r="I38" s="2056"/>
      <c r="J38" s="2037"/>
      <c r="K38" s="2048"/>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3"/>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hidden="1" customWidth="1"/>
    <col min="16" max="16" width="9.625" style="2153" hidden="1" customWidth="1"/>
    <col min="17" max="17" width="9.375" style="2153" hidden="1" customWidth="1"/>
    <col min="18" max="18" width="9.125" style="2153" hidden="1" customWidth="1"/>
    <col min="19" max="19" width="10.875" style="2153" hidden="1" customWidth="1"/>
    <col min="20" max="21" width="10.625" style="2153" hidden="1" customWidth="1"/>
    <col min="22" max="22" width="10.875" style="2153" hidden="1" customWidth="1"/>
    <col min="23" max="27" width="10.625" style="2153" hidden="1" customWidth="1"/>
    <col min="28" max="28" width="10.875" style="2153" hidden="1" customWidth="1"/>
    <col min="29" max="29" width="11" style="2153" bestFit="1" customWidth="1"/>
    <col min="30" max="30" width="10" style="2153" bestFit="1" customWidth="1"/>
    <col min="31" max="31" width="9.625" style="2153" customWidth="1"/>
    <col min="32" max="46" width="9.5" style="2153" customWidth="1"/>
    <col min="47" max="47" width="18.125" style="2153" customWidth="1"/>
    <col min="48" max="50" width="9.62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1869</v>
      </c>
      <c r="AZ2" s="1265"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11628.210000000001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76" t="s">
        <v>1888</v>
      </c>
      <c r="AD8" s="2182"/>
      <c r="AE8" s="2174"/>
      <c r="AF8" s="1813"/>
      <c r="AG8" s="1813"/>
      <c r="AH8" s="1813"/>
      <c r="AI8" s="1813"/>
      <c r="AJ8" s="1813"/>
      <c r="AK8" s="1813"/>
      <c r="AL8" s="1813"/>
      <c r="AM8" s="1813"/>
      <c r="AN8" s="1813"/>
      <c r="AO8" s="1813"/>
      <c r="AP8" s="1813"/>
      <c r="AQ8" s="1813"/>
      <c r="AR8" s="1813"/>
      <c r="AS8" s="1813"/>
      <c r="AT8" s="1287" t="s">
        <v>1889</v>
      </c>
      <c r="AU8" s="2176" t="s">
        <v>1890</v>
      </c>
      <c r="AV8" s="1287"/>
      <c r="AW8" s="2159"/>
      <c r="AX8" s="1287"/>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7"/>
      <c r="H9" s="2184" t="s">
        <v>1893</v>
      </c>
      <c r="I9" s="2185" t="s">
        <v>3057</v>
      </c>
      <c r="J9" s="976"/>
      <c r="K9" s="2185" t="s">
        <v>3057</v>
      </c>
      <c r="L9" s="976"/>
      <c r="M9" s="2185" t="s">
        <v>3058</v>
      </c>
      <c r="N9" s="976"/>
      <c r="O9" s="2185"/>
      <c r="P9" s="976"/>
      <c r="Q9" s="2185"/>
      <c r="R9" s="976"/>
      <c r="S9" s="2185"/>
      <c r="T9" s="976"/>
      <c r="U9" s="2185"/>
      <c r="V9" s="976"/>
      <c r="W9" s="2185"/>
      <c r="X9" s="2186"/>
      <c r="Y9" s="2185"/>
      <c r="Z9" s="976"/>
      <c r="AA9" s="2185"/>
      <c r="AB9" s="976"/>
      <c r="AC9" s="2177"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187"/>
      <c r="AT9" s="2176"/>
      <c r="AU9" s="2176" t="s">
        <v>1896</v>
      </c>
      <c r="AV9" s="1287"/>
      <c r="AW9" s="2159"/>
      <c r="AX9" s="1287"/>
      <c r="AY9" s="28"/>
      <c r="AZ9" s="28" t="s">
        <v>1886</v>
      </c>
      <c r="BA9" s="2188" t="s">
        <v>1897</v>
      </c>
      <c r="BB9" s="2189"/>
      <c r="BC9" s="1333"/>
      <c r="BD9" s="1333"/>
      <c r="BE9" s="1333"/>
      <c r="BF9" s="1333"/>
      <c r="BG9" s="1333"/>
      <c r="BH9" s="1333"/>
      <c r="BI9" s="1333"/>
      <c r="BJ9" s="1333"/>
      <c r="BK9" s="2190"/>
      <c r="BL9" s="15" t="s">
        <v>1898</v>
      </c>
      <c r="BM9" s="1813"/>
      <c r="BN9" s="2179"/>
      <c r="BO9" s="1813"/>
      <c r="BP9" s="1813"/>
      <c r="BQ9" s="1813"/>
      <c r="BR9" s="1813"/>
      <c r="BS9" s="1813"/>
      <c r="BT9" s="26"/>
    </row>
    <row r="10" spans="1:72" s="2183" customFormat="1" ht="12.75">
      <c r="A10" s="2176"/>
      <c r="B10" s="2176"/>
      <c r="C10" s="2176"/>
      <c r="D10" s="2176"/>
      <c r="E10" s="2176"/>
      <c r="F10" s="2176"/>
      <c r="G10" s="1287"/>
      <c r="H10" s="28"/>
      <c r="I10" s="2185" t="s">
        <v>27</v>
      </c>
      <c r="J10" s="976"/>
      <c r="K10" s="2191" t="s">
        <v>1377</v>
      </c>
      <c r="L10" s="976"/>
      <c r="M10" s="2191" t="s">
        <v>3059</v>
      </c>
      <c r="N10" s="976"/>
      <c r="O10" s="2191"/>
      <c r="P10" s="976"/>
      <c r="Q10" s="2191"/>
      <c r="R10" s="976"/>
      <c r="S10" s="2191"/>
      <c r="T10" s="976"/>
      <c r="U10" s="2191"/>
      <c r="V10" s="976"/>
      <c r="W10" s="2191"/>
      <c r="X10" s="976"/>
      <c r="Y10" s="2191"/>
      <c r="Z10" s="976"/>
      <c r="AA10" s="2191"/>
      <c r="AB10" s="976"/>
      <c r="AC10" s="1287"/>
      <c r="AD10" s="15" t="s">
        <v>1899</v>
      </c>
      <c r="AE10" s="2192"/>
      <c r="AF10" s="15" t="s">
        <v>1899</v>
      </c>
      <c r="AG10" s="2192"/>
      <c r="AH10" s="15" t="s">
        <v>1900</v>
      </c>
      <c r="AI10" s="2192"/>
      <c r="AJ10" s="15" t="s">
        <v>1900</v>
      </c>
      <c r="AK10" s="2192"/>
      <c r="AL10" s="15" t="s">
        <v>1901</v>
      </c>
      <c r="AM10" s="1293"/>
      <c r="AN10" s="15" t="s">
        <v>1901</v>
      </c>
      <c r="AO10" s="1293"/>
      <c r="AP10" s="15" t="s">
        <v>1902</v>
      </c>
      <c r="AQ10" s="1293"/>
      <c r="AR10" s="15" t="s">
        <v>1902</v>
      </c>
      <c r="AS10" s="1293"/>
      <c r="AT10" s="2176"/>
      <c r="AU10" s="2176"/>
      <c r="AV10" s="1287"/>
      <c r="AW10" s="2159"/>
      <c r="AX10" s="1287"/>
      <c r="AY10" s="28"/>
      <c r="AZ10" s="28"/>
      <c r="BA10" s="2193" t="s">
        <v>1893</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7"/>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7"/>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87"/>
      <c r="AW11" s="2159"/>
      <c r="AX11" s="1287"/>
      <c r="AY11" s="28"/>
      <c r="AZ11" s="28"/>
      <c r="BA11" s="28"/>
      <c r="BB11" s="2181" t="str">
        <f>I10</f>
        <v>办公</v>
      </c>
      <c r="BC11" s="2181" t="str">
        <f>K10</f>
        <v>商业</v>
      </c>
      <c r="BD11" s="2181" t="str">
        <f>M10</f>
        <v>车库—办公</v>
      </c>
      <c r="BE11" s="2181">
        <f>O10</f>
        <v>0</v>
      </c>
      <c r="BF11" s="2181">
        <f>Q10</f>
        <v>0</v>
      </c>
      <c r="BG11" s="2181">
        <f>S10</f>
        <v>0</v>
      </c>
      <c r="BH11" s="2181">
        <f>U10</f>
        <v>0</v>
      </c>
      <c r="BI11" s="2181">
        <f>W10</f>
        <v>0</v>
      </c>
      <c r="BJ11" s="2181">
        <f>Y10</f>
        <v>0</v>
      </c>
      <c r="BK11" s="2181">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c r="D13" s="2207" t="s">
        <v>3052</v>
      </c>
      <c r="E13" s="16">
        <f>IF($C$3="是",ROUND($A$3*G13/$B$3,2),ROUND($A$3*(G13-AT13)/$B$3,2))</f>
        <v>0</v>
      </c>
      <c r="F13" s="32"/>
      <c r="G13" s="33">
        <f>H13+AC13+AT13</f>
        <v>11628.210000000001</v>
      </c>
      <c r="H13" s="20">
        <f>SUMIF(I$12:AB$12,"总值",I13:AB13)</f>
        <v>11628.210000000001</v>
      </c>
      <c r="I13" s="2208">
        <f>抵押物清单!I104</f>
        <v>8532.39</v>
      </c>
      <c r="J13" s="2208"/>
      <c r="K13" s="2208">
        <f>抵押物清单!I4</f>
        <v>2104.29</v>
      </c>
      <c r="L13" s="2208"/>
      <c r="M13" s="2208">
        <f>抵押物清单!I128</f>
        <v>991.5300000000002</v>
      </c>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2998"/>
    <col min="2" max="2" width="20.375" style="3000" customWidth="1"/>
    <col min="3" max="3" width="19.125" style="3000" customWidth="1"/>
    <col min="4" max="4" width="20.625" style="3000" customWidth="1"/>
    <col min="5" max="5" width="19.125" style="3000" customWidth="1"/>
    <col min="6" max="6" width="10.625" style="3000" customWidth="1"/>
    <col min="7" max="7" width="13.125" style="3000" customWidth="1"/>
    <col min="8" max="8" width="10.625" style="3000" customWidth="1"/>
    <col min="9" max="9" width="12.375" style="3000" customWidth="1"/>
    <col min="10" max="10" width="9.125" style="2999" bestFit="1" customWidth="1"/>
    <col min="11" max="11" width="10.625" style="2999" bestFit="1" customWidth="1"/>
    <col min="12" max="12" width="9.125" style="2999" bestFit="1" customWidth="1"/>
    <col min="13" max="16384" width="8.875" style="2998"/>
  </cols>
  <sheetData>
    <row r="1" spans="1:12" ht="36.75" customHeight="1">
      <c r="A1" s="3015" t="s">
        <v>3671</v>
      </c>
      <c r="B1" s="3000" t="s">
        <v>3645</v>
      </c>
      <c r="C1" s="3000" t="s">
        <v>3644</v>
      </c>
      <c r="D1" s="3000" t="s">
        <v>3643</v>
      </c>
      <c r="E1" s="3000" t="s">
        <v>3642</v>
      </c>
      <c r="F1" s="3000" t="s">
        <v>3641</v>
      </c>
      <c r="G1" s="3000" t="s">
        <v>3640</v>
      </c>
      <c r="H1" s="3000" t="s">
        <v>3639</v>
      </c>
      <c r="I1" s="3000" t="s">
        <v>3638</v>
      </c>
    </row>
    <row r="2" spans="1:12" ht="36.75" customHeight="1">
      <c r="A2" s="2998">
        <v>1</v>
      </c>
      <c r="B2" s="3000" t="s">
        <v>3637</v>
      </c>
      <c r="C2" s="3000" t="s">
        <v>3347</v>
      </c>
      <c r="D2" s="3000" t="s">
        <v>3636</v>
      </c>
      <c r="E2" s="3000" t="s">
        <v>3635</v>
      </c>
      <c r="F2" s="3000" t="s">
        <v>3631</v>
      </c>
      <c r="G2" s="3000" t="s">
        <v>3343</v>
      </c>
      <c r="H2" s="3000">
        <v>1</v>
      </c>
      <c r="I2" s="3000">
        <v>864.49</v>
      </c>
      <c r="J2" s="2999">
        <v>55000</v>
      </c>
      <c r="K2" s="2999">
        <f>I2*J2</f>
        <v>47546950</v>
      </c>
    </row>
    <row r="3" spans="1:12" ht="36.75" customHeight="1">
      <c r="A3" s="2998">
        <v>2</v>
      </c>
      <c r="B3" s="3000" t="s">
        <v>3634</v>
      </c>
      <c r="C3" s="3000" t="s">
        <v>3347</v>
      </c>
      <c r="D3" s="3000" t="s">
        <v>3633</v>
      </c>
      <c r="E3" s="3000" t="s">
        <v>3632</v>
      </c>
      <c r="F3" s="3000" t="s">
        <v>3631</v>
      </c>
      <c r="G3" s="3000" t="s">
        <v>3343</v>
      </c>
      <c r="H3" s="3000">
        <v>2</v>
      </c>
      <c r="I3" s="3000">
        <v>1239.8</v>
      </c>
      <c r="J3" s="2999">
        <v>42000</v>
      </c>
      <c r="K3" s="2999">
        <f>I3*J3</f>
        <v>52071600</v>
      </c>
    </row>
    <row r="4" spans="1:12" s="3001" customFormat="1" ht="36.75" customHeight="1">
      <c r="B4" s="3003" t="s">
        <v>3630</v>
      </c>
      <c r="C4" s="3003"/>
      <c r="D4" s="3003"/>
      <c r="E4" s="3003"/>
      <c r="F4" s="3003"/>
      <c r="G4" s="3003"/>
      <c r="H4" s="3003"/>
      <c r="I4" s="3003">
        <f>SUM(I2:I3)</f>
        <v>2104.29</v>
      </c>
      <c r="J4" s="3002"/>
      <c r="K4" s="3002"/>
      <c r="L4" s="3002"/>
    </row>
    <row r="5" spans="1:12" ht="36.75" customHeight="1">
      <c r="A5" s="2998">
        <v>3</v>
      </c>
      <c r="B5" s="3000" t="s">
        <v>3629</v>
      </c>
      <c r="C5" s="3000" t="s">
        <v>3347</v>
      </c>
      <c r="D5" s="3000" t="s">
        <v>3628</v>
      </c>
      <c r="E5" s="3000" t="s">
        <v>3627</v>
      </c>
      <c r="F5" s="3000" t="s">
        <v>3344</v>
      </c>
      <c r="G5" s="3000" t="s">
        <v>3343</v>
      </c>
      <c r="H5" s="3000">
        <v>3</v>
      </c>
      <c r="I5" s="3000">
        <v>115.61</v>
      </c>
      <c r="K5" s="2999">
        <f>K2+K3</f>
        <v>99618550</v>
      </c>
      <c r="L5" s="2999">
        <f>K5/(I2+I3)</f>
        <v>47340.694486026165</v>
      </c>
    </row>
    <row r="6" spans="1:12" ht="36.75" customHeight="1">
      <c r="A6" s="2998">
        <v>4</v>
      </c>
      <c r="B6" s="3000" t="s">
        <v>3626</v>
      </c>
      <c r="C6" s="3000" t="s">
        <v>3347</v>
      </c>
      <c r="D6" s="3000" t="s">
        <v>3625</v>
      </c>
      <c r="E6" s="3000" t="s">
        <v>3624</v>
      </c>
      <c r="F6" s="3000" t="s">
        <v>3344</v>
      </c>
      <c r="G6" s="3000" t="s">
        <v>3343</v>
      </c>
      <c r="H6" s="3000">
        <v>3</v>
      </c>
      <c r="I6" s="3000">
        <v>114.51</v>
      </c>
    </row>
    <row r="7" spans="1:12" ht="36.75" customHeight="1">
      <c r="A7" s="2998">
        <v>5</v>
      </c>
      <c r="B7" s="3000" t="s">
        <v>3623</v>
      </c>
      <c r="C7" s="3000" t="s">
        <v>3347</v>
      </c>
      <c r="D7" s="3000" t="s">
        <v>3622</v>
      </c>
      <c r="E7" s="3000" t="s">
        <v>3621</v>
      </c>
      <c r="F7" s="3000" t="s">
        <v>3344</v>
      </c>
      <c r="G7" s="3000" t="s">
        <v>3343</v>
      </c>
      <c r="H7" s="3000">
        <v>3</v>
      </c>
      <c r="I7" s="3000">
        <v>110.69</v>
      </c>
    </row>
    <row r="8" spans="1:12" ht="36.75" customHeight="1">
      <c r="A8" s="2998">
        <v>6</v>
      </c>
      <c r="B8" s="3000" t="s">
        <v>3620</v>
      </c>
      <c r="C8" s="3000" t="s">
        <v>3347</v>
      </c>
      <c r="D8" s="3000" t="s">
        <v>3619</v>
      </c>
      <c r="E8" s="3000" t="s">
        <v>3618</v>
      </c>
      <c r="F8" s="3000" t="s">
        <v>3344</v>
      </c>
      <c r="G8" s="3000" t="s">
        <v>3343</v>
      </c>
      <c r="H8" s="3000">
        <v>3</v>
      </c>
      <c r="I8" s="3000">
        <v>104.89</v>
      </c>
    </row>
    <row r="9" spans="1:12" ht="36.75" customHeight="1">
      <c r="A9" s="2998">
        <v>7</v>
      </c>
      <c r="B9" s="3000" t="s">
        <v>3617</v>
      </c>
      <c r="C9" s="3000" t="s">
        <v>3347</v>
      </c>
      <c r="D9" s="3000" t="s">
        <v>3616</v>
      </c>
      <c r="E9" s="3000" t="s">
        <v>3615</v>
      </c>
      <c r="F9" s="3000" t="s">
        <v>3578</v>
      </c>
      <c r="G9" s="3000" t="s">
        <v>3577</v>
      </c>
      <c r="H9" s="3000">
        <v>3</v>
      </c>
      <c r="I9" s="3000">
        <v>57.51</v>
      </c>
    </row>
    <row r="10" spans="1:12" ht="36.75" customHeight="1">
      <c r="A10" s="2998">
        <v>8</v>
      </c>
      <c r="B10" s="3000" t="s">
        <v>3614</v>
      </c>
      <c r="C10" s="3000" t="s">
        <v>3575</v>
      </c>
      <c r="D10" s="3000" t="s">
        <v>3613</v>
      </c>
      <c r="E10" s="3000" t="s">
        <v>3612</v>
      </c>
      <c r="F10" s="3000" t="s">
        <v>3578</v>
      </c>
      <c r="G10" s="3000" t="s">
        <v>3577</v>
      </c>
      <c r="H10" s="3000">
        <v>3</v>
      </c>
      <c r="I10" s="3000">
        <v>79.48</v>
      </c>
    </row>
    <row r="11" spans="1:12" ht="36.75" customHeight="1">
      <c r="A11" s="2998">
        <v>9</v>
      </c>
      <c r="B11" s="3000" t="s">
        <v>3611</v>
      </c>
      <c r="C11" s="3000" t="s">
        <v>3575</v>
      </c>
      <c r="D11" s="3000" t="s">
        <v>3610</v>
      </c>
      <c r="E11" s="3000" t="s">
        <v>3609</v>
      </c>
      <c r="F11" s="3000" t="s">
        <v>3578</v>
      </c>
      <c r="G11" s="3000" t="s">
        <v>3577</v>
      </c>
      <c r="H11" s="3000">
        <v>3</v>
      </c>
      <c r="I11" s="3000">
        <v>77.11</v>
      </c>
    </row>
    <row r="12" spans="1:12" ht="36.75" customHeight="1">
      <c r="A12" s="2998">
        <v>10</v>
      </c>
      <c r="B12" s="3000" t="s">
        <v>3608</v>
      </c>
      <c r="C12" s="3000" t="s">
        <v>3575</v>
      </c>
      <c r="D12" s="3000" t="s">
        <v>3607</v>
      </c>
      <c r="E12" s="3000" t="s">
        <v>3606</v>
      </c>
      <c r="F12" s="3000" t="s">
        <v>3578</v>
      </c>
      <c r="G12" s="3000" t="s">
        <v>3577</v>
      </c>
      <c r="H12" s="3000">
        <v>3</v>
      </c>
      <c r="I12" s="3000">
        <v>77.11</v>
      </c>
    </row>
    <row r="13" spans="1:12" ht="36.75" customHeight="1">
      <c r="A13" s="2998">
        <v>11</v>
      </c>
      <c r="B13" s="3000" t="s">
        <v>3605</v>
      </c>
      <c r="C13" s="3000" t="s">
        <v>3575</v>
      </c>
      <c r="D13" s="3000" t="s">
        <v>3604</v>
      </c>
      <c r="E13" s="3000" t="s">
        <v>3603</v>
      </c>
      <c r="F13" s="3000" t="s">
        <v>3578</v>
      </c>
      <c r="G13" s="3000" t="s">
        <v>3577</v>
      </c>
      <c r="H13" s="3000">
        <v>3</v>
      </c>
      <c r="I13" s="3000">
        <v>77.11</v>
      </c>
    </row>
    <row r="14" spans="1:12" ht="36.75" customHeight="1">
      <c r="A14" s="2998">
        <v>12</v>
      </c>
      <c r="B14" s="3000" t="s">
        <v>3602</v>
      </c>
      <c r="C14" s="3000" t="s">
        <v>3575</v>
      </c>
      <c r="D14" s="3000" t="s">
        <v>3601</v>
      </c>
      <c r="E14" s="3000" t="s">
        <v>3600</v>
      </c>
      <c r="F14" s="3000" t="s">
        <v>3578</v>
      </c>
      <c r="G14" s="3000" t="s">
        <v>3577</v>
      </c>
      <c r="H14" s="3000">
        <v>3</v>
      </c>
      <c r="I14" s="3000">
        <v>77.11</v>
      </c>
    </row>
    <row r="15" spans="1:12" ht="36.75" customHeight="1">
      <c r="A15" s="2998">
        <v>13</v>
      </c>
      <c r="B15" s="3000" t="s">
        <v>3599</v>
      </c>
      <c r="C15" s="3000" t="s">
        <v>3575</v>
      </c>
      <c r="D15" s="3000" t="s">
        <v>3598</v>
      </c>
      <c r="E15" s="3000" t="s">
        <v>3597</v>
      </c>
      <c r="F15" s="3000" t="s">
        <v>3578</v>
      </c>
      <c r="G15" s="3000" t="s">
        <v>3577</v>
      </c>
      <c r="H15" s="3000">
        <v>3</v>
      </c>
      <c r="I15" s="3000">
        <v>76.680000000000007</v>
      </c>
    </row>
    <row r="16" spans="1:12" ht="36.75" customHeight="1">
      <c r="A16" s="2998">
        <v>14</v>
      </c>
      <c r="B16" s="3000" t="s">
        <v>3596</v>
      </c>
      <c r="C16" s="3000" t="s">
        <v>3575</v>
      </c>
      <c r="D16" s="3000" t="s">
        <v>3595</v>
      </c>
      <c r="E16" s="3000" t="s">
        <v>3594</v>
      </c>
      <c r="F16" s="3000" t="s">
        <v>3578</v>
      </c>
      <c r="G16" s="3000" t="s">
        <v>3577</v>
      </c>
      <c r="H16" s="3000">
        <v>4</v>
      </c>
      <c r="I16" s="3000">
        <v>107.34</v>
      </c>
    </row>
    <row r="17" spans="1:9" ht="36.75" customHeight="1">
      <c r="A17" s="2998">
        <v>15</v>
      </c>
      <c r="B17" s="3000" t="s">
        <v>3593</v>
      </c>
      <c r="C17" s="3000" t="s">
        <v>3575</v>
      </c>
      <c r="D17" s="3000" t="s">
        <v>3592</v>
      </c>
      <c r="E17" s="3000" t="s">
        <v>3591</v>
      </c>
      <c r="F17" s="3000" t="s">
        <v>3578</v>
      </c>
      <c r="G17" s="3000" t="s">
        <v>3577</v>
      </c>
      <c r="H17" s="3000">
        <v>4</v>
      </c>
      <c r="I17" s="3000">
        <v>106.36</v>
      </c>
    </row>
    <row r="18" spans="1:9" ht="36.75" customHeight="1">
      <c r="A18" s="2998">
        <v>16</v>
      </c>
      <c r="B18" s="3000" t="s">
        <v>3590</v>
      </c>
      <c r="C18" s="3000" t="s">
        <v>3575</v>
      </c>
      <c r="D18" s="3000" t="s">
        <v>3589</v>
      </c>
      <c r="E18" s="3000" t="s">
        <v>3588</v>
      </c>
      <c r="F18" s="3000" t="s">
        <v>3578</v>
      </c>
      <c r="G18" s="3000" t="s">
        <v>3577</v>
      </c>
      <c r="H18" s="3000">
        <v>4</v>
      </c>
      <c r="I18" s="3000">
        <v>106.03</v>
      </c>
    </row>
    <row r="19" spans="1:9" ht="36.75" customHeight="1">
      <c r="A19" s="2998">
        <v>17</v>
      </c>
      <c r="B19" s="3000" t="s">
        <v>3587</v>
      </c>
      <c r="C19" s="3000" t="s">
        <v>3575</v>
      </c>
      <c r="D19" s="3000" t="s">
        <v>3586</v>
      </c>
      <c r="E19" s="3000" t="s">
        <v>3585</v>
      </c>
      <c r="F19" s="3000" t="s">
        <v>3578</v>
      </c>
      <c r="G19" s="3000" t="s">
        <v>3577</v>
      </c>
      <c r="H19" s="3000">
        <v>4</v>
      </c>
      <c r="I19" s="3000">
        <v>100.47</v>
      </c>
    </row>
    <row r="20" spans="1:9" ht="36.75" customHeight="1">
      <c r="A20" s="2998">
        <v>18</v>
      </c>
      <c r="B20" s="3000" t="s">
        <v>3584</v>
      </c>
      <c r="C20" s="3000" t="s">
        <v>3575</v>
      </c>
      <c r="D20" s="3000" t="s">
        <v>3583</v>
      </c>
      <c r="E20" s="3000" t="s">
        <v>3582</v>
      </c>
      <c r="F20" s="3000" t="s">
        <v>3578</v>
      </c>
      <c r="G20" s="3000" t="s">
        <v>3577</v>
      </c>
      <c r="H20" s="3000">
        <v>4</v>
      </c>
      <c r="I20" s="3000">
        <v>55.09</v>
      </c>
    </row>
    <row r="21" spans="1:9" ht="36.75" customHeight="1">
      <c r="A21" s="2998">
        <v>19</v>
      </c>
      <c r="B21" s="3000" t="s">
        <v>3581</v>
      </c>
      <c r="C21" s="3000" t="s">
        <v>3575</v>
      </c>
      <c r="D21" s="3000" t="s">
        <v>3580</v>
      </c>
      <c r="E21" s="3000" t="s">
        <v>3579</v>
      </c>
      <c r="F21" s="3000" t="s">
        <v>3578</v>
      </c>
      <c r="G21" s="3000" t="s">
        <v>3577</v>
      </c>
      <c r="H21" s="3000">
        <v>4</v>
      </c>
      <c r="I21" s="3000">
        <v>76.13</v>
      </c>
    </row>
    <row r="22" spans="1:9" ht="36.75" customHeight="1">
      <c r="A22" s="2998">
        <v>20</v>
      </c>
      <c r="B22" s="3000" t="s">
        <v>3576</v>
      </c>
      <c r="C22" s="3000" t="s">
        <v>3575</v>
      </c>
      <c r="D22" s="3000" t="s">
        <v>3574</v>
      </c>
      <c r="E22" s="3000" t="s">
        <v>3573</v>
      </c>
      <c r="F22" s="3000" t="s">
        <v>3327</v>
      </c>
      <c r="G22" s="3000" t="s">
        <v>3270</v>
      </c>
      <c r="H22" s="3000">
        <v>4</v>
      </c>
      <c r="I22" s="3000">
        <v>73.86</v>
      </c>
    </row>
    <row r="23" spans="1:9" ht="36.75" customHeight="1">
      <c r="A23" s="2998">
        <v>21</v>
      </c>
      <c r="B23" s="3000" t="s">
        <v>3572</v>
      </c>
      <c r="C23" s="3000" t="s">
        <v>3268</v>
      </c>
      <c r="D23" s="3000" t="s">
        <v>3571</v>
      </c>
      <c r="E23" s="3000" t="s">
        <v>3570</v>
      </c>
      <c r="F23" s="3000" t="s">
        <v>3327</v>
      </c>
      <c r="G23" s="3000" t="s">
        <v>3270</v>
      </c>
      <c r="H23" s="3000">
        <v>4</v>
      </c>
      <c r="I23" s="3000">
        <v>73.86</v>
      </c>
    </row>
    <row r="24" spans="1:9" ht="36.75" customHeight="1">
      <c r="A24" s="2998">
        <v>22</v>
      </c>
      <c r="B24" s="3000" t="s">
        <v>3569</v>
      </c>
      <c r="C24" s="3000" t="s">
        <v>3268</v>
      </c>
      <c r="D24" s="3000" t="s">
        <v>3568</v>
      </c>
      <c r="E24" s="3000" t="s">
        <v>3567</v>
      </c>
      <c r="F24" s="3000" t="s">
        <v>3327</v>
      </c>
      <c r="G24" s="3000" t="s">
        <v>3270</v>
      </c>
      <c r="H24" s="3000">
        <v>4</v>
      </c>
      <c r="I24" s="3000">
        <v>73.86</v>
      </c>
    </row>
    <row r="25" spans="1:9" ht="36.75" customHeight="1">
      <c r="A25" s="2998">
        <v>23</v>
      </c>
      <c r="B25" s="3000" t="s">
        <v>3566</v>
      </c>
      <c r="C25" s="3000" t="s">
        <v>3268</v>
      </c>
      <c r="D25" s="3000" t="s">
        <v>3565</v>
      </c>
      <c r="E25" s="3000" t="s">
        <v>3564</v>
      </c>
      <c r="F25" s="3000" t="s">
        <v>3327</v>
      </c>
      <c r="G25" s="3000" t="s">
        <v>3270</v>
      </c>
      <c r="H25" s="3000">
        <v>4</v>
      </c>
      <c r="I25" s="3000">
        <v>73.86</v>
      </c>
    </row>
    <row r="26" spans="1:9" ht="36.75" customHeight="1">
      <c r="A26" s="2998">
        <v>24</v>
      </c>
      <c r="B26" s="3000" t="s">
        <v>3563</v>
      </c>
      <c r="C26" s="3000" t="s">
        <v>3268</v>
      </c>
      <c r="D26" s="3000" t="s">
        <v>3562</v>
      </c>
      <c r="E26" s="3000" t="s">
        <v>3561</v>
      </c>
      <c r="F26" s="3000" t="s">
        <v>3327</v>
      </c>
      <c r="G26" s="3000" t="s">
        <v>3270</v>
      </c>
      <c r="H26" s="3000">
        <v>4</v>
      </c>
      <c r="I26" s="3000">
        <v>73.45</v>
      </c>
    </row>
    <row r="27" spans="1:9" ht="36.75" customHeight="1">
      <c r="A27" s="2998">
        <v>25</v>
      </c>
      <c r="B27" s="3000" t="s">
        <v>3560</v>
      </c>
      <c r="C27" s="3000" t="s">
        <v>3268</v>
      </c>
      <c r="D27" s="3000" t="s">
        <v>3559</v>
      </c>
      <c r="E27" s="3000" t="s">
        <v>3558</v>
      </c>
      <c r="F27" s="3000" t="s">
        <v>3327</v>
      </c>
      <c r="G27" s="3000" t="s">
        <v>3270</v>
      </c>
      <c r="H27" s="3000">
        <v>5</v>
      </c>
      <c r="I27" s="3000">
        <v>108.69</v>
      </c>
    </row>
    <row r="28" spans="1:9" ht="36.75" customHeight="1">
      <c r="A28" s="2998">
        <v>26</v>
      </c>
      <c r="B28" s="3000" t="s">
        <v>3557</v>
      </c>
      <c r="C28" s="3000" t="s">
        <v>3268</v>
      </c>
      <c r="D28" s="3000" t="s">
        <v>3556</v>
      </c>
      <c r="E28" s="3000" t="s">
        <v>3555</v>
      </c>
      <c r="F28" s="3000" t="s">
        <v>3327</v>
      </c>
      <c r="G28" s="3000" t="s">
        <v>3270</v>
      </c>
      <c r="H28" s="3000">
        <v>5</v>
      </c>
      <c r="I28" s="3000">
        <v>107.7</v>
      </c>
    </row>
    <row r="29" spans="1:9" ht="36.75" customHeight="1">
      <c r="A29" s="2998">
        <v>27</v>
      </c>
      <c r="B29" s="3000" t="s">
        <v>3554</v>
      </c>
      <c r="C29" s="3000" t="s">
        <v>3268</v>
      </c>
      <c r="D29" s="3000" t="s">
        <v>3553</v>
      </c>
      <c r="E29" s="3000" t="s">
        <v>3552</v>
      </c>
      <c r="F29" s="3000" t="s">
        <v>3327</v>
      </c>
      <c r="G29" s="3000" t="s">
        <v>3270</v>
      </c>
      <c r="H29" s="3000">
        <v>5</v>
      </c>
      <c r="I29" s="3000">
        <v>107.37</v>
      </c>
    </row>
    <row r="30" spans="1:9" ht="36.75" customHeight="1">
      <c r="A30" s="2998">
        <v>28</v>
      </c>
      <c r="B30" s="3000" t="s">
        <v>3551</v>
      </c>
      <c r="C30" s="3000" t="s">
        <v>3268</v>
      </c>
      <c r="D30" s="3000" t="s">
        <v>3550</v>
      </c>
      <c r="E30" s="3000" t="s">
        <v>3549</v>
      </c>
      <c r="F30" s="3000" t="s">
        <v>3327</v>
      </c>
      <c r="G30" s="3000" t="s">
        <v>3270</v>
      </c>
      <c r="H30" s="3000">
        <v>5</v>
      </c>
      <c r="I30" s="3000">
        <v>101.74</v>
      </c>
    </row>
    <row r="31" spans="1:9" ht="36.75" customHeight="1">
      <c r="A31" s="2998">
        <v>29</v>
      </c>
      <c r="B31" s="3000" t="s">
        <v>3548</v>
      </c>
      <c r="C31" s="3000" t="s">
        <v>3268</v>
      </c>
      <c r="D31" s="3000" t="s">
        <v>3547</v>
      </c>
      <c r="E31" s="3000" t="s">
        <v>3546</v>
      </c>
      <c r="F31" s="3000" t="s">
        <v>3327</v>
      </c>
      <c r="G31" s="3000" t="s">
        <v>3270</v>
      </c>
      <c r="H31" s="3000">
        <v>5</v>
      </c>
      <c r="I31" s="3000">
        <v>55.79</v>
      </c>
    </row>
    <row r="32" spans="1:9" ht="36.75" customHeight="1">
      <c r="A32" s="2998">
        <v>30</v>
      </c>
      <c r="B32" s="3000" t="s">
        <v>3545</v>
      </c>
      <c r="C32" s="3000" t="s">
        <v>3268</v>
      </c>
      <c r="D32" s="3000" t="s">
        <v>3544</v>
      </c>
      <c r="E32" s="3000" t="s">
        <v>3543</v>
      </c>
      <c r="F32" s="3000" t="s">
        <v>3344</v>
      </c>
      <c r="G32" s="3000" t="s">
        <v>3343</v>
      </c>
      <c r="H32" s="3000">
        <v>5</v>
      </c>
      <c r="I32" s="3000">
        <v>77.09</v>
      </c>
    </row>
    <row r="33" spans="1:9" ht="36.75" customHeight="1">
      <c r="A33" s="2998">
        <v>31</v>
      </c>
      <c r="B33" s="3000" t="s">
        <v>3542</v>
      </c>
      <c r="C33" s="3000" t="s">
        <v>3347</v>
      </c>
      <c r="D33" s="3000" t="s">
        <v>3541</v>
      </c>
      <c r="E33" s="3000" t="s">
        <v>3540</v>
      </c>
      <c r="F33" s="3000" t="s">
        <v>3344</v>
      </c>
      <c r="G33" s="3000" t="s">
        <v>3343</v>
      </c>
      <c r="H33" s="3000">
        <v>5</v>
      </c>
      <c r="I33" s="3000">
        <v>74.790000000000006</v>
      </c>
    </row>
    <row r="34" spans="1:9" ht="36.75" customHeight="1">
      <c r="A34" s="2998">
        <v>32</v>
      </c>
      <c r="B34" s="3000" t="s">
        <v>3539</v>
      </c>
      <c r="C34" s="3000" t="s">
        <v>3347</v>
      </c>
      <c r="D34" s="3000" t="s">
        <v>3538</v>
      </c>
      <c r="E34" s="3000" t="s">
        <v>3537</v>
      </c>
      <c r="F34" s="3000" t="s">
        <v>3344</v>
      </c>
      <c r="G34" s="3000" t="s">
        <v>3343</v>
      </c>
      <c r="H34" s="3000">
        <v>5</v>
      </c>
      <c r="I34" s="3000">
        <v>74.790000000000006</v>
      </c>
    </row>
    <row r="35" spans="1:9" ht="36.75" customHeight="1">
      <c r="A35" s="2998">
        <v>33</v>
      </c>
      <c r="B35" s="3000" t="s">
        <v>3536</v>
      </c>
      <c r="C35" s="3000" t="s">
        <v>3347</v>
      </c>
      <c r="D35" s="3000" t="s">
        <v>3535</v>
      </c>
      <c r="E35" s="3000" t="s">
        <v>3534</v>
      </c>
      <c r="F35" s="3000" t="s">
        <v>3344</v>
      </c>
      <c r="G35" s="3000" t="s">
        <v>3343</v>
      </c>
      <c r="H35" s="3000">
        <v>5</v>
      </c>
      <c r="I35" s="3000">
        <v>74.790000000000006</v>
      </c>
    </row>
    <row r="36" spans="1:9" ht="36.75" customHeight="1">
      <c r="A36" s="2998">
        <v>34</v>
      </c>
      <c r="B36" s="3000" t="s">
        <v>3533</v>
      </c>
      <c r="C36" s="3000" t="s">
        <v>3347</v>
      </c>
      <c r="D36" s="3000" t="s">
        <v>3532</v>
      </c>
      <c r="E36" s="3000" t="s">
        <v>3531</v>
      </c>
      <c r="F36" s="3000" t="s">
        <v>3344</v>
      </c>
      <c r="G36" s="3000" t="s">
        <v>3343</v>
      </c>
      <c r="H36" s="3000">
        <v>5</v>
      </c>
      <c r="I36" s="3000">
        <v>74.790000000000006</v>
      </c>
    </row>
    <row r="37" spans="1:9" ht="36.75" customHeight="1">
      <c r="A37" s="2998">
        <v>35</v>
      </c>
      <c r="B37" s="3000" t="s">
        <v>3530</v>
      </c>
      <c r="C37" s="3000" t="s">
        <v>3347</v>
      </c>
      <c r="D37" s="3000" t="s">
        <v>3529</v>
      </c>
      <c r="E37" s="3000" t="s">
        <v>3528</v>
      </c>
      <c r="F37" s="3000" t="s">
        <v>3344</v>
      </c>
      <c r="G37" s="3000" t="s">
        <v>3343</v>
      </c>
      <c r="H37" s="3000">
        <v>5</v>
      </c>
      <c r="I37" s="3000">
        <v>74.38</v>
      </c>
    </row>
    <row r="38" spans="1:9" ht="36.75" customHeight="1">
      <c r="A38" s="2998">
        <v>36</v>
      </c>
      <c r="B38" s="3000" t="s">
        <v>3527</v>
      </c>
      <c r="C38" s="3000" t="s">
        <v>3347</v>
      </c>
      <c r="D38" s="3000" t="s">
        <v>3526</v>
      </c>
      <c r="E38" s="3000" t="s">
        <v>3525</v>
      </c>
      <c r="F38" s="3000" t="s">
        <v>3344</v>
      </c>
      <c r="G38" s="3000" t="s">
        <v>3343</v>
      </c>
      <c r="H38" s="3000">
        <v>6</v>
      </c>
      <c r="I38" s="3000">
        <v>108.69</v>
      </c>
    </row>
    <row r="39" spans="1:9" ht="36.75" customHeight="1">
      <c r="A39" s="2998">
        <v>37</v>
      </c>
      <c r="B39" s="3000" t="s">
        <v>3524</v>
      </c>
      <c r="C39" s="3000" t="s">
        <v>3347</v>
      </c>
      <c r="D39" s="3000" t="s">
        <v>3523</v>
      </c>
      <c r="E39" s="3000" t="s">
        <v>3522</v>
      </c>
      <c r="F39" s="3000" t="s">
        <v>3344</v>
      </c>
      <c r="G39" s="3000" t="s">
        <v>3343</v>
      </c>
      <c r="H39" s="3000">
        <v>6</v>
      </c>
      <c r="I39" s="3000">
        <v>107.7</v>
      </c>
    </row>
    <row r="40" spans="1:9" ht="36.75" customHeight="1">
      <c r="A40" s="2998">
        <v>38</v>
      </c>
      <c r="B40" s="3000" t="s">
        <v>3521</v>
      </c>
      <c r="C40" s="3000" t="s">
        <v>3347</v>
      </c>
      <c r="D40" s="3000" t="s">
        <v>3520</v>
      </c>
      <c r="E40" s="3000" t="s">
        <v>3519</v>
      </c>
      <c r="F40" s="3000" t="s">
        <v>3344</v>
      </c>
      <c r="G40" s="3000" t="s">
        <v>3343</v>
      </c>
      <c r="H40" s="3000">
        <v>6</v>
      </c>
      <c r="I40" s="3000">
        <v>107.37</v>
      </c>
    </row>
    <row r="41" spans="1:9" ht="36.75" customHeight="1">
      <c r="A41" s="2998">
        <v>39</v>
      </c>
      <c r="B41" s="3000" t="s">
        <v>3518</v>
      </c>
      <c r="C41" s="3000" t="s">
        <v>3347</v>
      </c>
      <c r="D41" s="3000" t="s">
        <v>3517</v>
      </c>
      <c r="E41" s="3000" t="s">
        <v>3516</v>
      </c>
      <c r="F41" s="3000" t="s">
        <v>3344</v>
      </c>
      <c r="G41" s="3000" t="s">
        <v>3343</v>
      </c>
      <c r="H41" s="3000">
        <v>6</v>
      </c>
      <c r="I41" s="3000">
        <v>101.74</v>
      </c>
    </row>
    <row r="42" spans="1:9" ht="36.75" customHeight="1">
      <c r="A42" s="2998">
        <v>40</v>
      </c>
      <c r="B42" s="3000" t="s">
        <v>3515</v>
      </c>
      <c r="C42" s="3000" t="s">
        <v>3347</v>
      </c>
      <c r="D42" s="3000" t="s">
        <v>3514</v>
      </c>
      <c r="E42" s="3000" t="s">
        <v>3513</v>
      </c>
      <c r="F42" s="3000" t="s">
        <v>3344</v>
      </c>
      <c r="G42" s="3000" t="s">
        <v>3343</v>
      </c>
      <c r="H42" s="3000">
        <v>6</v>
      </c>
      <c r="I42" s="3000">
        <v>55.78</v>
      </c>
    </row>
    <row r="43" spans="1:9" ht="36.75" customHeight="1">
      <c r="A43" s="2998">
        <v>41</v>
      </c>
      <c r="B43" s="3000" t="s">
        <v>3512</v>
      </c>
      <c r="C43" s="3000" t="s">
        <v>3347</v>
      </c>
      <c r="D43" s="3000" t="s">
        <v>3511</v>
      </c>
      <c r="E43" s="3000" t="s">
        <v>3510</v>
      </c>
      <c r="F43" s="3000" t="s">
        <v>3344</v>
      </c>
      <c r="G43" s="3000" t="s">
        <v>3343</v>
      </c>
      <c r="H43" s="3000">
        <v>6</v>
      </c>
      <c r="I43" s="3000">
        <v>77.09</v>
      </c>
    </row>
    <row r="44" spans="1:9" ht="36.75" customHeight="1">
      <c r="A44" s="2998">
        <v>42</v>
      </c>
      <c r="B44" s="3000" t="s">
        <v>3509</v>
      </c>
      <c r="C44" s="3000" t="s">
        <v>3347</v>
      </c>
      <c r="D44" s="3000" t="s">
        <v>3508</v>
      </c>
      <c r="E44" s="3000" t="s">
        <v>3507</v>
      </c>
      <c r="F44" s="3000" t="s">
        <v>3344</v>
      </c>
      <c r="G44" s="3000" t="s">
        <v>3343</v>
      </c>
      <c r="H44" s="3000">
        <v>6</v>
      </c>
      <c r="I44" s="3000">
        <v>74.790000000000006</v>
      </c>
    </row>
    <row r="45" spans="1:9" ht="36.75" customHeight="1">
      <c r="A45" s="2998">
        <v>43</v>
      </c>
      <c r="B45" s="3000" t="s">
        <v>3506</v>
      </c>
      <c r="C45" s="3000" t="s">
        <v>3347</v>
      </c>
      <c r="D45" s="3000" t="s">
        <v>3505</v>
      </c>
      <c r="E45" s="3000" t="s">
        <v>3504</v>
      </c>
      <c r="F45" s="3000" t="s">
        <v>3327</v>
      </c>
      <c r="G45" s="3000" t="s">
        <v>3270</v>
      </c>
      <c r="H45" s="3000">
        <v>6</v>
      </c>
      <c r="I45" s="3000">
        <v>74.790000000000006</v>
      </c>
    </row>
    <row r="46" spans="1:9" ht="36.75" customHeight="1">
      <c r="A46" s="2998">
        <v>44</v>
      </c>
      <c r="B46" s="3000" t="s">
        <v>3503</v>
      </c>
      <c r="C46" s="3000" t="s">
        <v>3268</v>
      </c>
      <c r="D46" s="3000" t="s">
        <v>3502</v>
      </c>
      <c r="E46" s="3000" t="s">
        <v>3501</v>
      </c>
      <c r="F46" s="3000" t="s">
        <v>3327</v>
      </c>
      <c r="G46" s="3000" t="s">
        <v>3270</v>
      </c>
      <c r="H46" s="3000">
        <v>6</v>
      </c>
      <c r="I46" s="3000">
        <v>74.790000000000006</v>
      </c>
    </row>
    <row r="47" spans="1:9" ht="36.75" customHeight="1">
      <c r="A47" s="2998">
        <v>45</v>
      </c>
      <c r="B47" s="3000" t="s">
        <v>3500</v>
      </c>
      <c r="C47" s="3000" t="s">
        <v>3268</v>
      </c>
      <c r="D47" s="3000" t="s">
        <v>3499</v>
      </c>
      <c r="E47" s="3000" t="s">
        <v>3498</v>
      </c>
      <c r="F47" s="3000" t="s">
        <v>3327</v>
      </c>
      <c r="G47" s="3000" t="s">
        <v>3270</v>
      </c>
      <c r="H47" s="3000">
        <v>6</v>
      </c>
      <c r="I47" s="3000">
        <v>74.790000000000006</v>
      </c>
    </row>
    <row r="48" spans="1:9" ht="36.75" customHeight="1">
      <c r="A48" s="2998">
        <v>46</v>
      </c>
      <c r="B48" s="3000" t="s">
        <v>3497</v>
      </c>
      <c r="C48" s="3000" t="s">
        <v>3268</v>
      </c>
      <c r="D48" s="3000" t="s">
        <v>3496</v>
      </c>
      <c r="E48" s="3000" t="s">
        <v>3495</v>
      </c>
      <c r="F48" s="3000" t="s">
        <v>3327</v>
      </c>
      <c r="G48" s="3000" t="s">
        <v>3270</v>
      </c>
      <c r="H48" s="3000">
        <v>6</v>
      </c>
      <c r="I48" s="3000">
        <v>74.38</v>
      </c>
    </row>
    <row r="49" spans="1:9" ht="36.75" customHeight="1">
      <c r="A49" s="2998">
        <v>47</v>
      </c>
      <c r="B49" s="3000" t="s">
        <v>3494</v>
      </c>
      <c r="C49" s="3000" t="s">
        <v>3268</v>
      </c>
      <c r="D49" s="3000" t="s">
        <v>3493</v>
      </c>
      <c r="E49" s="3000" t="s">
        <v>3492</v>
      </c>
      <c r="F49" s="3000" t="s">
        <v>3327</v>
      </c>
      <c r="G49" s="3000" t="s">
        <v>3270</v>
      </c>
      <c r="H49" s="3000">
        <v>7</v>
      </c>
      <c r="I49" s="3000">
        <v>108.69</v>
      </c>
    </row>
    <row r="50" spans="1:9" ht="36.75" customHeight="1">
      <c r="A50" s="2998">
        <v>48</v>
      </c>
      <c r="B50" s="3000" t="s">
        <v>3491</v>
      </c>
      <c r="C50" s="3000" t="s">
        <v>3268</v>
      </c>
      <c r="D50" s="3000" t="s">
        <v>3490</v>
      </c>
      <c r="E50" s="3000" t="s">
        <v>3489</v>
      </c>
      <c r="F50" s="3000" t="s">
        <v>3327</v>
      </c>
      <c r="G50" s="3000" t="s">
        <v>3270</v>
      </c>
      <c r="H50" s="3000">
        <v>7</v>
      </c>
      <c r="I50" s="3000">
        <v>107.7</v>
      </c>
    </row>
    <row r="51" spans="1:9" ht="36.75" customHeight="1">
      <c r="A51" s="2998">
        <v>49</v>
      </c>
      <c r="B51" s="3000" t="s">
        <v>3488</v>
      </c>
      <c r="C51" s="3000" t="s">
        <v>3268</v>
      </c>
      <c r="D51" s="3000" t="s">
        <v>3487</v>
      </c>
      <c r="E51" s="3000" t="s">
        <v>3486</v>
      </c>
      <c r="F51" s="3000" t="s">
        <v>3327</v>
      </c>
      <c r="G51" s="3000" t="s">
        <v>3270</v>
      </c>
      <c r="H51" s="3000">
        <v>7</v>
      </c>
      <c r="I51" s="3000">
        <v>107.37</v>
      </c>
    </row>
    <row r="52" spans="1:9" ht="36.75" customHeight="1">
      <c r="A52" s="2998">
        <v>50</v>
      </c>
      <c r="B52" s="3000" t="s">
        <v>3485</v>
      </c>
      <c r="C52" s="3000" t="s">
        <v>3268</v>
      </c>
      <c r="D52" s="3000" t="s">
        <v>3484</v>
      </c>
      <c r="E52" s="3000" t="s">
        <v>3483</v>
      </c>
      <c r="F52" s="3000" t="s">
        <v>3327</v>
      </c>
      <c r="G52" s="3000" t="s">
        <v>3270</v>
      </c>
      <c r="H52" s="3000">
        <v>7</v>
      </c>
      <c r="I52" s="3000">
        <v>101.74</v>
      </c>
    </row>
    <row r="53" spans="1:9" ht="36.75" customHeight="1">
      <c r="A53" s="2998">
        <v>51</v>
      </c>
      <c r="B53" s="3000" t="s">
        <v>3482</v>
      </c>
      <c r="C53" s="3000" t="s">
        <v>3268</v>
      </c>
      <c r="D53" s="3000" t="s">
        <v>3481</v>
      </c>
      <c r="E53" s="3000" t="s">
        <v>3480</v>
      </c>
      <c r="F53" s="3000" t="s">
        <v>3327</v>
      </c>
      <c r="G53" s="3000" t="s">
        <v>3270</v>
      </c>
      <c r="H53" s="3000">
        <v>7</v>
      </c>
      <c r="I53" s="3000">
        <v>55.78</v>
      </c>
    </row>
    <row r="54" spans="1:9" ht="36.75" customHeight="1">
      <c r="A54" s="2998">
        <v>52</v>
      </c>
      <c r="B54" s="3000" t="s">
        <v>3479</v>
      </c>
      <c r="C54" s="3000" t="s">
        <v>3268</v>
      </c>
      <c r="D54" s="3000" t="s">
        <v>3478</v>
      </c>
      <c r="E54" s="3000" t="s">
        <v>3477</v>
      </c>
      <c r="F54" s="3000" t="s">
        <v>3327</v>
      </c>
      <c r="G54" s="3000" t="s">
        <v>3270</v>
      </c>
      <c r="H54" s="3000">
        <v>7</v>
      </c>
      <c r="I54" s="3000">
        <v>77.09</v>
      </c>
    </row>
    <row r="55" spans="1:9" ht="36.75" customHeight="1">
      <c r="A55" s="2998">
        <v>53</v>
      </c>
      <c r="B55" s="3000" t="s">
        <v>3476</v>
      </c>
      <c r="C55" s="3000" t="s">
        <v>3268</v>
      </c>
      <c r="D55" s="3000" t="s">
        <v>3475</v>
      </c>
      <c r="E55" s="3000" t="s">
        <v>3474</v>
      </c>
      <c r="F55" s="3000" t="s">
        <v>3327</v>
      </c>
      <c r="G55" s="3000" t="s">
        <v>3270</v>
      </c>
      <c r="H55" s="3000">
        <v>7</v>
      </c>
      <c r="I55" s="3000">
        <v>74.790000000000006</v>
      </c>
    </row>
    <row r="56" spans="1:9" ht="36.75" customHeight="1">
      <c r="A56" s="2998">
        <v>54</v>
      </c>
      <c r="B56" s="3000" t="s">
        <v>3473</v>
      </c>
      <c r="C56" s="3000" t="s">
        <v>3268</v>
      </c>
      <c r="D56" s="3000" t="s">
        <v>3472</v>
      </c>
      <c r="E56" s="3000" t="s">
        <v>3471</v>
      </c>
      <c r="F56" s="3000" t="s">
        <v>3327</v>
      </c>
      <c r="G56" s="3000" t="s">
        <v>3270</v>
      </c>
      <c r="H56" s="3000">
        <v>7</v>
      </c>
      <c r="I56" s="3000">
        <v>74.790000000000006</v>
      </c>
    </row>
    <row r="57" spans="1:9" ht="36.75" customHeight="1">
      <c r="A57" s="2998">
        <v>55</v>
      </c>
      <c r="B57" s="3000" t="s">
        <v>3470</v>
      </c>
      <c r="C57" s="3000" t="s">
        <v>3268</v>
      </c>
      <c r="D57" s="3000" t="s">
        <v>3469</v>
      </c>
      <c r="E57" s="3000" t="s">
        <v>3468</v>
      </c>
      <c r="F57" s="3000" t="s">
        <v>3327</v>
      </c>
      <c r="G57" s="3000" t="s">
        <v>3270</v>
      </c>
      <c r="H57" s="3000">
        <v>7</v>
      </c>
      <c r="I57" s="3000">
        <v>74.790000000000006</v>
      </c>
    </row>
    <row r="58" spans="1:9" ht="36.75" customHeight="1">
      <c r="A58" s="2998">
        <v>56</v>
      </c>
      <c r="B58" s="3000" t="s">
        <v>3467</v>
      </c>
      <c r="C58" s="3000" t="s">
        <v>3268</v>
      </c>
      <c r="D58" s="3000" t="s">
        <v>3466</v>
      </c>
      <c r="E58" s="3000" t="s">
        <v>3465</v>
      </c>
      <c r="F58" s="3000" t="s">
        <v>3327</v>
      </c>
      <c r="G58" s="3000" t="s">
        <v>3270</v>
      </c>
      <c r="H58" s="3000">
        <v>7</v>
      </c>
      <c r="I58" s="3000">
        <v>74.790000000000006</v>
      </c>
    </row>
    <row r="59" spans="1:9" ht="36.75" customHeight="1">
      <c r="A59" s="2998">
        <v>57</v>
      </c>
      <c r="B59" s="3000" t="s">
        <v>3464</v>
      </c>
      <c r="C59" s="3000" t="s">
        <v>3268</v>
      </c>
      <c r="D59" s="3000" t="s">
        <v>3463</v>
      </c>
      <c r="E59" s="3000" t="s">
        <v>3462</v>
      </c>
      <c r="F59" s="3000" t="s">
        <v>3327</v>
      </c>
      <c r="G59" s="3000" t="s">
        <v>3270</v>
      </c>
      <c r="H59" s="3000">
        <v>7</v>
      </c>
      <c r="I59" s="3000">
        <v>74.38</v>
      </c>
    </row>
    <row r="60" spans="1:9" ht="36.75" customHeight="1">
      <c r="A60" s="2998">
        <v>58</v>
      </c>
      <c r="B60" s="3000" t="s">
        <v>3658</v>
      </c>
      <c r="C60" s="3000" t="s">
        <v>3268</v>
      </c>
      <c r="D60" s="3000" t="s">
        <v>3461</v>
      </c>
      <c r="E60" s="3000" t="s">
        <v>3460</v>
      </c>
      <c r="F60" s="3000" t="s">
        <v>3327</v>
      </c>
      <c r="G60" s="3000" t="s">
        <v>3270</v>
      </c>
      <c r="H60" s="3000">
        <v>8</v>
      </c>
      <c r="I60" s="3000">
        <v>108.69</v>
      </c>
    </row>
    <row r="61" spans="1:9" ht="36.75" customHeight="1">
      <c r="A61" s="2998">
        <v>59</v>
      </c>
      <c r="B61" s="3000" t="s">
        <v>3459</v>
      </c>
      <c r="C61" s="3000" t="s">
        <v>3268</v>
      </c>
      <c r="D61" s="3000" t="s">
        <v>3458</v>
      </c>
      <c r="E61" s="3000" t="s">
        <v>3457</v>
      </c>
      <c r="F61" s="3000" t="s">
        <v>3327</v>
      </c>
      <c r="G61" s="3000" t="s">
        <v>3270</v>
      </c>
      <c r="H61" s="3000">
        <v>8</v>
      </c>
      <c r="I61" s="3000">
        <v>107.7</v>
      </c>
    </row>
    <row r="62" spans="1:9" ht="36.75" customHeight="1">
      <c r="A62" s="2998">
        <v>60</v>
      </c>
      <c r="B62" s="3000" t="s">
        <v>3456</v>
      </c>
      <c r="C62" s="3000" t="s">
        <v>3268</v>
      </c>
      <c r="D62" s="3000" t="s">
        <v>3455</v>
      </c>
      <c r="E62" s="3000" t="s">
        <v>3454</v>
      </c>
      <c r="F62" s="3000" t="s">
        <v>3327</v>
      </c>
      <c r="G62" s="3000" t="s">
        <v>3270</v>
      </c>
      <c r="H62" s="3000">
        <v>8</v>
      </c>
      <c r="I62" s="3000">
        <v>107.37</v>
      </c>
    </row>
    <row r="63" spans="1:9" ht="36.75" customHeight="1">
      <c r="A63" s="2998">
        <v>61</v>
      </c>
      <c r="B63" s="3000" t="s">
        <v>3453</v>
      </c>
      <c r="C63" s="3000" t="s">
        <v>3268</v>
      </c>
      <c r="D63" s="3000" t="s">
        <v>3452</v>
      </c>
      <c r="E63" s="3000" t="s">
        <v>3451</v>
      </c>
      <c r="F63" s="3000" t="s">
        <v>3327</v>
      </c>
      <c r="G63" s="3000" t="s">
        <v>3270</v>
      </c>
      <c r="H63" s="3000">
        <v>8</v>
      </c>
      <c r="I63" s="3000">
        <v>101.74</v>
      </c>
    </row>
    <row r="64" spans="1:9" ht="36.75" customHeight="1">
      <c r="A64" s="2998">
        <v>62</v>
      </c>
      <c r="B64" s="3000" t="s">
        <v>3450</v>
      </c>
      <c r="C64" s="3000" t="s">
        <v>3268</v>
      </c>
      <c r="D64" s="3000" t="s">
        <v>3449</v>
      </c>
      <c r="E64" s="3000" t="s">
        <v>3448</v>
      </c>
      <c r="F64" s="3000" t="s">
        <v>3327</v>
      </c>
      <c r="G64" s="3000" t="s">
        <v>3270</v>
      </c>
      <c r="H64" s="3000">
        <v>8</v>
      </c>
      <c r="I64" s="3000">
        <v>55.78</v>
      </c>
    </row>
    <row r="65" spans="1:9" ht="36.75" customHeight="1">
      <c r="A65" s="2998">
        <v>63</v>
      </c>
      <c r="B65" s="3000" t="s">
        <v>3447</v>
      </c>
      <c r="C65" s="3000" t="s">
        <v>3268</v>
      </c>
      <c r="D65" s="3000" t="s">
        <v>3446</v>
      </c>
      <c r="E65" s="3000" t="s">
        <v>3445</v>
      </c>
      <c r="F65" s="3000" t="s">
        <v>3327</v>
      </c>
      <c r="G65" s="3000" t="s">
        <v>3270</v>
      </c>
      <c r="H65" s="3000">
        <v>8</v>
      </c>
      <c r="I65" s="3000">
        <v>77.09</v>
      </c>
    </row>
    <row r="66" spans="1:9" ht="36.75" customHeight="1">
      <c r="A66" s="2998">
        <v>64</v>
      </c>
      <c r="B66" s="3000" t="s">
        <v>3444</v>
      </c>
      <c r="C66" s="3000" t="s">
        <v>3268</v>
      </c>
      <c r="D66" s="3000" t="s">
        <v>3443</v>
      </c>
      <c r="E66" s="3000" t="s">
        <v>3442</v>
      </c>
      <c r="F66" s="3000" t="s">
        <v>3327</v>
      </c>
      <c r="G66" s="3000" t="s">
        <v>3270</v>
      </c>
      <c r="H66" s="3000">
        <v>8</v>
      </c>
      <c r="I66" s="3000">
        <v>74.790000000000006</v>
      </c>
    </row>
    <row r="67" spans="1:9" ht="36.75" customHeight="1">
      <c r="A67" s="2998">
        <v>65</v>
      </c>
      <c r="B67" s="3000" t="s">
        <v>3441</v>
      </c>
      <c r="C67" s="3000" t="s">
        <v>3268</v>
      </c>
      <c r="D67" s="3000" t="s">
        <v>3440</v>
      </c>
      <c r="E67" s="3000" t="s">
        <v>3439</v>
      </c>
      <c r="F67" s="3000" t="s">
        <v>3327</v>
      </c>
      <c r="G67" s="3000" t="s">
        <v>3270</v>
      </c>
      <c r="H67" s="3000">
        <v>8</v>
      </c>
      <c r="I67" s="3000">
        <v>74.790000000000006</v>
      </c>
    </row>
    <row r="68" spans="1:9" ht="36.75" customHeight="1">
      <c r="A68" s="2998">
        <v>66</v>
      </c>
      <c r="B68" s="3000" t="s">
        <v>3438</v>
      </c>
      <c r="C68" s="3000" t="s">
        <v>3268</v>
      </c>
      <c r="D68" s="3000" t="s">
        <v>3437</v>
      </c>
      <c r="E68" s="3000" t="s">
        <v>3436</v>
      </c>
      <c r="F68" s="3000" t="s">
        <v>3327</v>
      </c>
      <c r="G68" s="3000" t="s">
        <v>3270</v>
      </c>
      <c r="H68" s="3000">
        <v>8</v>
      </c>
      <c r="I68" s="3000">
        <v>74.790000000000006</v>
      </c>
    </row>
    <row r="69" spans="1:9" ht="36.75" customHeight="1">
      <c r="A69" s="2998">
        <v>67</v>
      </c>
      <c r="B69" s="3000" t="s">
        <v>3435</v>
      </c>
      <c r="C69" s="3000" t="s">
        <v>3268</v>
      </c>
      <c r="D69" s="3000" t="s">
        <v>3434</v>
      </c>
      <c r="E69" s="3000" t="s">
        <v>3433</v>
      </c>
      <c r="F69" s="3000" t="s">
        <v>3327</v>
      </c>
      <c r="G69" s="3000" t="s">
        <v>3270</v>
      </c>
      <c r="H69" s="3000">
        <v>8</v>
      </c>
      <c r="I69" s="3000">
        <v>74.790000000000006</v>
      </c>
    </row>
    <row r="70" spans="1:9" ht="36.75" customHeight="1">
      <c r="A70" s="2998">
        <v>68</v>
      </c>
      <c r="B70" s="3000" t="s">
        <v>3432</v>
      </c>
      <c r="C70" s="3000" t="s">
        <v>3268</v>
      </c>
      <c r="D70" s="3000" t="s">
        <v>3431</v>
      </c>
      <c r="E70" s="3000" t="s">
        <v>3430</v>
      </c>
      <c r="F70" s="3000" t="s">
        <v>3327</v>
      </c>
      <c r="G70" s="3000" t="s">
        <v>3270</v>
      </c>
      <c r="H70" s="3000">
        <v>8</v>
      </c>
      <c r="I70" s="3000">
        <v>74.38</v>
      </c>
    </row>
    <row r="71" spans="1:9" ht="36.75" customHeight="1">
      <c r="A71" s="2998">
        <v>69</v>
      </c>
      <c r="B71" s="3000" t="s">
        <v>3429</v>
      </c>
      <c r="C71" s="3000" t="s">
        <v>3268</v>
      </c>
      <c r="D71" s="3000" t="s">
        <v>3428</v>
      </c>
      <c r="E71" s="3000" t="s">
        <v>3427</v>
      </c>
      <c r="F71" s="3000" t="s">
        <v>3327</v>
      </c>
      <c r="G71" s="3000" t="s">
        <v>3270</v>
      </c>
      <c r="H71" s="3000">
        <v>9</v>
      </c>
      <c r="I71" s="3000">
        <v>108.66</v>
      </c>
    </row>
    <row r="72" spans="1:9" ht="36.75" customHeight="1">
      <c r="A72" s="2998">
        <v>70</v>
      </c>
      <c r="B72" s="3000" t="s">
        <v>3426</v>
      </c>
      <c r="C72" s="3000" t="s">
        <v>3268</v>
      </c>
      <c r="D72" s="3000" t="s">
        <v>3425</v>
      </c>
      <c r="E72" s="3000" t="s">
        <v>3424</v>
      </c>
      <c r="F72" s="3000" t="s">
        <v>3327</v>
      </c>
      <c r="G72" s="3000" t="s">
        <v>3270</v>
      </c>
      <c r="H72" s="3000">
        <v>9</v>
      </c>
      <c r="I72" s="3000">
        <v>107.66</v>
      </c>
    </row>
    <row r="73" spans="1:9" ht="36.75" customHeight="1">
      <c r="A73" s="2998">
        <v>71</v>
      </c>
      <c r="B73" s="3000" t="s">
        <v>3423</v>
      </c>
      <c r="C73" s="3000" t="s">
        <v>3268</v>
      </c>
      <c r="D73" s="3000" t="s">
        <v>3422</v>
      </c>
      <c r="E73" s="3000" t="s">
        <v>3421</v>
      </c>
      <c r="F73" s="3000" t="s">
        <v>3327</v>
      </c>
      <c r="G73" s="3000" t="s">
        <v>3270</v>
      </c>
      <c r="H73" s="3000">
        <v>9</v>
      </c>
      <c r="I73" s="3000">
        <v>107.33</v>
      </c>
    </row>
    <row r="74" spans="1:9" ht="36.75" customHeight="1">
      <c r="A74" s="2998">
        <v>72</v>
      </c>
      <c r="B74" s="3000" t="s">
        <v>3420</v>
      </c>
      <c r="C74" s="3000" t="s">
        <v>3268</v>
      </c>
      <c r="D74" s="3000" t="s">
        <v>3419</v>
      </c>
      <c r="E74" s="3000" t="s">
        <v>3418</v>
      </c>
      <c r="F74" s="3000" t="s">
        <v>3327</v>
      </c>
      <c r="G74" s="3000" t="s">
        <v>3270</v>
      </c>
      <c r="H74" s="3000">
        <v>9</v>
      </c>
      <c r="I74" s="3000">
        <v>101.71</v>
      </c>
    </row>
    <row r="75" spans="1:9" ht="36.75" customHeight="1">
      <c r="A75" s="2998">
        <v>73</v>
      </c>
      <c r="B75" s="3000" t="s">
        <v>3417</v>
      </c>
      <c r="C75" s="3000" t="s">
        <v>3268</v>
      </c>
      <c r="D75" s="3000" t="s">
        <v>3416</v>
      </c>
      <c r="E75" s="3000" t="s">
        <v>3415</v>
      </c>
      <c r="F75" s="3000" t="s">
        <v>3327</v>
      </c>
      <c r="G75" s="3000" t="s">
        <v>3270</v>
      </c>
      <c r="H75" s="3000">
        <v>9</v>
      </c>
      <c r="I75" s="3000">
        <v>55.77</v>
      </c>
    </row>
    <row r="76" spans="1:9" ht="36.75" customHeight="1">
      <c r="A76" s="2998">
        <v>74</v>
      </c>
      <c r="B76" s="3000" t="s">
        <v>3414</v>
      </c>
      <c r="C76" s="3000" t="s">
        <v>3268</v>
      </c>
      <c r="D76" s="3000" t="s">
        <v>3413</v>
      </c>
      <c r="E76" s="3000" t="s">
        <v>3412</v>
      </c>
      <c r="F76" s="3000" t="s">
        <v>3327</v>
      </c>
      <c r="G76" s="3000" t="s">
        <v>3270</v>
      </c>
      <c r="H76" s="3000">
        <v>9</v>
      </c>
      <c r="I76" s="3000">
        <v>77.069999999999993</v>
      </c>
    </row>
    <row r="77" spans="1:9" ht="36.75" customHeight="1">
      <c r="A77" s="2998">
        <v>75</v>
      </c>
      <c r="B77" s="3000" t="s">
        <v>3411</v>
      </c>
      <c r="C77" s="3000" t="s">
        <v>3268</v>
      </c>
      <c r="D77" s="3000" t="s">
        <v>3410</v>
      </c>
      <c r="E77" s="3000" t="s">
        <v>3409</v>
      </c>
      <c r="F77" s="3000" t="s">
        <v>3327</v>
      </c>
      <c r="G77" s="3000" t="s">
        <v>3270</v>
      </c>
      <c r="H77" s="3000">
        <v>9</v>
      </c>
      <c r="I77" s="3000">
        <v>74.77</v>
      </c>
    </row>
    <row r="78" spans="1:9" ht="36.75" customHeight="1">
      <c r="A78" s="2998">
        <v>76</v>
      </c>
      <c r="B78" s="3000" t="s">
        <v>3408</v>
      </c>
      <c r="C78" s="3000" t="s">
        <v>3268</v>
      </c>
      <c r="D78" s="3000" t="s">
        <v>3407</v>
      </c>
      <c r="E78" s="3000" t="s">
        <v>3406</v>
      </c>
      <c r="F78" s="3000" t="s">
        <v>3327</v>
      </c>
      <c r="G78" s="3000" t="s">
        <v>3270</v>
      </c>
      <c r="H78" s="3000">
        <v>9</v>
      </c>
      <c r="I78" s="3000">
        <v>74.77</v>
      </c>
    </row>
    <row r="79" spans="1:9" ht="36.75" customHeight="1">
      <c r="A79" s="2998">
        <v>77</v>
      </c>
      <c r="B79" s="3000" t="s">
        <v>3405</v>
      </c>
      <c r="C79" s="3000" t="s">
        <v>3268</v>
      </c>
      <c r="D79" s="3000" t="s">
        <v>3404</v>
      </c>
      <c r="E79" s="3000" t="s">
        <v>3403</v>
      </c>
      <c r="F79" s="3000" t="s">
        <v>3327</v>
      </c>
      <c r="G79" s="3000" t="s">
        <v>3270</v>
      </c>
      <c r="H79" s="3000">
        <v>9</v>
      </c>
      <c r="I79" s="3000">
        <v>74.77</v>
      </c>
    </row>
    <row r="80" spans="1:9" ht="36.75" customHeight="1">
      <c r="A80" s="2998">
        <v>78</v>
      </c>
      <c r="B80" s="3000" t="s">
        <v>3402</v>
      </c>
      <c r="C80" s="3000" t="s">
        <v>3268</v>
      </c>
      <c r="D80" s="3000" t="s">
        <v>3401</v>
      </c>
      <c r="E80" s="3000" t="s">
        <v>3400</v>
      </c>
      <c r="F80" s="3000" t="s">
        <v>3327</v>
      </c>
      <c r="G80" s="3000" t="s">
        <v>3270</v>
      </c>
      <c r="H80" s="3000">
        <v>9</v>
      </c>
      <c r="I80" s="3000">
        <v>74.77</v>
      </c>
    </row>
    <row r="81" spans="1:9" ht="36.75" customHeight="1">
      <c r="A81" s="2998">
        <v>79</v>
      </c>
      <c r="B81" s="3000" t="s">
        <v>3399</v>
      </c>
      <c r="C81" s="3000" t="s">
        <v>3268</v>
      </c>
      <c r="D81" s="3000" t="s">
        <v>3398</v>
      </c>
      <c r="E81" s="3000" t="s">
        <v>3397</v>
      </c>
      <c r="F81" s="3000" t="s">
        <v>3327</v>
      </c>
      <c r="G81" s="3000" t="s">
        <v>3270</v>
      </c>
      <c r="H81" s="3000">
        <v>9</v>
      </c>
      <c r="I81" s="3000">
        <v>74.36</v>
      </c>
    </row>
    <row r="82" spans="1:9" ht="36.75" customHeight="1">
      <c r="A82" s="2998">
        <v>80</v>
      </c>
      <c r="B82" s="3000" t="s">
        <v>3396</v>
      </c>
      <c r="C82" s="3000" t="s">
        <v>3268</v>
      </c>
      <c r="D82" s="3000" t="s">
        <v>3395</v>
      </c>
      <c r="E82" s="3000" t="s">
        <v>3394</v>
      </c>
      <c r="F82" s="3000" t="s">
        <v>3327</v>
      </c>
      <c r="G82" s="3000" t="s">
        <v>3270</v>
      </c>
      <c r="H82" s="3000">
        <v>10</v>
      </c>
      <c r="I82" s="3000">
        <v>124.97</v>
      </c>
    </row>
    <row r="83" spans="1:9" ht="36.75" customHeight="1">
      <c r="A83" s="2998">
        <v>81</v>
      </c>
      <c r="B83" s="3000" t="s">
        <v>3393</v>
      </c>
      <c r="C83" s="3000" t="s">
        <v>3268</v>
      </c>
      <c r="D83" s="3000" t="s">
        <v>3392</v>
      </c>
      <c r="E83" s="3000" t="s">
        <v>3391</v>
      </c>
      <c r="F83" s="3000" t="s">
        <v>3327</v>
      </c>
      <c r="G83" s="3000" t="s">
        <v>3270</v>
      </c>
      <c r="H83" s="3000">
        <v>10</v>
      </c>
      <c r="I83" s="3000">
        <v>101.7</v>
      </c>
    </row>
    <row r="84" spans="1:9" ht="36.75" customHeight="1">
      <c r="A84" s="2998">
        <v>82</v>
      </c>
      <c r="B84" s="3000" t="s">
        <v>3390</v>
      </c>
      <c r="C84" s="3000" t="s">
        <v>3268</v>
      </c>
      <c r="D84" s="3000" t="s">
        <v>3389</v>
      </c>
      <c r="E84" s="3000" t="s">
        <v>3388</v>
      </c>
      <c r="F84" s="3000" t="s">
        <v>3327</v>
      </c>
      <c r="G84" s="3000" t="s">
        <v>3270</v>
      </c>
      <c r="H84" s="3000">
        <v>10</v>
      </c>
      <c r="I84" s="3000">
        <v>101.38</v>
      </c>
    </row>
    <row r="85" spans="1:9" ht="36.75" customHeight="1">
      <c r="A85" s="2998">
        <v>83</v>
      </c>
      <c r="B85" s="3000" t="s">
        <v>3387</v>
      </c>
      <c r="C85" s="3000" t="s">
        <v>3268</v>
      </c>
      <c r="D85" s="3000" t="s">
        <v>3386</v>
      </c>
      <c r="E85" s="3000" t="s">
        <v>3385</v>
      </c>
      <c r="F85" s="3000" t="s">
        <v>3327</v>
      </c>
      <c r="G85" s="3000" t="s">
        <v>3270</v>
      </c>
      <c r="H85" s="3000">
        <v>10</v>
      </c>
      <c r="I85" s="3000">
        <v>96.07</v>
      </c>
    </row>
    <row r="86" spans="1:9" ht="36.75" customHeight="1">
      <c r="A86" s="2998">
        <v>84</v>
      </c>
      <c r="B86" s="3000" t="s">
        <v>3384</v>
      </c>
      <c r="C86" s="3000" t="s">
        <v>3268</v>
      </c>
      <c r="D86" s="3000" t="s">
        <v>3383</v>
      </c>
      <c r="E86" s="3000" t="s">
        <v>3382</v>
      </c>
      <c r="F86" s="3000" t="s">
        <v>3327</v>
      </c>
      <c r="G86" s="3000" t="s">
        <v>3270</v>
      </c>
      <c r="H86" s="3000">
        <v>10</v>
      </c>
      <c r="I86" s="3000">
        <v>98.62</v>
      </c>
    </row>
    <row r="87" spans="1:9" ht="36.75" customHeight="1">
      <c r="A87" s="2998">
        <v>85</v>
      </c>
      <c r="B87" s="3000" t="s">
        <v>3381</v>
      </c>
      <c r="C87" s="3000" t="s">
        <v>3268</v>
      </c>
      <c r="D87" s="3000" t="s">
        <v>3380</v>
      </c>
      <c r="E87" s="3000" t="s">
        <v>3379</v>
      </c>
      <c r="F87" s="3000" t="s">
        <v>3327</v>
      </c>
      <c r="G87" s="3000" t="s">
        <v>3270</v>
      </c>
      <c r="H87" s="3000">
        <v>10</v>
      </c>
      <c r="I87" s="3000">
        <v>112.58</v>
      </c>
    </row>
    <row r="88" spans="1:9" ht="36.75" customHeight="1">
      <c r="A88" s="2998">
        <v>86</v>
      </c>
      <c r="B88" s="3000" t="s">
        <v>3378</v>
      </c>
      <c r="C88" s="3000" t="s">
        <v>3268</v>
      </c>
      <c r="D88" s="3000" t="s">
        <v>3377</v>
      </c>
      <c r="E88" s="3000" t="s">
        <v>3376</v>
      </c>
      <c r="F88" s="3000" t="s">
        <v>3327</v>
      </c>
      <c r="G88" s="3000" t="s">
        <v>3270</v>
      </c>
      <c r="H88" s="3000">
        <v>10</v>
      </c>
      <c r="I88" s="3000">
        <v>70.62</v>
      </c>
    </row>
    <row r="89" spans="1:9" ht="36.75" customHeight="1">
      <c r="A89" s="2998">
        <v>87</v>
      </c>
      <c r="B89" s="3000" t="s">
        <v>3375</v>
      </c>
      <c r="C89" s="3000" t="s">
        <v>3347</v>
      </c>
      <c r="D89" s="3000" t="s">
        <v>3374</v>
      </c>
      <c r="E89" s="3000" t="s">
        <v>3373</v>
      </c>
      <c r="F89" s="3000" t="s">
        <v>3344</v>
      </c>
      <c r="G89" s="3000" t="s">
        <v>3343</v>
      </c>
      <c r="H89" s="3000">
        <v>10</v>
      </c>
      <c r="I89" s="3000">
        <v>70.62</v>
      </c>
    </row>
    <row r="90" spans="1:9" ht="36.75" customHeight="1">
      <c r="A90" s="2998">
        <v>88</v>
      </c>
      <c r="B90" s="3000" t="s">
        <v>3372</v>
      </c>
      <c r="C90" s="3000" t="s">
        <v>3347</v>
      </c>
      <c r="D90" s="3000" t="s">
        <v>3371</v>
      </c>
      <c r="E90" s="3000" t="s">
        <v>3370</v>
      </c>
      <c r="F90" s="3000" t="s">
        <v>3344</v>
      </c>
      <c r="G90" s="3000" t="s">
        <v>3343</v>
      </c>
      <c r="H90" s="3000">
        <v>10</v>
      </c>
      <c r="I90" s="3000">
        <v>70.62</v>
      </c>
    </row>
    <row r="91" spans="1:9" ht="36.75" customHeight="1">
      <c r="A91" s="2998">
        <v>89</v>
      </c>
      <c r="B91" s="3000" t="s">
        <v>3369</v>
      </c>
      <c r="C91" s="3000" t="s">
        <v>3347</v>
      </c>
      <c r="D91" s="3000" t="s">
        <v>3368</v>
      </c>
      <c r="E91" s="3000" t="s">
        <v>3367</v>
      </c>
      <c r="F91" s="3000" t="s">
        <v>3344</v>
      </c>
      <c r="G91" s="3000" t="s">
        <v>3343</v>
      </c>
      <c r="H91" s="3000">
        <v>10</v>
      </c>
      <c r="I91" s="3000">
        <v>70.62</v>
      </c>
    </row>
    <row r="92" spans="1:9" ht="36.75" customHeight="1">
      <c r="A92" s="2998">
        <v>90</v>
      </c>
      <c r="B92" s="3000" t="s">
        <v>3366</v>
      </c>
      <c r="C92" s="3000" t="s">
        <v>3347</v>
      </c>
      <c r="D92" s="3000" t="s">
        <v>3365</v>
      </c>
      <c r="E92" s="3000" t="s">
        <v>3364</v>
      </c>
      <c r="F92" s="3000" t="s">
        <v>3344</v>
      </c>
      <c r="G92" s="3000" t="s">
        <v>3343</v>
      </c>
      <c r="H92" s="3000">
        <v>10</v>
      </c>
      <c r="I92" s="3000">
        <v>72.95</v>
      </c>
    </row>
    <row r="93" spans="1:9" ht="36.75" customHeight="1">
      <c r="A93" s="2998">
        <v>91</v>
      </c>
      <c r="B93" s="3000" t="s">
        <v>3363</v>
      </c>
      <c r="C93" s="3000" t="s">
        <v>3347</v>
      </c>
      <c r="D93" s="3000" t="s">
        <v>3362</v>
      </c>
      <c r="E93" s="3000" t="s">
        <v>3361</v>
      </c>
      <c r="F93" s="3000" t="s">
        <v>3344</v>
      </c>
      <c r="G93" s="3000" t="s">
        <v>3343</v>
      </c>
      <c r="H93" s="3000">
        <v>11</v>
      </c>
      <c r="I93" s="3000">
        <v>127.62</v>
      </c>
    </row>
    <row r="94" spans="1:9" ht="36.75" customHeight="1">
      <c r="A94" s="2998">
        <v>92</v>
      </c>
      <c r="B94" s="3000" t="s">
        <v>3360</v>
      </c>
      <c r="C94" s="3000" t="s">
        <v>3347</v>
      </c>
      <c r="D94" s="3000" t="s">
        <v>3359</v>
      </c>
      <c r="E94" s="3000" t="s">
        <v>3358</v>
      </c>
      <c r="F94" s="3000" t="s">
        <v>3344</v>
      </c>
      <c r="G94" s="3000" t="s">
        <v>3343</v>
      </c>
      <c r="H94" s="3000">
        <v>11</v>
      </c>
      <c r="I94" s="3000">
        <v>101.79</v>
      </c>
    </row>
    <row r="95" spans="1:9" ht="36.75" customHeight="1">
      <c r="A95" s="2998">
        <v>93</v>
      </c>
      <c r="B95" s="3000" t="s">
        <v>3357</v>
      </c>
      <c r="C95" s="3000" t="s">
        <v>3347</v>
      </c>
      <c r="D95" s="3000" t="s">
        <v>3356</v>
      </c>
      <c r="E95" s="3000" t="s">
        <v>3355</v>
      </c>
      <c r="F95" s="3000" t="s">
        <v>3344</v>
      </c>
      <c r="G95" s="3000" t="s">
        <v>3343</v>
      </c>
      <c r="H95" s="3000">
        <v>11</v>
      </c>
      <c r="I95" s="3000">
        <v>101.48</v>
      </c>
    </row>
    <row r="96" spans="1:9" ht="36.75" customHeight="1">
      <c r="A96" s="2998">
        <v>94</v>
      </c>
      <c r="B96" s="3000" t="s">
        <v>3354</v>
      </c>
      <c r="C96" s="3000" t="s">
        <v>3347</v>
      </c>
      <c r="D96" s="3000" t="s">
        <v>3353</v>
      </c>
      <c r="E96" s="3000" t="s">
        <v>3352</v>
      </c>
      <c r="F96" s="3000" t="s">
        <v>3344</v>
      </c>
      <c r="G96" s="3000" t="s">
        <v>3343</v>
      </c>
      <c r="H96" s="3000">
        <v>11</v>
      </c>
      <c r="I96" s="3000">
        <v>96.16</v>
      </c>
    </row>
    <row r="97" spans="1:12" ht="36.75" customHeight="1">
      <c r="A97" s="2998">
        <v>95</v>
      </c>
      <c r="B97" s="3000" t="s">
        <v>3351</v>
      </c>
      <c r="C97" s="3000" t="s">
        <v>3347</v>
      </c>
      <c r="D97" s="3000" t="s">
        <v>3350</v>
      </c>
      <c r="E97" s="3000" t="s">
        <v>3349</v>
      </c>
      <c r="F97" s="3000" t="s">
        <v>3344</v>
      </c>
      <c r="G97" s="3000" t="s">
        <v>3343</v>
      </c>
      <c r="H97" s="3000">
        <v>11</v>
      </c>
      <c r="I97" s="3000">
        <v>98.71</v>
      </c>
    </row>
    <row r="98" spans="1:12" ht="36.75" customHeight="1">
      <c r="A98" s="2998">
        <v>96</v>
      </c>
      <c r="B98" s="3000" t="s">
        <v>3348</v>
      </c>
      <c r="C98" s="3000" t="s">
        <v>3347</v>
      </c>
      <c r="D98" s="3000" t="s">
        <v>3346</v>
      </c>
      <c r="E98" s="3000" t="s">
        <v>3345</v>
      </c>
      <c r="F98" s="3000" t="s">
        <v>3344</v>
      </c>
      <c r="G98" s="3000" t="s">
        <v>3343</v>
      </c>
      <c r="H98" s="3000">
        <v>11</v>
      </c>
      <c r="I98" s="3000">
        <v>112.69</v>
      </c>
    </row>
    <row r="99" spans="1:12" ht="36.75" customHeight="1">
      <c r="A99" s="2998">
        <v>97</v>
      </c>
      <c r="B99" s="3000" t="s">
        <v>3342</v>
      </c>
      <c r="C99" s="3000" t="s">
        <v>3268</v>
      </c>
      <c r="D99" s="3000" t="s">
        <v>3341</v>
      </c>
      <c r="E99" s="3000" t="s">
        <v>3340</v>
      </c>
      <c r="F99" s="3000" t="s">
        <v>3327</v>
      </c>
      <c r="G99" s="3000" t="s">
        <v>3270</v>
      </c>
      <c r="H99" s="3000">
        <v>11</v>
      </c>
      <c r="I99" s="3000">
        <v>70.69</v>
      </c>
    </row>
    <row r="100" spans="1:12" ht="36.75" customHeight="1">
      <c r="A100" s="2998">
        <v>98</v>
      </c>
      <c r="B100" s="3000" t="s">
        <v>3339</v>
      </c>
      <c r="C100" s="3000" t="s">
        <v>3268</v>
      </c>
      <c r="D100" s="3000" t="s">
        <v>3338</v>
      </c>
      <c r="E100" s="3000" t="s">
        <v>3337</v>
      </c>
      <c r="F100" s="3000" t="s">
        <v>3327</v>
      </c>
      <c r="G100" s="3000" t="s">
        <v>3270</v>
      </c>
      <c r="H100" s="3000">
        <v>11</v>
      </c>
      <c r="I100" s="3000">
        <v>70.69</v>
      </c>
    </row>
    <row r="101" spans="1:12" ht="36.75" customHeight="1">
      <c r="A101" s="2998">
        <v>99</v>
      </c>
      <c r="B101" s="3000" t="s">
        <v>3336</v>
      </c>
      <c r="C101" s="3000" t="s">
        <v>3268</v>
      </c>
      <c r="D101" s="3000" t="s">
        <v>3335</v>
      </c>
      <c r="E101" s="3000" t="s">
        <v>3334</v>
      </c>
      <c r="F101" s="3000" t="s">
        <v>3327</v>
      </c>
      <c r="G101" s="3000" t="s">
        <v>3270</v>
      </c>
      <c r="H101" s="3000">
        <v>11</v>
      </c>
      <c r="I101" s="3000">
        <v>70.69</v>
      </c>
    </row>
    <row r="102" spans="1:12" ht="36.75" customHeight="1">
      <c r="A102" s="2998">
        <v>100</v>
      </c>
      <c r="B102" s="3000" t="s">
        <v>3333</v>
      </c>
      <c r="C102" s="3000" t="s">
        <v>3268</v>
      </c>
      <c r="D102" s="3000" t="s">
        <v>3332</v>
      </c>
      <c r="E102" s="3000" t="s">
        <v>3331</v>
      </c>
      <c r="F102" s="3000" t="s">
        <v>3327</v>
      </c>
      <c r="G102" s="3000" t="s">
        <v>3270</v>
      </c>
      <c r="H102" s="3000">
        <v>11</v>
      </c>
      <c r="I102" s="3000">
        <v>70.69</v>
      </c>
    </row>
    <row r="103" spans="1:12" ht="36.75" customHeight="1">
      <c r="A103" s="2998">
        <v>101</v>
      </c>
      <c r="B103" s="3000" t="s">
        <v>3330</v>
      </c>
      <c r="C103" s="3000" t="s">
        <v>3268</v>
      </c>
      <c r="D103" s="3000" t="s">
        <v>3329</v>
      </c>
      <c r="E103" s="3000" t="s">
        <v>3328</v>
      </c>
      <c r="F103" s="3000" t="s">
        <v>3327</v>
      </c>
      <c r="G103" s="3000" t="s">
        <v>3270</v>
      </c>
      <c r="H103" s="3000">
        <v>11</v>
      </c>
      <c r="I103" s="3000">
        <v>73.02</v>
      </c>
    </row>
    <row r="104" spans="1:12" s="3001" customFormat="1" ht="36.75" customHeight="1">
      <c r="B104" s="3003" t="s">
        <v>3326</v>
      </c>
      <c r="C104" s="3003"/>
      <c r="D104" s="3003"/>
      <c r="E104" s="3003"/>
      <c r="F104" s="3003"/>
      <c r="G104" s="3003"/>
      <c r="H104" s="3003"/>
      <c r="I104" s="3003">
        <f>SUM(I5:I103)</f>
        <v>8532.39</v>
      </c>
      <c r="J104" s="3002"/>
      <c r="K104" s="3002"/>
      <c r="L104" s="3002"/>
    </row>
    <row r="105" spans="1:12" ht="36.75" customHeight="1">
      <c r="A105" s="2998">
        <v>102</v>
      </c>
      <c r="B105" s="3000" t="s">
        <v>3325</v>
      </c>
      <c r="C105" s="3000" t="s">
        <v>3268</v>
      </c>
      <c r="D105" s="3000" t="s">
        <v>3324</v>
      </c>
      <c r="E105" s="3000" t="s">
        <v>3323</v>
      </c>
      <c r="F105" s="3000" t="s">
        <v>3271</v>
      </c>
      <c r="G105" s="3000" t="s">
        <v>3270</v>
      </c>
      <c r="H105" s="3000">
        <v>-1</v>
      </c>
      <c r="I105" s="3000">
        <v>43.11</v>
      </c>
    </row>
    <row r="106" spans="1:12" ht="36.75" customHeight="1">
      <c r="A106" s="2998">
        <v>103</v>
      </c>
      <c r="B106" s="3000" t="s">
        <v>3322</v>
      </c>
      <c r="C106" s="3000" t="s">
        <v>3268</v>
      </c>
      <c r="D106" s="3000" t="s">
        <v>3321</v>
      </c>
      <c r="E106" s="3000" t="s">
        <v>3320</v>
      </c>
      <c r="F106" s="3000" t="s">
        <v>3271</v>
      </c>
      <c r="G106" s="3000" t="s">
        <v>3270</v>
      </c>
      <c r="H106" s="3000">
        <v>-1</v>
      </c>
      <c r="I106" s="3000">
        <v>43.11</v>
      </c>
    </row>
    <row r="107" spans="1:12" ht="36.75" customHeight="1">
      <c r="A107" s="2998">
        <v>104</v>
      </c>
      <c r="B107" s="3000" t="s">
        <v>3319</v>
      </c>
      <c r="C107" s="3000" t="s">
        <v>3268</v>
      </c>
      <c r="D107" s="3000" t="s">
        <v>3318</v>
      </c>
      <c r="E107" s="3000" t="s">
        <v>3317</v>
      </c>
      <c r="F107" s="3000" t="s">
        <v>3271</v>
      </c>
      <c r="G107" s="3000" t="s">
        <v>3270</v>
      </c>
      <c r="H107" s="3000">
        <v>-1</v>
      </c>
      <c r="I107" s="3000">
        <v>43.11</v>
      </c>
    </row>
    <row r="108" spans="1:12" ht="36.75" customHeight="1">
      <c r="A108" s="2998">
        <v>105</v>
      </c>
      <c r="B108" s="3000" t="s">
        <v>3316</v>
      </c>
      <c r="C108" s="3000" t="s">
        <v>3268</v>
      </c>
      <c r="D108" s="3000" t="s">
        <v>3315</v>
      </c>
      <c r="E108" s="3000" t="s">
        <v>3314</v>
      </c>
      <c r="F108" s="3000" t="s">
        <v>3271</v>
      </c>
      <c r="G108" s="3000" t="s">
        <v>3270</v>
      </c>
      <c r="H108" s="3000">
        <v>-1</v>
      </c>
      <c r="I108" s="3000">
        <v>43.11</v>
      </c>
    </row>
    <row r="109" spans="1:12" ht="36.75" customHeight="1">
      <c r="A109" s="2998">
        <v>106</v>
      </c>
      <c r="B109" s="3000" t="s">
        <v>3313</v>
      </c>
      <c r="C109" s="3000" t="s">
        <v>3268</v>
      </c>
      <c r="D109" s="3000" t="s">
        <v>3312</v>
      </c>
      <c r="E109" s="3000" t="s">
        <v>3311</v>
      </c>
      <c r="F109" s="3000" t="s">
        <v>3271</v>
      </c>
      <c r="G109" s="3000" t="s">
        <v>3270</v>
      </c>
      <c r="H109" s="3000">
        <v>-1</v>
      </c>
      <c r="I109" s="3000">
        <v>43.11</v>
      </c>
    </row>
    <row r="110" spans="1:12" ht="36.75" customHeight="1">
      <c r="A110" s="2998">
        <v>107</v>
      </c>
      <c r="B110" s="3000" t="s">
        <v>3310</v>
      </c>
      <c r="C110" s="3000" t="s">
        <v>3268</v>
      </c>
      <c r="D110" s="3000" t="s">
        <v>3309</v>
      </c>
      <c r="E110" s="3000" t="s">
        <v>3308</v>
      </c>
      <c r="F110" s="3000" t="s">
        <v>3271</v>
      </c>
      <c r="G110" s="3000" t="s">
        <v>3270</v>
      </c>
      <c r="H110" s="3000">
        <v>-1</v>
      </c>
      <c r="I110" s="3000">
        <v>43.11</v>
      </c>
    </row>
    <row r="111" spans="1:12" ht="36.75" customHeight="1">
      <c r="A111" s="2998">
        <v>108</v>
      </c>
      <c r="B111" s="3000" t="s">
        <v>3307</v>
      </c>
      <c r="C111" s="3000" t="s">
        <v>3268</v>
      </c>
      <c r="D111" s="3000" t="s">
        <v>3306</v>
      </c>
      <c r="E111" s="3000" t="s">
        <v>3305</v>
      </c>
      <c r="F111" s="3000" t="s">
        <v>3271</v>
      </c>
      <c r="G111" s="3000" t="s">
        <v>3270</v>
      </c>
      <c r="H111" s="3000">
        <v>-1</v>
      </c>
      <c r="I111" s="3000">
        <v>43.11</v>
      </c>
    </row>
    <row r="112" spans="1:12" ht="36.75" customHeight="1">
      <c r="A112" s="2998">
        <v>109</v>
      </c>
      <c r="B112" s="3000" t="s">
        <v>3304</v>
      </c>
      <c r="C112" s="3000" t="s">
        <v>3268</v>
      </c>
      <c r="D112" s="3000" t="s">
        <v>3303</v>
      </c>
      <c r="E112" s="3000" t="s">
        <v>3302</v>
      </c>
      <c r="F112" s="3000" t="s">
        <v>3271</v>
      </c>
      <c r="G112" s="3000" t="s">
        <v>3270</v>
      </c>
      <c r="H112" s="3000">
        <v>-1</v>
      </c>
      <c r="I112" s="3000">
        <v>43.11</v>
      </c>
    </row>
    <row r="113" spans="1:12" ht="36.75" customHeight="1">
      <c r="A113" s="2998">
        <v>110</v>
      </c>
      <c r="B113" s="3000" t="s">
        <v>3301</v>
      </c>
      <c r="C113" s="3000" t="s">
        <v>3268</v>
      </c>
      <c r="D113" s="3000" t="s">
        <v>3300</v>
      </c>
      <c r="E113" s="3000" t="s">
        <v>3299</v>
      </c>
      <c r="F113" s="3000" t="s">
        <v>3271</v>
      </c>
      <c r="G113" s="3000" t="s">
        <v>3270</v>
      </c>
      <c r="H113" s="3000">
        <v>-1</v>
      </c>
      <c r="I113" s="3000">
        <v>43.11</v>
      </c>
    </row>
    <row r="114" spans="1:12" ht="36.75" customHeight="1">
      <c r="A114" s="2998">
        <v>111</v>
      </c>
      <c r="B114" s="3000" t="s">
        <v>3298</v>
      </c>
      <c r="C114" s="3000" t="s">
        <v>3268</v>
      </c>
      <c r="D114" s="3000" t="s">
        <v>3297</v>
      </c>
      <c r="E114" s="3000" t="s">
        <v>3296</v>
      </c>
      <c r="F114" s="3000" t="s">
        <v>3271</v>
      </c>
      <c r="G114" s="3000" t="s">
        <v>3270</v>
      </c>
      <c r="H114" s="3000">
        <v>-1</v>
      </c>
      <c r="I114" s="3000">
        <v>43.11</v>
      </c>
    </row>
    <row r="115" spans="1:12" ht="36.75" customHeight="1">
      <c r="A115" s="2998">
        <v>112</v>
      </c>
      <c r="B115" s="3000" t="s">
        <v>3295</v>
      </c>
      <c r="C115" s="3000" t="s">
        <v>3268</v>
      </c>
      <c r="D115" s="3000" t="s">
        <v>3294</v>
      </c>
      <c r="E115" s="3000" t="s">
        <v>3293</v>
      </c>
      <c r="F115" s="3000" t="s">
        <v>3271</v>
      </c>
      <c r="G115" s="3000" t="s">
        <v>3270</v>
      </c>
      <c r="H115" s="3000">
        <v>-1</v>
      </c>
      <c r="I115" s="3000">
        <v>43.11</v>
      </c>
    </row>
    <row r="116" spans="1:12" ht="36.75" customHeight="1">
      <c r="A116" s="2998">
        <v>113</v>
      </c>
      <c r="B116" s="3000" t="s">
        <v>3292</v>
      </c>
      <c r="C116" s="3000" t="s">
        <v>3268</v>
      </c>
      <c r="D116" s="3000" t="s">
        <v>3291</v>
      </c>
      <c r="E116" s="3000" t="s">
        <v>3290</v>
      </c>
      <c r="F116" s="3000" t="s">
        <v>3271</v>
      </c>
      <c r="G116" s="3000" t="s">
        <v>3270</v>
      </c>
      <c r="H116" s="3000">
        <v>-1</v>
      </c>
      <c r="I116" s="3000">
        <v>43.11</v>
      </c>
    </row>
    <row r="117" spans="1:12" ht="36.75" customHeight="1">
      <c r="A117" s="2998">
        <v>114</v>
      </c>
      <c r="B117" s="3000" t="s">
        <v>3289</v>
      </c>
      <c r="C117" s="3000" t="s">
        <v>3268</v>
      </c>
      <c r="D117" s="3000" t="s">
        <v>3288</v>
      </c>
      <c r="E117" s="3000" t="s">
        <v>3287</v>
      </c>
      <c r="F117" s="3000" t="s">
        <v>3271</v>
      </c>
      <c r="G117" s="3000" t="s">
        <v>3270</v>
      </c>
      <c r="H117" s="3000">
        <v>-1</v>
      </c>
      <c r="I117" s="3000">
        <v>43.11</v>
      </c>
    </row>
    <row r="118" spans="1:12" ht="36.75" customHeight="1">
      <c r="A118" s="2998">
        <v>115</v>
      </c>
      <c r="B118" s="3000" t="s">
        <v>3286</v>
      </c>
      <c r="C118" s="3000" t="s">
        <v>3268</v>
      </c>
      <c r="D118" s="3000" t="s">
        <v>3285</v>
      </c>
      <c r="E118" s="3000" t="s">
        <v>3284</v>
      </c>
      <c r="F118" s="3000" t="s">
        <v>3271</v>
      </c>
      <c r="G118" s="3000" t="s">
        <v>3270</v>
      </c>
      <c r="H118" s="3000">
        <v>-1</v>
      </c>
      <c r="I118" s="3000">
        <v>43.11</v>
      </c>
    </row>
    <row r="119" spans="1:12" ht="36.75" customHeight="1">
      <c r="A119" s="2998">
        <v>116</v>
      </c>
      <c r="B119" s="3000" t="s">
        <v>3283</v>
      </c>
      <c r="C119" s="3000" t="s">
        <v>3268</v>
      </c>
      <c r="D119" s="3000" t="s">
        <v>3282</v>
      </c>
      <c r="E119" s="3000" t="s">
        <v>3281</v>
      </c>
      <c r="F119" s="3000" t="s">
        <v>3271</v>
      </c>
      <c r="G119" s="3000" t="s">
        <v>3270</v>
      </c>
      <c r="H119" s="3000">
        <v>-1</v>
      </c>
      <c r="I119" s="3000">
        <v>43.11</v>
      </c>
    </row>
    <row r="120" spans="1:12" ht="36.75" customHeight="1">
      <c r="A120" s="2998">
        <v>117</v>
      </c>
      <c r="B120" s="3000" t="s">
        <v>3280</v>
      </c>
      <c r="C120" s="3000" t="s">
        <v>3268</v>
      </c>
      <c r="D120" s="3000" t="s">
        <v>3279</v>
      </c>
      <c r="E120" s="3000" t="s">
        <v>3278</v>
      </c>
      <c r="F120" s="3000" t="s">
        <v>3271</v>
      </c>
      <c r="G120" s="3000" t="s">
        <v>3270</v>
      </c>
      <c r="H120" s="3000">
        <v>-1</v>
      </c>
      <c r="I120" s="3000">
        <v>43.11</v>
      </c>
    </row>
    <row r="121" spans="1:12" ht="36.75" customHeight="1">
      <c r="A121" s="2998">
        <v>118</v>
      </c>
      <c r="B121" s="3000" t="s">
        <v>3277</v>
      </c>
      <c r="C121" s="3000" t="s">
        <v>3268</v>
      </c>
      <c r="D121" s="3000" t="s">
        <v>3276</v>
      </c>
      <c r="E121" s="3000" t="s">
        <v>3275</v>
      </c>
      <c r="F121" s="3000" t="s">
        <v>3271</v>
      </c>
      <c r="G121" s="3000" t="s">
        <v>3270</v>
      </c>
      <c r="H121" s="3000">
        <v>-1</v>
      </c>
      <c r="I121" s="3000">
        <v>43.11</v>
      </c>
    </row>
    <row r="122" spans="1:12" ht="36.75" customHeight="1">
      <c r="A122" s="2998">
        <v>119</v>
      </c>
      <c r="B122" s="3000" t="s">
        <v>3274</v>
      </c>
      <c r="C122" s="3000" t="s">
        <v>3268</v>
      </c>
      <c r="D122" s="3000" t="s">
        <v>3273</v>
      </c>
      <c r="E122" s="3000" t="s">
        <v>3272</v>
      </c>
      <c r="F122" s="3000" t="s">
        <v>3271</v>
      </c>
      <c r="G122" s="3000" t="s">
        <v>3270</v>
      </c>
      <c r="H122" s="3000">
        <v>-1</v>
      </c>
      <c r="I122" s="3000">
        <v>43.11</v>
      </c>
    </row>
    <row r="123" spans="1:12" ht="36.75" customHeight="1">
      <c r="A123" s="2998">
        <v>120</v>
      </c>
      <c r="B123" s="3000" t="s">
        <v>3269</v>
      </c>
      <c r="C123" s="3000" t="s">
        <v>3268</v>
      </c>
      <c r="D123" s="3000" t="s">
        <v>3267</v>
      </c>
      <c r="E123" s="3000" t="s">
        <v>3266</v>
      </c>
      <c r="F123" s="3000" t="s">
        <v>3265</v>
      </c>
      <c r="G123" s="3000" t="s">
        <v>3264</v>
      </c>
      <c r="H123" s="3000">
        <v>-1</v>
      </c>
      <c r="I123" s="3000">
        <v>43.11</v>
      </c>
    </row>
    <row r="124" spans="1:12" ht="36.75" customHeight="1">
      <c r="A124" s="2998">
        <v>121</v>
      </c>
      <c r="B124" s="3000" t="s">
        <v>3263</v>
      </c>
      <c r="C124" s="3000" t="s">
        <v>3253</v>
      </c>
      <c r="D124" s="3000" t="s">
        <v>3262</v>
      </c>
      <c r="E124" s="3000" t="s">
        <v>3261</v>
      </c>
      <c r="F124" s="3000" t="s">
        <v>3250</v>
      </c>
      <c r="G124" s="3000" t="s">
        <v>3249</v>
      </c>
      <c r="H124" s="3000">
        <v>-1</v>
      </c>
      <c r="I124" s="3000">
        <v>43.11</v>
      </c>
    </row>
    <row r="125" spans="1:12" ht="36.75" customHeight="1">
      <c r="A125" s="2998">
        <v>122</v>
      </c>
      <c r="B125" s="3000" t="s">
        <v>3260</v>
      </c>
      <c r="C125" s="3000" t="s">
        <v>3253</v>
      </c>
      <c r="D125" s="3000" t="s">
        <v>3259</v>
      </c>
      <c r="E125" s="3000" t="s">
        <v>3258</v>
      </c>
      <c r="F125" s="3000" t="s">
        <v>3250</v>
      </c>
      <c r="G125" s="3000" t="s">
        <v>3249</v>
      </c>
      <c r="H125" s="3000">
        <v>-1</v>
      </c>
      <c r="I125" s="3000">
        <v>43.11</v>
      </c>
    </row>
    <row r="126" spans="1:12" ht="36.75" customHeight="1">
      <c r="A126" s="2998">
        <v>123</v>
      </c>
      <c r="B126" s="3000" t="s">
        <v>3257</v>
      </c>
      <c r="C126" s="3000" t="s">
        <v>3253</v>
      </c>
      <c r="D126" s="3000" t="s">
        <v>3256</v>
      </c>
      <c r="E126" s="3000" t="s">
        <v>3255</v>
      </c>
      <c r="F126" s="3000" t="s">
        <v>3250</v>
      </c>
      <c r="G126" s="3000" t="s">
        <v>3249</v>
      </c>
      <c r="H126" s="3000">
        <v>-1</v>
      </c>
      <c r="I126" s="3000">
        <v>43.11</v>
      </c>
    </row>
    <row r="127" spans="1:12" ht="36.75" customHeight="1">
      <c r="A127" s="2998">
        <v>124</v>
      </c>
      <c r="B127" s="3000" t="s">
        <v>3254</v>
      </c>
      <c r="C127" s="3000" t="s">
        <v>3253</v>
      </c>
      <c r="D127" s="3000" t="s">
        <v>3252</v>
      </c>
      <c r="E127" s="3000" t="s">
        <v>3251</v>
      </c>
      <c r="F127" s="3000" t="s">
        <v>3250</v>
      </c>
      <c r="G127" s="3000" t="s">
        <v>3249</v>
      </c>
      <c r="H127" s="3000">
        <v>-1</v>
      </c>
      <c r="I127" s="3000">
        <v>43.11</v>
      </c>
    </row>
    <row r="128" spans="1:12" s="3001" customFormat="1" ht="36.75" customHeight="1">
      <c r="B128" s="3003" t="s">
        <v>3248</v>
      </c>
      <c r="C128" s="3003"/>
      <c r="D128" s="3003"/>
      <c r="E128" s="3003"/>
      <c r="F128" s="3003"/>
      <c r="G128" s="3003"/>
      <c r="H128" s="3003"/>
      <c r="I128" s="3003">
        <f>SUM(I105:I127)</f>
        <v>991.5300000000002</v>
      </c>
      <c r="J128" s="3002"/>
      <c r="K128" s="3002"/>
      <c r="L128" s="3002"/>
    </row>
    <row r="129" spans="2:12" s="3001" customFormat="1" ht="36.75" customHeight="1">
      <c r="B129" s="3003" t="s">
        <v>3247</v>
      </c>
      <c r="C129" s="3003"/>
      <c r="D129" s="3003"/>
      <c r="E129" s="3003"/>
      <c r="F129" s="3003"/>
      <c r="G129" s="3003"/>
      <c r="H129" s="3003"/>
      <c r="I129" s="3003">
        <f>I4+I104+I128</f>
        <v>11628.210000000001</v>
      </c>
      <c r="J129" s="3002"/>
      <c r="K129" s="3002"/>
      <c r="L129" s="3002"/>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1932</v>
      </c>
      <c r="B1" s="1387"/>
      <c r="C1" s="1387"/>
      <c r="D1" s="1387"/>
      <c r="E1" s="1387"/>
      <c r="F1" s="1387"/>
      <c r="G1" s="1387"/>
      <c r="H1" s="1387"/>
      <c r="I1" s="1387"/>
      <c r="J1" s="1387"/>
      <c r="K1" s="1387"/>
      <c r="L1" s="1387"/>
      <c r="M1" s="1387"/>
      <c r="N1" s="1387"/>
      <c r="O1" s="1387"/>
      <c r="P1" s="1387"/>
    </row>
    <row r="2" spans="1:16" ht="15">
      <c r="A2" s="3119" t="s">
        <v>1933</v>
      </c>
      <c r="B2" s="3119"/>
      <c r="C2" s="3119"/>
      <c r="D2" s="962" t="s">
        <v>1909</v>
      </c>
      <c r="E2" s="2221" t="s">
        <v>1910</v>
      </c>
      <c r="F2" s="1387"/>
      <c r="G2" s="2222"/>
      <c r="H2" s="2223"/>
      <c r="I2" s="2224" t="s">
        <v>1934</v>
      </c>
      <c r="J2" s="1387"/>
      <c r="K2" s="1387"/>
      <c r="L2" s="1387"/>
      <c r="M2" s="1387"/>
      <c r="N2" s="1422"/>
      <c r="O2" s="1387"/>
      <c r="P2" s="1387"/>
    </row>
    <row r="3" spans="1:16" ht="15.75" thickBot="1">
      <c r="A3" s="3120" t="s">
        <v>1907</v>
      </c>
      <c r="B3" s="3120"/>
      <c r="C3" s="3120"/>
      <c r="D3" s="46">
        <f>'数据-基础表'!AY6</f>
        <v>0</v>
      </c>
      <c r="E3" s="46">
        <f>'数据-基础表'!AZ5</f>
        <v>11628.210000000001</v>
      </c>
      <c r="F3" s="1387"/>
      <c r="G3" s="1394"/>
      <c r="H3" s="1242" t="s">
        <v>1908</v>
      </c>
      <c r="I3" s="55" t="e">
        <f>ROUND('数据-基础表'!B3/'数据-基础表'!A3,2)</f>
        <v>#DIV/0!</v>
      </c>
      <c r="J3" s="1387"/>
      <c r="K3" s="1387"/>
      <c r="L3" s="1387"/>
      <c r="M3" s="1387"/>
      <c r="N3" s="1422"/>
      <c r="O3" s="1387"/>
      <c r="P3" s="1387"/>
    </row>
    <row r="4" spans="1:16" ht="15">
      <c r="A4" s="3121"/>
      <c r="B4" s="3122"/>
      <c r="C4" s="3123"/>
      <c r="D4" s="2225" t="s">
        <v>1909</v>
      </c>
      <c r="E4" s="2226" t="s">
        <v>1910</v>
      </c>
      <c r="F4" s="1387"/>
      <c r="G4" s="2227" t="s">
        <v>1935</v>
      </c>
      <c r="H4" s="1242" t="s">
        <v>1915</v>
      </c>
      <c r="I4" s="55" t="e">
        <f>ROUND(SUMIF('数据-基础表'!I9:AS9,"地上",'数据-基础表'!I5:AS5)/'数据-基础表'!A3,2)</f>
        <v>#DIV/0!</v>
      </c>
      <c r="J4" s="1387"/>
      <c r="K4" s="1387"/>
      <c r="L4" s="1387"/>
      <c r="M4" s="1387"/>
      <c r="N4" s="1422"/>
      <c r="O4" s="1387"/>
      <c r="P4" s="1387"/>
    </row>
    <row r="5" spans="1:16">
      <c r="A5" s="47" t="s">
        <v>1911</v>
      </c>
      <c r="B5" s="3124" t="s">
        <v>1912</v>
      </c>
      <c r="C5" s="3124"/>
      <c r="D5" s="48">
        <f>ROUND($D$3*E5/$E$3,2)</f>
        <v>0</v>
      </c>
      <c r="E5" s="49">
        <f>SUMIF('数据-基础表'!$11:$11,"住宅",'数据-基础表'!$5:$5)</f>
        <v>0</v>
      </c>
      <c r="F5" s="1387"/>
      <c r="G5" s="1394"/>
      <c r="H5" s="1242" t="s">
        <v>1908</v>
      </c>
      <c r="I5" s="55" t="e">
        <f>ROUND(E31/D31,2)</f>
        <v>#DIV/0!</v>
      </c>
      <c r="J5" s="1387"/>
      <c r="K5" s="1387"/>
      <c r="L5" s="1387"/>
      <c r="M5" s="1387"/>
      <c r="N5" s="1387"/>
      <c r="O5" s="1387"/>
      <c r="P5" s="1387"/>
    </row>
    <row r="6" spans="1:16" ht="15" thickBot="1">
      <c r="A6" s="2228"/>
      <c r="B6" s="3124" t="s">
        <v>1913</v>
      </c>
      <c r="C6" s="3124"/>
      <c r="D6" s="48">
        <f>ROUND($D$3*E6/$E$3,2)</f>
        <v>0</v>
      </c>
      <c r="E6" s="49">
        <f>E3-E5</f>
        <v>11628.210000000001</v>
      </c>
      <c r="F6" s="1387"/>
      <c r="G6" s="2229" t="s">
        <v>1914</v>
      </c>
      <c r="H6" s="1394" t="s">
        <v>1915</v>
      </c>
      <c r="I6" s="934" t="e">
        <f>ROUND(F31/D31,2)</f>
        <v>#DIV/0!</v>
      </c>
      <c r="J6" s="1387"/>
      <c r="K6" s="1387"/>
      <c r="L6" s="1387"/>
      <c r="M6" s="1387"/>
      <c r="N6" s="1387"/>
      <c r="O6" s="1387"/>
      <c r="P6" s="1387"/>
    </row>
    <row r="7" spans="1:16" ht="15">
      <c r="A7" s="3116"/>
      <c r="B7" s="3117"/>
      <c r="C7" s="3118"/>
      <c r="D7" s="2225" t="s">
        <v>1909</v>
      </c>
      <c r="E7" s="2230" t="s">
        <v>1916</v>
      </c>
      <c r="F7" s="1387"/>
      <c r="G7" s="2222" t="s">
        <v>1917</v>
      </c>
      <c r="H7" s="64"/>
      <c r="I7" s="419"/>
      <c r="J7" s="1387"/>
      <c r="K7" s="1387"/>
      <c r="L7" s="1387"/>
      <c r="M7" s="1387"/>
      <c r="N7" s="1387"/>
      <c r="O7" s="1387"/>
      <c r="P7" s="1387"/>
    </row>
    <row r="8" spans="1:16">
      <c r="A8" s="47" t="s">
        <v>1918</v>
      </c>
      <c r="B8" s="50" t="s">
        <v>1919</v>
      </c>
      <c r="C8" s="48" t="s">
        <v>1920</v>
      </c>
      <c r="D8" s="48">
        <f t="shared" ref="D8:D15" si="0">ROUND($D$3*E8/$E$3,2)</f>
        <v>0</v>
      </c>
      <c r="E8" s="51">
        <f>SUMIF('数据-基础表'!BB10:BK10,"地上",'数据-基础表'!BB5:BK5)</f>
        <v>10636.68</v>
      </c>
      <c r="F8" s="1387"/>
      <c r="G8" s="2231"/>
      <c r="H8" s="2231"/>
      <c r="I8" s="1387"/>
      <c r="J8" s="1387"/>
      <c r="K8" s="1387"/>
      <c r="L8" s="1387"/>
      <c r="M8" s="1387"/>
      <c r="N8" s="1387"/>
      <c r="O8" s="1387"/>
      <c r="P8" s="1387"/>
    </row>
    <row r="9" spans="1:16">
      <c r="A9" s="2232"/>
      <c r="B9" s="2233"/>
      <c r="C9" s="48" t="s">
        <v>1921</v>
      </c>
      <c r="D9" s="48">
        <f t="shared" si="0"/>
        <v>0</v>
      </c>
      <c r="E9" s="52">
        <v>0</v>
      </c>
      <c r="F9" s="1387"/>
      <c r="G9" s="2231"/>
      <c r="H9" s="2231"/>
      <c r="I9" s="1387"/>
      <c r="J9" s="1387"/>
      <c r="K9" s="1387"/>
      <c r="L9" s="1387"/>
      <c r="M9" s="1387"/>
      <c r="N9" s="1387"/>
      <c r="O9" s="1387"/>
      <c r="P9" s="1387"/>
    </row>
    <row r="10" spans="1:16">
      <c r="A10" s="2232"/>
      <c r="B10" s="2233"/>
      <c r="C10" s="48" t="s">
        <v>1930</v>
      </c>
      <c r="D10" s="48">
        <f t="shared" si="0"/>
        <v>0</v>
      </c>
      <c r="E10" s="51">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8" t="s">
        <v>1922</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1923</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1924</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1936</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1931</v>
      </c>
      <c r="D15" s="48">
        <f t="shared" si="0"/>
        <v>0</v>
      </c>
      <c r="E15" s="51">
        <f>SUMPRODUCT(('数据-基础表'!BB10:BK10="地下")*('数据-基础表'!BB11:BK11="车库—办公")*('数据-基础表'!BB5:BK5))</f>
        <v>991.5300000000002</v>
      </c>
      <c r="F15" s="1387"/>
      <c r="G15" s="2231"/>
      <c r="H15" s="2231"/>
      <c r="I15" s="1387"/>
      <c r="J15" s="1387"/>
      <c r="K15" s="1387"/>
      <c r="L15" s="1387"/>
      <c r="M15" s="1387"/>
      <c r="N15" s="1387"/>
      <c r="O15" s="1387"/>
      <c r="P15" s="1387"/>
    </row>
    <row r="16" spans="1:16" ht="15.75" thickBot="1">
      <c r="A16" s="2228"/>
      <c r="B16" s="2233"/>
      <c r="C16" s="50" t="s">
        <v>1925</v>
      </c>
      <c r="D16" s="50">
        <f>SUM(D8:D15)</f>
        <v>0</v>
      </c>
      <c r="E16" s="53">
        <f>SUM(E8:E15)</f>
        <v>11628.210000000001</v>
      </c>
      <c r="F16" s="1387"/>
      <c r="G16" s="2231"/>
      <c r="H16" s="2234" t="s">
        <v>1937</v>
      </c>
      <c r="I16" s="2235"/>
      <c r="J16" s="1387"/>
      <c r="K16" s="3113" t="s">
        <v>1937</v>
      </c>
      <c r="L16" s="3114"/>
      <c r="M16" s="3114"/>
      <c r="N16" s="3114"/>
      <c r="O16" s="3114"/>
      <c r="P16" s="3115"/>
    </row>
    <row r="17" spans="1:19" ht="15">
      <c r="A17" s="2236" t="s">
        <v>1938</v>
      </c>
      <c r="B17" s="2237" t="s">
        <v>1939</v>
      </c>
      <c r="C17" s="2238" t="s">
        <v>1940</v>
      </c>
      <c r="D17" s="2239" t="s">
        <v>1928</v>
      </c>
      <c r="E17" s="2240" t="s">
        <v>1929</v>
      </c>
      <c r="F17" s="2241"/>
      <c r="G17" s="2242"/>
      <c r="H17" s="2243" t="s">
        <v>1941</v>
      </c>
      <c r="I17" s="2244" t="s">
        <v>1926</v>
      </c>
      <c r="J17" s="1387"/>
      <c r="K17" s="3110" t="s">
        <v>1942</v>
      </c>
      <c r="L17" s="3111"/>
      <c r="M17" s="3112"/>
      <c r="N17" s="3110" t="s">
        <v>1943</v>
      </c>
      <c r="O17" s="3111"/>
      <c r="P17" s="3112"/>
      <c r="R17" s="2222" t="s">
        <v>1944</v>
      </c>
      <c r="S17" s="64"/>
    </row>
    <row r="18" spans="1:19" ht="15">
      <c r="A18" s="2232"/>
      <c r="B18" s="2245"/>
      <c r="C18" s="2246"/>
      <c r="D18" s="2247"/>
      <c r="E18" s="2248" t="s">
        <v>1945</v>
      </c>
      <c r="F18" s="2249" t="s">
        <v>1946</v>
      </c>
      <c r="G18" s="2250" t="s">
        <v>1947</v>
      </c>
      <c r="H18" s="1257" t="s">
        <v>1948</v>
      </c>
      <c r="I18" s="2251" t="s">
        <v>1949</v>
      </c>
      <c r="J18" s="1387"/>
      <c r="K18" s="1257" t="s">
        <v>1950</v>
      </c>
      <c r="L18" s="2252" t="s">
        <v>1951</v>
      </c>
      <c r="M18" s="1041" t="s">
        <v>1952</v>
      </c>
      <c r="N18" s="1257" t="s">
        <v>1950</v>
      </c>
      <c r="O18" s="2252" t="s">
        <v>1951</v>
      </c>
      <c r="P18" s="1041" t="s">
        <v>1952</v>
      </c>
      <c r="R18" s="1242" t="s">
        <v>1953</v>
      </c>
      <c r="S18" s="1242" t="s">
        <v>1954</v>
      </c>
    </row>
    <row r="19" spans="1:19">
      <c r="A19" s="2253"/>
      <c r="B19" s="50" t="s">
        <v>1927</v>
      </c>
      <c r="C19" s="2944" t="s">
        <v>3061</v>
      </c>
      <c r="D19" s="48">
        <f>ROUND($D$3*E19/$E$3,2)</f>
        <v>0</v>
      </c>
      <c r="E19" s="56">
        <f t="shared" ref="E19:E26" si="1">SUM(F19:G19)</f>
        <v>8532.39</v>
      </c>
      <c r="F19" s="57">
        <f>'数据-基础表'!I13</f>
        <v>8532.39</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0</v>
      </c>
      <c r="S19" s="1243">
        <f t="shared" si="5"/>
        <v>8532.39</v>
      </c>
    </row>
    <row r="20" spans="1:19">
      <c r="A20" s="2256"/>
      <c r="B20" s="50" t="s">
        <v>1955</v>
      </c>
      <c r="C20" s="2944" t="s">
        <v>3060</v>
      </c>
      <c r="D20" s="48">
        <f t="shared" ref="D20:D26" si="6">ROUND($D$3*E20/$E$3,2)</f>
        <v>0</v>
      </c>
      <c r="E20" s="56">
        <f t="shared" si="1"/>
        <v>2104.29</v>
      </c>
      <c r="F20" s="57">
        <f>'数据-基础表'!K13</f>
        <v>2104.29</v>
      </c>
      <c r="G20" s="58"/>
      <c r="H20" s="720">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2104.29</v>
      </c>
    </row>
    <row r="21" spans="1:19">
      <c r="A21" s="2256"/>
      <c r="B21" s="50" t="s">
        <v>1955</v>
      </c>
      <c r="C21" s="2944" t="s">
        <v>3063</v>
      </c>
      <c r="D21" s="48">
        <f t="shared" si="6"/>
        <v>0</v>
      </c>
      <c r="E21" s="56">
        <f t="shared" si="1"/>
        <v>991.5300000000002</v>
      </c>
      <c r="F21" s="57"/>
      <c r="G21" s="58">
        <f>'数据-基础表'!M13</f>
        <v>991.5300000000002</v>
      </c>
      <c r="H21" s="720">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991.5300000000002</v>
      </c>
    </row>
    <row r="22" spans="1:19">
      <c r="A22" s="2256"/>
      <c r="B22" s="50" t="s">
        <v>1955</v>
      </c>
      <c r="C22" s="60"/>
      <c r="D22" s="48">
        <f t="shared" si="6"/>
        <v>0</v>
      </c>
      <c r="E22" s="56">
        <f t="shared" si="1"/>
        <v>0</v>
      </c>
      <c r="F22" s="61"/>
      <c r="G22" s="62"/>
      <c r="H22" s="720">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1955</v>
      </c>
      <c r="C23" s="60"/>
      <c r="D23" s="48">
        <f>ROUND($D$3*E23/$E$3,2)</f>
        <v>0</v>
      </c>
      <c r="E23" s="56">
        <f>SUM(F23:G23)</f>
        <v>0</v>
      </c>
      <c r="F23" s="61"/>
      <c r="G23" s="62"/>
      <c r="H23" s="720">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1955</v>
      </c>
      <c r="C24" s="60"/>
      <c r="D24" s="48">
        <f>ROUND($D$3*E24/$E$3,2)</f>
        <v>0</v>
      </c>
      <c r="E24" s="56">
        <f>SUM(F24:G24)</f>
        <v>0</v>
      </c>
      <c r="F24" s="61"/>
      <c r="G24" s="62"/>
      <c r="H24" s="720">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1955</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1955</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1956</v>
      </c>
      <c r="D27" s="1388">
        <f>SUM(D19:D26)</f>
        <v>0</v>
      </c>
      <c r="E27" s="1389">
        <f>IF(SUM(E19:E26)='数据-基础表'!BA5,SUM(E19:E26),IF(F27="地上面积有误","面积有误","地下面积有误"))</f>
        <v>11628.210000000001</v>
      </c>
      <c r="F27" s="1388">
        <f>IF(SUM(F19:F26)=E8,SUM(F19:F26),"地上面积有误")</f>
        <v>10636.68</v>
      </c>
      <c r="G27" s="1390">
        <f>SUM(G19:G26)</f>
        <v>991.5300000000002</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11628.210000000001</v>
      </c>
    </row>
    <row r="28" spans="1:19">
      <c r="A28" s="2256"/>
      <c r="B28" s="50" t="s">
        <v>1957</v>
      </c>
      <c r="C28" s="1254" t="s">
        <v>1958</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1957</v>
      </c>
      <c r="C29" s="2260" t="s">
        <v>1959</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1956</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2" t="s">
        <v>1960</v>
      </c>
      <c r="D31" s="726">
        <f>D27+D30</f>
        <v>0</v>
      </c>
      <c r="E31" s="726">
        <f>E27+E30</f>
        <v>11628.210000000001</v>
      </c>
      <c r="F31" s="727">
        <f>F27+F30</f>
        <v>10636.68</v>
      </c>
      <c r="G31" s="728">
        <f>G27+G30</f>
        <v>991.5300000000002</v>
      </c>
      <c r="H31" s="1387"/>
      <c r="I31" s="1387"/>
      <c r="J31" s="1387"/>
      <c r="K31" s="1387"/>
      <c r="L31" s="1387"/>
      <c r="M31" s="1387"/>
      <c r="N31" s="1387"/>
      <c r="O31" s="1387"/>
      <c r="P31" s="1387"/>
    </row>
    <row r="32" spans="1:19">
      <c r="A32" s="2227"/>
      <c r="B32" s="2227" t="s">
        <v>1961</v>
      </c>
      <c r="C32" s="2227"/>
      <c r="D32" s="2227"/>
      <c r="E32" s="1269">
        <f>SUMIF(C19:C26,"*住宅*",E19:E26)</f>
        <v>0</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7" customWidth="1"/>
    <col min="2" max="2" width="12" style="2268" customWidth="1"/>
    <col min="3" max="3" width="10.62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625" style="2268" customWidth="1"/>
    <col min="31" max="31" width="8" style="2268" customWidth="1"/>
    <col min="32" max="34" width="7.125" style="2268" customWidth="1"/>
    <col min="35" max="35" width="8" style="2268" customWidth="1"/>
    <col min="36" max="36" width="16.125" style="2268" customWidth="1"/>
    <col min="37" max="39" width="8" style="2268" customWidth="1"/>
    <col min="40" max="40" width="13.625" style="2267"/>
    <col min="41" max="41" width="11.625" style="2267" customWidth="1"/>
    <col min="42" max="42" width="9.625" style="2267" customWidth="1"/>
    <col min="43" max="67" width="13.625" style="2267"/>
    <col min="68" max="16384" width="13.625" style="2268"/>
  </cols>
  <sheetData>
    <row r="1" spans="1:67" ht="19.5" thickBot="1">
      <c r="A1" s="2265" t="s">
        <v>1962</v>
      </c>
      <c r="B1" s="729"/>
      <c r="C1" s="1576"/>
      <c r="D1" s="2266"/>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1">
        <f>项目基本情况!D3</f>
        <v>43185</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3" t="s">
        <v>1974</v>
      </c>
      <c r="F5" s="2286" t="s">
        <v>1975</v>
      </c>
      <c r="G5" s="1263" t="s">
        <v>1976</v>
      </c>
      <c r="H5" s="1263" t="s">
        <v>1977</v>
      </c>
      <c r="I5" s="1263" t="s">
        <v>1978</v>
      </c>
      <c r="J5" s="2287" t="s">
        <v>1979</v>
      </c>
      <c r="K5" s="2288" t="s">
        <v>1980</v>
      </c>
      <c r="L5" s="2289" t="s">
        <v>1981</v>
      </c>
      <c r="M5" s="2290" t="s">
        <v>1982</v>
      </c>
      <c r="N5" s="2291" t="s">
        <v>3054</v>
      </c>
      <c r="O5" s="2289" t="s">
        <v>1983</v>
      </c>
      <c r="P5" s="2292" t="s">
        <v>1984</v>
      </c>
      <c r="Q5" s="69" t="s">
        <v>1985</v>
      </c>
      <c r="R5" s="2293" t="s">
        <v>1986</v>
      </c>
      <c r="S5" s="2294" t="s">
        <v>1987</v>
      </c>
      <c r="T5" s="2295" t="s">
        <v>1988</v>
      </c>
      <c r="U5" s="1262" t="s">
        <v>1989</v>
      </c>
      <c r="V5" s="1263" t="s">
        <v>1990</v>
      </c>
      <c r="W5" s="1263" t="s">
        <v>1991</v>
      </c>
      <c r="X5" s="71"/>
      <c r="Y5" s="70" t="s">
        <v>1992</v>
      </c>
      <c r="Z5" s="2296" t="s">
        <v>1989</v>
      </c>
      <c r="AA5" s="1263" t="s">
        <v>1990</v>
      </c>
      <c r="AB5" s="1263" t="s">
        <v>1991</v>
      </c>
      <c r="AC5" s="71"/>
      <c r="AD5" s="71" t="s">
        <v>1992</v>
      </c>
      <c r="AE5" s="1262" t="s">
        <v>1993</v>
      </c>
      <c r="AF5" s="1263" t="s">
        <v>1994</v>
      </c>
      <c r="AG5" s="70" t="s">
        <v>1995</v>
      </c>
      <c r="AH5" s="1262" t="s">
        <v>1996</v>
      </c>
      <c r="AI5" s="2296" t="s">
        <v>1997</v>
      </c>
      <c r="AJ5" s="2296" t="s">
        <v>1998</v>
      </c>
      <c r="AK5" s="1263" t="s">
        <v>1999</v>
      </c>
      <c r="AL5" s="1263" t="s">
        <v>2000</v>
      </c>
      <c r="AM5" s="70" t="s">
        <v>2001</v>
      </c>
      <c r="AN5" s="2297" t="s">
        <v>2002</v>
      </c>
      <c r="AO5" s="2068" t="s">
        <v>2003</v>
      </c>
      <c r="AP5" s="1244"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办公</v>
      </c>
      <c r="B6" s="2300" t="str">
        <f>IF(A6=0,"","经营性")</f>
        <v>经营性</v>
      </c>
      <c r="C6" s="2301" t="s">
        <v>27</v>
      </c>
      <c r="D6" s="1046">
        <f>SUMIF(项目基本情况!D$12:I$12,C6,项目基本情况!D$14:I$14)</f>
        <v>50</v>
      </c>
      <c r="E6" s="1043">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799">
        <v>0.05</v>
      </c>
      <c r="I6" s="799">
        <v>0.06</v>
      </c>
      <c r="J6" s="74">
        <v>8.5000000000000006E-2</v>
      </c>
      <c r="K6" s="1246">
        <f>SUMIF('数据-汇总表'!C$19:C$33,A6,'数据-汇总表'!E$19:E$33)</f>
        <v>8532.39</v>
      </c>
      <c r="L6" s="800">
        <v>3000</v>
      </c>
      <c r="M6" s="75">
        <f t="shared" ref="M6:M14" si="0">ROUND(K6*L6/10000,0)</f>
        <v>2560</v>
      </c>
      <c r="N6" s="798">
        <f>ROUND(1-(2018-2012)/60,2)</f>
        <v>0.9</v>
      </c>
      <c r="O6" s="75" t="str">
        <f>IF($N$5="成新度","——",ROUND(M6*N6,0))</f>
        <v>——</v>
      </c>
      <c r="P6" s="76" t="str">
        <f>IF($N$5="成新度","——",M6-O6)</f>
        <v>——</v>
      </c>
      <c r="Q6" s="801">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v>5.8</v>
      </c>
      <c r="V6" s="79">
        <v>0.03</v>
      </c>
      <c r="W6" s="79">
        <v>0.1</v>
      </c>
      <c r="X6" s="1256"/>
      <c r="Y6" s="80">
        <f>N6</f>
        <v>0.9</v>
      </c>
      <c r="Z6" s="81"/>
      <c r="AA6" s="74"/>
      <c r="AB6" s="74"/>
      <c r="AC6" s="1256"/>
      <c r="AD6" s="82"/>
      <c r="AE6" s="1257">
        <f ca="1">IF(AN6="",0,SUMIF(INDIRECT("'"&amp;AN6&amp;"'"&amp;"!E:E"),$AE$5,INDIRECT("'"&amp;AN6&amp;"'"&amp;"!F:F")))</f>
        <v>41.23</v>
      </c>
      <c r="AF6" s="1799"/>
      <c r="AG6" s="146">
        <f>IF(AF6="",0,AE6-AF6)</f>
        <v>0</v>
      </c>
      <c r="AH6" s="83"/>
      <c r="AI6" s="85">
        <v>365</v>
      </c>
      <c r="AJ6" s="86"/>
      <c r="AK6" s="87">
        <v>1.4999999999999999E-2</v>
      </c>
      <c r="AL6" s="88">
        <v>1.5E-3</v>
      </c>
      <c r="AM6" s="89">
        <v>0.03</v>
      </c>
      <c r="AN6" s="2302" t="s">
        <v>3069</v>
      </c>
      <c r="AO6" s="55">
        <f ca="1">SUMIF(INDIRECT("'"&amp;AN6&amp;"'"&amp;"!A:A"),"总价",INDIRECT("'"&amp;AN6&amp;"'"&amp;"!B:B"))</f>
        <v>28616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v>
      </c>
      <c r="B7" s="2300" t="str">
        <f t="shared" ref="B7:B13" si="1">IF(A7=0,"","经营性")</f>
        <v>经营性</v>
      </c>
      <c r="C7" s="2301" t="s">
        <v>1377</v>
      </c>
      <c r="D7" s="1046">
        <f>SUMIF(项目基本情况!D$12:I$12,C7,项目基本情况!D$14:I$14)</f>
        <v>40</v>
      </c>
      <c r="E7" s="1043">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799">
        <v>0.05</v>
      </c>
      <c r="I7" s="799">
        <v>6.5000000000000002E-2</v>
      </c>
      <c r="J7" s="74">
        <v>8.5000000000000006E-2</v>
      </c>
      <c r="K7" s="1246">
        <f>SUMIF('数据-汇总表'!C$19:C$33,A7,'数据-汇总表'!E$19:E$33)</f>
        <v>2104.29</v>
      </c>
      <c r="L7" s="800">
        <v>3000</v>
      </c>
      <c r="M7" s="75">
        <f t="shared" si="0"/>
        <v>631</v>
      </c>
      <c r="N7" s="798">
        <f t="shared" ref="N7:N13" si="3">ROUND(1-(2018-2012)/60,2)</f>
        <v>0.9</v>
      </c>
      <c r="O7" s="75" t="str">
        <f t="shared" ref="O7:O14" si="4">IF($N$5="成新度","——",ROUND(M7*N7,0))</f>
        <v>——</v>
      </c>
      <c r="P7" s="76" t="str">
        <f t="shared" ref="P7:P14" si="5">IF($N$5="成新度","——",M7-O7)</f>
        <v>——</v>
      </c>
      <c r="Q7" s="801">
        <v>0.2</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78">
        <v>9</v>
      </c>
      <c r="V7" s="79">
        <v>0.03</v>
      </c>
      <c r="W7" s="79">
        <v>0.1</v>
      </c>
      <c r="X7" s="1256"/>
      <c r="Y7" s="80">
        <f t="shared" ref="Y7:Y13" si="7">N7</f>
        <v>0.9</v>
      </c>
      <c r="Z7" s="81"/>
      <c r="AA7" s="74"/>
      <c r="AB7" s="74"/>
      <c r="AC7" s="1256"/>
      <c r="AD7" s="82"/>
      <c r="AE7" s="1257">
        <f t="shared" ref="AE7:AE13" ca="1" si="8">IF(AN7="",0,SUMIF(INDIRECT("'"&amp;AN7&amp;"'"&amp;"!E:E"),$AE$5,INDIRECT("'"&amp;AN7&amp;"'"&amp;"!F:F")))</f>
        <v>31.23</v>
      </c>
      <c r="AF7" s="1799"/>
      <c r="AG7" s="146">
        <f t="shared" ref="AG7:AG13" si="9">IF(AF7="",0,AE7-AF7)</f>
        <v>0</v>
      </c>
      <c r="AH7" s="83"/>
      <c r="AI7" s="85">
        <v>365</v>
      </c>
      <c r="AJ7" s="86"/>
      <c r="AK7" s="87">
        <v>1.4999999999999999E-2</v>
      </c>
      <c r="AL7" s="88">
        <v>1.5E-3</v>
      </c>
      <c r="AM7" s="89">
        <v>0.03</v>
      </c>
      <c r="AN7" s="2302" t="s">
        <v>3071</v>
      </c>
      <c r="AO7" s="55">
        <f t="shared" ref="AO7:AO13" ca="1" si="10">SUMIF(INDIRECT("'"&amp;AN7&amp;"'"&amp;"!A:A"),"总价",INDIRECT("'"&amp;AN7&amp;"'"&amp;"!B:B"))</f>
        <v>8914</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车位</v>
      </c>
      <c r="B8" s="2300" t="str">
        <f t="shared" si="1"/>
        <v>经营性</v>
      </c>
      <c r="C8" s="2301" t="s">
        <v>3053</v>
      </c>
      <c r="D8" s="1046">
        <f>SUMIF(项目基本情况!D$12:I$12,C8,项目基本情况!D$14:I$14)</f>
        <v>50</v>
      </c>
      <c r="E8" s="1043">
        <f>IF(B8="","",SUMIF(项目基本情况!D$12:I$12,C8,项目基本情况!D$13:I$13))</f>
        <v>58236</v>
      </c>
      <c r="F8" s="72">
        <f>SUMIF(项目基本情况!D$12:I$12,C8,项目基本情况!D$15:I$15)</f>
        <v>41.23</v>
      </c>
      <c r="G8" s="73">
        <f t="shared" si="2"/>
        <v>0.94899999999999995</v>
      </c>
      <c r="H8" s="799">
        <v>0.05</v>
      </c>
      <c r="I8" s="799">
        <v>5.5E-2</v>
      </c>
      <c r="J8" s="74">
        <v>8.5000000000000006E-2</v>
      </c>
      <c r="K8" s="1246">
        <f>SUMIF('数据-汇总表'!C$19:C$33,A8,'数据-汇总表'!E$19:E$33)</f>
        <v>991.5300000000002</v>
      </c>
      <c r="L8" s="800">
        <v>2000</v>
      </c>
      <c r="M8" s="75">
        <f>ROUND(K8*L8/10000,0)</f>
        <v>198</v>
      </c>
      <c r="N8" s="798">
        <f t="shared" si="3"/>
        <v>0.9</v>
      </c>
      <c r="O8" s="75" t="str">
        <f t="shared" si="4"/>
        <v>——</v>
      </c>
      <c r="P8" s="76" t="str">
        <f t="shared" si="5"/>
        <v>——</v>
      </c>
      <c r="Q8" s="801">
        <v>0.03</v>
      </c>
      <c r="R8" s="77">
        <f ca="1">SUMIF('数据-汇总表'!C$19:C$33,A8,'数据-汇总表'!R$19:R$27)</f>
        <v>0</v>
      </c>
      <c r="S8" s="54">
        <f>IF('数据-汇总表'!$I$17="按面积比例",SUMIF('数据-汇总表'!C$19:C$33,A8,'数据-汇总表'!K$19:K$33),SUMIF('数据-汇总表'!C$19:C$33,A8,'数据-汇总表'!N$19:N$33))</f>
        <v>0</v>
      </c>
      <c r="T8" s="1438">
        <f t="shared" si="6"/>
        <v>0</v>
      </c>
      <c r="U8" s="802">
        <v>800</v>
      </c>
      <c r="V8" s="79">
        <v>0.03</v>
      </c>
      <c r="W8" s="79">
        <v>0.1</v>
      </c>
      <c r="X8" s="1256"/>
      <c r="Y8" s="80">
        <f t="shared" si="7"/>
        <v>0.9</v>
      </c>
      <c r="Z8" s="81"/>
      <c r="AA8" s="74"/>
      <c r="AB8" s="74"/>
      <c r="AC8" s="1256"/>
      <c r="AD8" s="82"/>
      <c r="AE8" s="1257">
        <f t="shared" ca="1" si="8"/>
        <v>41.23</v>
      </c>
      <c r="AF8" s="1799"/>
      <c r="AG8" s="146">
        <f t="shared" si="9"/>
        <v>0</v>
      </c>
      <c r="AH8" s="803">
        <v>23</v>
      </c>
      <c r="AI8" s="85">
        <v>12</v>
      </c>
      <c r="AJ8" s="86"/>
      <c r="AK8" s="87">
        <v>1.4999999999999999E-2</v>
      </c>
      <c r="AL8" s="88">
        <v>1.5E-3</v>
      </c>
      <c r="AM8" s="89">
        <v>0.03</v>
      </c>
      <c r="AN8" s="2302" t="s">
        <v>3072</v>
      </c>
      <c r="AO8" s="55">
        <f t="shared" ca="1" si="10"/>
        <v>280</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hidden="1">
      <c r="A9" s="2299">
        <f>'数据-汇总表'!C22</f>
        <v>0</v>
      </c>
      <c r="B9" s="2300" t="str">
        <f t="shared" si="1"/>
        <v/>
      </c>
      <c r="C9" s="2301"/>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8">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8">
        <f t="shared" si="6"/>
        <v>0</v>
      </c>
      <c r="U9" s="78"/>
      <c r="V9" s="79"/>
      <c r="W9" s="79"/>
      <c r="X9" s="1256"/>
      <c r="Y9" s="80">
        <f t="shared" si="7"/>
        <v>0.9</v>
      </c>
      <c r="Z9" s="81"/>
      <c r="AA9" s="74"/>
      <c r="AB9" s="74"/>
      <c r="AC9" s="1256"/>
      <c r="AD9" s="82"/>
      <c r="AE9" s="1257">
        <f t="shared" ca="1" si="8"/>
        <v>0</v>
      </c>
      <c r="AF9" s="1799"/>
      <c r="AG9" s="146">
        <f t="shared" si="9"/>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8">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8">
        <f t="shared" si="6"/>
        <v>0</v>
      </c>
      <c r="U10" s="78"/>
      <c r="V10" s="79"/>
      <c r="W10" s="79"/>
      <c r="X10" s="1256"/>
      <c r="Y10" s="80">
        <f t="shared" si="7"/>
        <v>0.9</v>
      </c>
      <c r="Z10" s="81"/>
      <c r="AA10" s="74"/>
      <c r="AB10" s="74"/>
      <c r="AC10" s="1256"/>
      <c r="AD10" s="82"/>
      <c r="AE10" s="1257">
        <f t="shared" ca="1" si="8"/>
        <v>0</v>
      </c>
      <c r="AF10" s="1799"/>
      <c r="AG10" s="146">
        <f t="shared" si="9"/>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798">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8">
        <f t="shared" si="6"/>
        <v>0</v>
      </c>
      <c r="U11" s="83"/>
      <c r="V11" s="74"/>
      <c r="W11" s="74"/>
      <c r="X11" s="1256"/>
      <c r="Y11" s="80">
        <f t="shared" si="7"/>
        <v>0.9</v>
      </c>
      <c r="Z11" s="93"/>
      <c r="AA11" s="74"/>
      <c r="AB11" s="74"/>
      <c r="AC11" s="1256"/>
      <c r="AD11" s="82"/>
      <c r="AE11" s="1257">
        <f t="shared" ca="1" si="8"/>
        <v>0</v>
      </c>
      <c r="AF11" s="1799"/>
      <c r="AG11" s="146">
        <f t="shared" si="9"/>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798">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f t="shared" si="7"/>
        <v>0.9</v>
      </c>
      <c r="Z12" s="93"/>
      <c r="AA12" s="74"/>
      <c r="AB12" s="74"/>
      <c r="AC12" s="1256"/>
      <c r="AD12" s="82"/>
      <c r="AE12" s="1257">
        <f t="shared" ca="1" si="8"/>
        <v>0</v>
      </c>
      <c r="AF12" s="1799"/>
      <c r="AG12" s="146">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798">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f t="shared" si="7"/>
        <v>0.9</v>
      </c>
      <c r="Z13" s="81"/>
      <c r="AA13" s="74"/>
      <c r="AB13" s="74"/>
      <c r="AC13" s="1256"/>
      <c r="AD13" s="82"/>
      <c r="AE13" s="1257">
        <f t="shared" ca="1" si="8"/>
        <v>0</v>
      </c>
      <c r="AF13" s="1799"/>
      <c r="AG13" s="146">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6"/>
      <c r="AH14" s="1257"/>
      <c r="AI14" s="1810"/>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6"/>
      <c r="AH15" s="1257"/>
      <c r="AI15" s="1810"/>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7"/>
      <c r="C16" s="1000"/>
      <c r="D16" s="2307"/>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2">
        <v>0</v>
      </c>
      <c r="C19" s="2270" t="s">
        <v>2014</v>
      </c>
      <c r="D19" s="2271"/>
      <c r="E19" s="2270"/>
      <c r="F19" s="2270"/>
      <c r="G19" s="2270"/>
      <c r="H19" s="2270"/>
      <c r="I19" s="2270"/>
      <c r="J19" s="2270"/>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3">
        <v>2</v>
      </c>
      <c r="C20" s="2270" t="s">
        <v>2016</v>
      </c>
      <c r="D20" s="2271"/>
      <c r="E20" s="2270"/>
      <c r="F20" s="2270"/>
      <c r="G20" s="2270"/>
      <c r="H20" s="2270"/>
      <c r="I20" s="2270"/>
      <c r="J20" s="2270"/>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3">
        <v>2</v>
      </c>
      <c r="C21" s="2270"/>
      <c r="D21" s="2271"/>
      <c r="E21" s="2270"/>
      <c r="F21" s="2270"/>
      <c r="G21" s="2270"/>
      <c r="H21" s="2270"/>
      <c r="I21" s="2270"/>
      <c r="J21" s="2270"/>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4">
        <f>B19+B20</f>
        <v>2</v>
      </c>
      <c r="C22" s="2270"/>
      <c r="D22" s="2271"/>
      <c r="E22" s="2270"/>
      <c r="F22" s="2270"/>
      <c r="G22" s="2270"/>
      <c r="H22" s="2270"/>
      <c r="I22" s="2270"/>
      <c r="J22" s="2270"/>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4">
        <f>B19+B21</f>
        <v>2</v>
      </c>
      <c r="C23" s="2270"/>
      <c r="D23" s="2271"/>
      <c r="E23" s="2270"/>
      <c r="F23" s="2270"/>
      <c r="G23" s="2270"/>
      <c r="H23" s="2270"/>
      <c r="I23" s="2270"/>
      <c r="J23" s="2270"/>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5">
        <f>B20-B21</f>
        <v>0</v>
      </c>
      <c r="C24" s="2270"/>
      <c r="D24" s="2271"/>
      <c r="E24" s="2270"/>
      <c r="F24" s="2270"/>
      <c r="G24" s="2270"/>
      <c r="H24" s="2270"/>
      <c r="I24" s="2270"/>
      <c r="J24" s="2270"/>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7.75">
      <c r="A27" s="2315" t="s">
        <v>2024</v>
      </c>
      <c r="B27" s="116">
        <v>160</v>
      </c>
      <c r="C27" s="1759" t="s">
        <v>2025</v>
      </c>
      <c r="D27" s="2316"/>
      <c r="E27" s="1422"/>
      <c r="F27" s="1422"/>
      <c r="G27" s="2270"/>
      <c r="H27" s="2270"/>
      <c r="I27" s="2270"/>
      <c r="J27" s="2270"/>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2026</v>
      </c>
      <c r="B28" s="119">
        <v>200</v>
      </c>
      <c r="C28" s="2319"/>
      <c r="D28" s="2316"/>
      <c r="E28" s="1422"/>
      <c r="F28" s="1422"/>
      <c r="G28" s="2270"/>
      <c r="H28" s="2270"/>
      <c r="I28" s="2270"/>
      <c r="J28" s="2270"/>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2027</v>
      </c>
      <c r="B29" s="121">
        <f ca="1">成本法!C9+成本法!C10</f>
        <v>233</v>
      </c>
      <c r="C29" s="1759" t="s">
        <v>2028</v>
      </c>
      <c r="D29" s="2316"/>
      <c r="E29" s="1422"/>
      <c r="F29" s="1422"/>
      <c r="G29" s="2270"/>
      <c r="H29" s="2270"/>
      <c r="I29" s="2270"/>
      <c r="J29" s="2270"/>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2029</v>
      </c>
      <c r="B30" s="721">
        <v>200</v>
      </c>
      <c r="C30" s="2319"/>
      <c r="D30" s="2316"/>
      <c r="E30" s="1422"/>
      <c r="F30" s="1422"/>
      <c r="G30" s="2270"/>
      <c r="H30" s="2270"/>
      <c r="I30" s="2270"/>
      <c r="J30" s="2270"/>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2030</v>
      </c>
      <c r="B31" s="120">
        <f>B30-B32</f>
        <v>200</v>
      </c>
      <c r="C31" s="1759"/>
      <c r="D31" s="2316"/>
      <c r="E31" s="1422"/>
      <c r="F31" s="1422"/>
      <c r="G31" s="2270"/>
      <c r="H31" s="2270"/>
      <c r="I31" s="2270"/>
      <c r="J31" s="2270"/>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2031</v>
      </c>
      <c r="B32" s="722">
        <v>0</v>
      </c>
      <c r="C32" s="2319"/>
      <c r="D32" s="2271"/>
      <c r="E32" s="2270"/>
      <c r="F32" s="2270"/>
      <c r="G32" s="2270"/>
      <c r="H32" s="2270"/>
      <c r="I32" s="2270"/>
      <c r="J32" s="2270"/>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2032</v>
      </c>
      <c r="B33" s="723">
        <v>0.03</v>
      </c>
      <c r="C33" s="1758" t="s">
        <v>2033</v>
      </c>
      <c r="D33" s="2271"/>
      <c r="E33" s="2270"/>
      <c r="F33" s="2270"/>
      <c r="G33" s="2270"/>
      <c r="H33" s="2270"/>
      <c r="I33" s="2270"/>
      <c r="J33" s="2270"/>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2034</v>
      </c>
      <c r="B34" s="122">
        <v>0</v>
      </c>
      <c r="C34" s="1758" t="s">
        <v>2035</v>
      </c>
      <c r="D34" s="2271" t="s">
        <v>2036</v>
      </c>
      <c r="E34" s="729"/>
      <c r="F34" s="2270"/>
      <c r="G34" s="2270"/>
      <c r="H34" s="2270"/>
      <c r="I34" s="2270"/>
      <c r="J34" s="2270"/>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2037</v>
      </c>
      <c r="B35" s="119">
        <v>200</v>
      </c>
      <c r="C35" s="1758" t="s">
        <v>2038</v>
      </c>
      <c r="D35" s="2316"/>
      <c r="E35" s="1422"/>
      <c r="F35" s="1422"/>
      <c r="G35" s="2270"/>
      <c r="H35" s="2270"/>
      <c r="I35" s="2270"/>
      <c r="J35" s="2270"/>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2039</v>
      </c>
      <c r="B36" s="123">
        <v>1.4999999999999999E-2</v>
      </c>
      <c r="C36" s="1758" t="s">
        <v>2040</v>
      </c>
      <c r="D36" s="2271"/>
      <c r="E36" s="2270"/>
      <c r="F36" s="2270"/>
      <c r="G36" s="2270"/>
      <c r="H36" s="2270"/>
      <c r="I36" s="2270"/>
      <c r="J36" s="2270"/>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4">
        <v>0.02</v>
      </c>
      <c r="C37" s="1758" t="s">
        <v>2042</v>
      </c>
      <c r="D37" s="2271"/>
      <c r="E37" s="2270"/>
      <c r="F37" s="2270"/>
      <c r="G37" s="2270"/>
      <c r="H37" s="2270"/>
      <c r="I37" s="2270"/>
      <c r="J37" s="2270"/>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122">
        <v>0.03</v>
      </c>
      <c r="C38" s="1758" t="s">
        <v>2042</v>
      </c>
      <c r="D38" s="2271"/>
      <c r="E38" s="2270"/>
      <c r="F38" s="2270"/>
      <c r="G38" s="2270"/>
      <c r="H38" s="2270"/>
      <c r="I38" s="2270"/>
      <c r="J38" s="2270"/>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61">
        <f ca="1">存贷款利率!I1</f>
        <v>1.4999999999999999E-2</v>
      </c>
      <c r="C39" s="1758"/>
      <c r="D39" s="2271"/>
      <c r="E39" s="2270"/>
      <c r="F39" s="2270"/>
      <c r="G39" s="2270"/>
      <c r="H39" s="2270"/>
      <c r="I39" s="2270"/>
      <c r="J39" s="2270"/>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5">
        <f ca="1">存贷款利率!G1</f>
        <v>4.7500000000000001E-2</v>
      </c>
      <c r="C40" s="1758" t="s">
        <v>2046</v>
      </c>
      <c r="D40" s="1576"/>
      <c r="E40" s="2271"/>
      <c r="F40" s="2270"/>
      <c r="G40" s="2270"/>
      <c r="H40" s="2270"/>
      <c r="I40" s="2270"/>
      <c r="J40" s="2270"/>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5">
        <f>B42+B43</f>
        <v>5.6000000000000001E-2</v>
      </c>
      <c r="C41" s="1759"/>
      <c r="D41" s="1576"/>
      <c r="E41" s="2271"/>
      <c r="F41" s="2270"/>
      <c r="G41" s="2270"/>
      <c r="H41" s="2270"/>
      <c r="I41" s="2270"/>
      <c r="J41" s="2270"/>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6">
        <v>0.05</v>
      </c>
      <c r="C42" s="2324">
        <f>IF(B2&lt;DATE(2016,5,1),0,B42)</f>
        <v>0.05</v>
      </c>
      <c r="D42" s="2271"/>
      <c r="E42" s="2270"/>
      <c r="F42" s="2270"/>
      <c r="G42" s="2270"/>
      <c r="H42" s="2270"/>
      <c r="I42" s="2270"/>
      <c r="J42" s="2270"/>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7">
        <f>B42*(B44+B45+B46)+B47</f>
        <v>6.000000000000001E-3</v>
      </c>
      <c r="C43" s="1759"/>
      <c r="D43" s="2271"/>
      <c r="E43" s="2270"/>
      <c r="F43" s="2270"/>
      <c r="G43" s="2270"/>
      <c r="H43" s="2270"/>
      <c r="I43" s="2270"/>
      <c r="J43" s="2270"/>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8">
        <v>7.0000000000000007E-2</v>
      </c>
      <c r="C44" s="1758" t="s">
        <v>2051</v>
      </c>
      <c r="D44" s="2271"/>
      <c r="E44" s="2270"/>
      <c r="F44" s="2270"/>
      <c r="G44" s="2270"/>
      <c r="H44" s="2270"/>
      <c r="I44" s="2270"/>
      <c r="J44" s="2270"/>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6">
        <v>0.03</v>
      </c>
      <c r="C45" s="1759" t="s">
        <v>2053</v>
      </c>
      <c r="D45" s="2271"/>
      <c r="E45" s="2270"/>
      <c r="F45" s="2270"/>
      <c r="G45" s="2270"/>
      <c r="H45" s="2270"/>
      <c r="I45" s="2270"/>
      <c r="J45" s="2270"/>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6">
        <v>0.02</v>
      </c>
      <c r="C46" s="1759" t="s">
        <v>2055</v>
      </c>
      <c r="D46" s="2271"/>
      <c r="E46" s="2270"/>
      <c r="F46" s="2270"/>
      <c r="G46" s="2270"/>
      <c r="H46" s="2270"/>
      <c r="I46" s="2270"/>
      <c r="J46" s="2270"/>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9">
        <v>0</v>
      </c>
      <c r="C47" s="1759" t="s">
        <v>2057</v>
      </c>
      <c r="D47" s="2271"/>
      <c r="E47" s="2270"/>
      <c r="F47" s="2270"/>
      <c r="G47" s="2270"/>
      <c r="H47" s="2270"/>
      <c r="I47" s="2270"/>
      <c r="J47" s="2270"/>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30">
        <v>0.03</v>
      </c>
      <c r="C48" s="1766" t="s">
        <v>2059</v>
      </c>
      <c r="D48" s="2271"/>
      <c r="E48" s="2270"/>
      <c r="F48" s="2270"/>
      <c r="G48" s="2270"/>
      <c r="H48" s="2270"/>
      <c r="I48" s="2270"/>
      <c r="J48" s="2270"/>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6">
        <v>5.0000000000000001E-4</v>
      </c>
      <c r="C49" s="1766" t="s">
        <v>2061</v>
      </c>
      <c r="D49" s="2271"/>
      <c r="E49" s="2270"/>
      <c r="F49" s="2270"/>
      <c r="G49" s="2270"/>
      <c r="H49" s="2270"/>
      <c r="I49" s="2270"/>
      <c r="J49" s="2270"/>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31">
        <v>1.2E-2</v>
      </c>
      <c r="C50" s="1422"/>
      <c r="D50" s="2271"/>
      <c r="E50" s="2270"/>
      <c r="F50" s="2270"/>
      <c r="G50" s="2270"/>
      <c r="H50" s="2270"/>
      <c r="I50" s="2270"/>
      <c r="J50" s="2270"/>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32">
        <v>0.12</v>
      </c>
      <c r="C51" s="1422"/>
      <c r="D51" s="2271"/>
      <c r="E51" s="2270"/>
      <c r="F51" s="2270"/>
      <c r="G51" s="2270"/>
      <c r="H51" s="2270"/>
      <c r="I51" s="2270"/>
      <c r="J51" s="2270"/>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3">
        <f>SUMIF(A54:A63,B53,B54:B63)</f>
        <v>18</v>
      </c>
      <c r="C52" s="1422"/>
      <c r="D52" s="2271"/>
      <c r="E52" s="2270"/>
      <c r="F52" s="2270"/>
      <c r="G52" s="2270"/>
      <c r="H52" s="2270"/>
      <c r="I52" s="2270"/>
      <c r="J52" s="2270"/>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943" t="s">
        <v>442</v>
      </c>
      <c r="C53" s="1422" t="s">
        <v>2066</v>
      </c>
      <c r="D53" s="2329" t="s">
        <v>2067</v>
      </c>
      <c r="E53" s="2270"/>
      <c r="F53" s="2270"/>
      <c r="G53" s="2270"/>
      <c r="H53" s="2270"/>
      <c r="I53" s="2270"/>
      <c r="J53" s="2270"/>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2068</v>
      </c>
      <c r="B54" s="84"/>
      <c r="C54" s="1422">
        <v>30</v>
      </c>
      <c r="D54" s="2271"/>
      <c r="E54" s="2270"/>
      <c r="F54" s="2270"/>
      <c r="G54" s="2270"/>
      <c r="H54" s="2270"/>
      <c r="I54" s="2270"/>
      <c r="J54" s="2270"/>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2069</v>
      </c>
      <c r="B55" s="84">
        <v>24</v>
      </c>
      <c r="C55" s="1422">
        <v>24</v>
      </c>
      <c r="D55" s="2271"/>
      <c r="E55" s="2270"/>
      <c r="F55" s="2270"/>
      <c r="G55" s="2270"/>
      <c r="H55" s="2270"/>
      <c r="I55" s="2331"/>
      <c r="J55" s="2270"/>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2070</v>
      </c>
      <c r="B56" s="84">
        <v>18</v>
      </c>
      <c r="C56" s="1422">
        <v>18</v>
      </c>
      <c r="D56" s="2271"/>
      <c r="E56" s="2270"/>
      <c r="F56" s="2270"/>
      <c r="G56" s="2270"/>
      <c r="H56" s="2270"/>
      <c r="I56" s="2270"/>
      <c r="J56" s="2270"/>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2071</v>
      </c>
      <c r="B57" s="84"/>
      <c r="C57" s="1422">
        <v>12</v>
      </c>
      <c r="D57" s="2271"/>
      <c r="E57" s="2270"/>
      <c r="F57" s="2270"/>
      <c r="G57" s="2270"/>
      <c r="H57" s="2270"/>
      <c r="I57" s="2270"/>
      <c r="J57" s="2270"/>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2072</v>
      </c>
      <c r="B58" s="84"/>
      <c r="C58" s="1422">
        <v>3</v>
      </c>
      <c r="D58" s="2271"/>
      <c r="E58" s="2270"/>
      <c r="F58" s="2270"/>
      <c r="G58" s="2270"/>
      <c r="H58" s="2270"/>
      <c r="I58" s="2270"/>
      <c r="J58" s="2270"/>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2073</v>
      </c>
      <c r="B59" s="84"/>
      <c r="C59" s="1422">
        <v>1.5</v>
      </c>
      <c r="D59" s="2271"/>
      <c r="E59" s="2270"/>
      <c r="F59" s="2270"/>
      <c r="G59" s="2270"/>
      <c r="H59" s="2270"/>
      <c r="I59" s="2270"/>
      <c r="J59" s="2270"/>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2074</v>
      </c>
      <c r="B60" s="84"/>
      <c r="C60" s="2270"/>
      <c r="D60" s="2271"/>
      <c r="E60" s="2270"/>
      <c r="F60" s="2270"/>
      <c r="G60" s="2270"/>
      <c r="H60" s="2270"/>
      <c r="I60" s="2270"/>
      <c r="J60" s="2270"/>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2075</v>
      </c>
      <c r="B61" s="84"/>
      <c r="C61" s="2270"/>
      <c r="D61" s="2271"/>
      <c r="E61" s="2270"/>
      <c r="F61" s="2270"/>
      <c r="G61" s="2270"/>
      <c r="H61" s="2270"/>
      <c r="I61" s="2270"/>
      <c r="J61" s="2270"/>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2076</v>
      </c>
      <c r="B62" s="84"/>
      <c r="C62" s="2270"/>
      <c r="D62" s="2271"/>
      <c r="E62" s="2270"/>
      <c r="F62" s="2270"/>
      <c r="G62" s="2270"/>
      <c r="H62" s="2270"/>
      <c r="I62" s="2270"/>
      <c r="J62" s="2270"/>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2077</v>
      </c>
      <c r="B63" s="134"/>
      <c r="C63" s="2270"/>
      <c r="D63" s="2271"/>
      <c r="E63" s="2270"/>
      <c r="F63" s="2270"/>
      <c r="G63" s="2270"/>
      <c r="H63" s="2270"/>
      <c r="I63" s="2270"/>
      <c r="J63" s="2270"/>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3"/>
      <c r="D64" s="2334"/>
      <c r="K64" s="795"/>
      <c r="L64" s="795"/>
    </row>
    <row r="65" spans="1:12" s="959" customFormat="1">
      <c r="A65" s="2333"/>
      <c r="D65" s="2334"/>
      <c r="K65" s="795"/>
      <c r="L65" s="795"/>
    </row>
    <row r="66" spans="1:12" s="959" customFormat="1">
      <c r="A66" s="2333"/>
      <c r="D66" s="2334"/>
      <c r="K66" s="795"/>
      <c r="L66" s="795"/>
    </row>
    <row r="67" spans="1:12" s="959" customFormat="1">
      <c r="A67" s="2333"/>
      <c r="D67" s="2334"/>
      <c r="K67" s="795"/>
      <c r="L67" s="795"/>
    </row>
    <row r="68" spans="1:12" s="959" customFormat="1">
      <c r="A68" s="2333"/>
      <c r="D68" s="2334"/>
      <c r="K68" s="795"/>
      <c r="L68" s="795"/>
    </row>
    <row r="69" spans="1:12" s="959" customFormat="1">
      <c r="A69" s="2333"/>
      <c r="D69" s="2334"/>
      <c r="K69" s="795"/>
      <c r="L69" s="795"/>
    </row>
    <row r="70" spans="1:12" s="959" customFormat="1">
      <c r="A70" s="2333"/>
      <c r="D70" s="2334"/>
      <c r="K70" s="795"/>
      <c r="L70" s="795"/>
    </row>
    <row r="71" spans="1:12" s="959" customFormat="1">
      <c r="A71" s="2333"/>
      <c r="D71" s="2334"/>
      <c r="K71" s="795"/>
      <c r="L71" s="795"/>
    </row>
    <row r="72" spans="1:12" s="959" customFormat="1">
      <c r="A72" s="2333"/>
      <c r="D72" s="2334"/>
      <c r="K72" s="795"/>
      <c r="L72" s="795"/>
    </row>
    <row r="73" spans="1:12" s="959" customFormat="1">
      <c r="A73" s="2333"/>
      <c r="D73" s="2334"/>
      <c r="K73" s="795"/>
      <c r="L73" s="795"/>
    </row>
    <row r="74" spans="1:12" s="959" customFormat="1">
      <c r="A74" s="2333"/>
      <c r="D74" s="2334"/>
      <c r="K74" s="795"/>
      <c r="L74" s="795"/>
    </row>
    <row r="75" spans="1:12" s="959" customFormat="1">
      <c r="A75" s="2333"/>
      <c r="D75" s="2334"/>
      <c r="K75" s="795"/>
      <c r="L75" s="795"/>
    </row>
    <row r="76" spans="1:12" s="959" customFormat="1">
      <c r="A76" s="2333"/>
      <c r="D76" s="2334"/>
      <c r="K76" s="795"/>
      <c r="L76" s="795"/>
    </row>
    <row r="77" spans="1:12" s="959" customFormat="1">
      <c r="A77" s="2333"/>
      <c r="D77" s="2334"/>
      <c r="K77" s="795"/>
      <c r="L77" s="795"/>
    </row>
    <row r="78" spans="1:12" s="959" customFormat="1">
      <c r="A78" s="2333"/>
      <c r="D78" s="2334"/>
      <c r="K78" s="795"/>
      <c r="L78" s="795"/>
    </row>
    <row r="79" spans="1:12" s="959" customFormat="1">
      <c r="A79" s="2333"/>
      <c r="D79" s="2334"/>
      <c r="K79" s="795"/>
      <c r="L79" s="795"/>
    </row>
    <row r="80" spans="1:12" s="959" customFormat="1">
      <c r="A80" s="2333"/>
      <c r="D80" s="2334"/>
      <c r="K80" s="795"/>
      <c r="L80" s="795"/>
    </row>
    <row r="81" spans="1:12" s="959" customFormat="1">
      <c r="A81" s="2333"/>
      <c r="D81" s="2334"/>
      <c r="K81" s="795"/>
      <c r="L81" s="795"/>
    </row>
    <row r="82" spans="1:12" s="959" customFormat="1">
      <c r="A82" s="2333"/>
      <c r="D82" s="2334"/>
      <c r="K82" s="795"/>
      <c r="L82" s="795"/>
    </row>
    <row r="83" spans="1:12" s="959" customFormat="1">
      <c r="A83" s="2333"/>
      <c r="D83" s="2334"/>
      <c r="K83" s="795"/>
      <c r="L83" s="795"/>
    </row>
    <row r="84" spans="1:12" s="959" customFormat="1">
      <c r="A84" s="2333"/>
      <c r="D84" s="2334"/>
      <c r="K84" s="795"/>
      <c r="L84" s="795"/>
    </row>
    <row r="85" spans="1:12" s="959" customFormat="1">
      <c r="A85" s="2333"/>
      <c r="D85" s="2334"/>
      <c r="K85" s="795"/>
      <c r="L85" s="795"/>
    </row>
    <row r="86" spans="1:12" s="959" customFormat="1">
      <c r="A86" s="2333"/>
      <c r="D86" s="2334"/>
      <c r="K86" s="795"/>
      <c r="L86" s="795"/>
    </row>
    <row r="87" spans="1:12" s="959" customFormat="1">
      <c r="A87" s="2333"/>
      <c r="D87" s="2334"/>
      <c r="K87" s="795"/>
      <c r="L87" s="795"/>
    </row>
    <row r="88" spans="1:12" s="959" customFormat="1">
      <c r="A88" s="2333"/>
      <c r="D88" s="2334"/>
      <c r="K88" s="795"/>
      <c r="L88" s="795"/>
    </row>
    <row r="89" spans="1:12" s="959" customFormat="1">
      <c r="A89" s="2333"/>
      <c r="D89" s="2334"/>
      <c r="K89" s="795"/>
      <c r="L89" s="795"/>
    </row>
    <row r="90" spans="1:12" s="959" customFormat="1">
      <c r="A90" s="2333"/>
      <c r="D90" s="2334"/>
      <c r="K90" s="795"/>
      <c r="L90" s="795"/>
    </row>
    <row r="91" spans="1:12" s="959" customFormat="1">
      <c r="A91" s="2333"/>
      <c r="D91" s="2334"/>
      <c r="K91" s="795"/>
      <c r="L91" s="795"/>
    </row>
    <row r="92" spans="1:12" s="959" customFormat="1">
      <c r="A92" s="2333"/>
      <c r="D92" s="2334"/>
      <c r="K92" s="795"/>
      <c r="L92" s="795"/>
    </row>
    <row r="93" spans="1:12" s="959" customFormat="1">
      <c r="A93" s="2333"/>
      <c r="D93" s="2334"/>
      <c r="K93" s="795"/>
      <c r="L93" s="795"/>
    </row>
    <row r="94" spans="1:12" s="959" customFormat="1">
      <c r="A94" s="2333"/>
      <c r="D94" s="2334"/>
      <c r="K94" s="795"/>
      <c r="L94" s="795"/>
    </row>
    <row r="95" spans="1:12" s="959" customFormat="1">
      <c r="A95" s="2333"/>
      <c r="D95" s="2334"/>
      <c r="K95" s="795"/>
      <c r="L95" s="795"/>
    </row>
    <row r="96" spans="1:12" s="959" customFormat="1">
      <c r="A96" s="2333"/>
      <c r="D96" s="2334"/>
      <c r="K96" s="795"/>
      <c r="L96" s="795"/>
    </row>
    <row r="97" spans="1:12" s="959" customFormat="1">
      <c r="A97" s="2333"/>
      <c r="D97" s="2334"/>
      <c r="K97" s="795"/>
      <c r="L97" s="795"/>
    </row>
    <row r="98" spans="1:12" s="959" customFormat="1">
      <c r="A98" s="2333"/>
      <c r="D98" s="2334"/>
      <c r="K98" s="795"/>
      <c r="L98" s="795"/>
    </row>
    <row r="99" spans="1:12" s="959" customFormat="1">
      <c r="A99" s="2333"/>
      <c r="D99" s="2334"/>
      <c r="K99" s="795"/>
      <c r="L99" s="795"/>
    </row>
    <row r="100" spans="1:12" s="959" customFormat="1">
      <c r="A100" s="2333"/>
      <c r="D100" s="2334"/>
      <c r="K100" s="795"/>
      <c r="L100" s="795"/>
    </row>
    <row r="101" spans="1:12" s="959" customFormat="1">
      <c r="A101" s="2333"/>
      <c r="D101" s="2334"/>
      <c r="K101" s="795"/>
      <c r="L101" s="795"/>
    </row>
    <row r="102" spans="1:12" s="959" customFormat="1">
      <c r="A102" s="2333"/>
      <c r="D102" s="2334"/>
      <c r="K102" s="795"/>
      <c r="L102" s="795"/>
    </row>
    <row r="103" spans="1:12" s="959" customFormat="1">
      <c r="A103" s="2333"/>
      <c r="D103" s="2334"/>
      <c r="K103" s="795"/>
      <c r="L103" s="795"/>
    </row>
    <row r="104" spans="1:12" s="959" customFormat="1">
      <c r="A104" s="2333"/>
      <c r="D104" s="2334"/>
      <c r="K104" s="795"/>
      <c r="L104" s="795"/>
    </row>
    <row r="105" spans="1:12" s="959" customFormat="1">
      <c r="A105" s="2333"/>
      <c r="D105" s="2334"/>
      <c r="K105" s="795"/>
      <c r="L105" s="795"/>
    </row>
    <row r="106" spans="1:12" s="959" customFormat="1">
      <c r="A106" s="2333"/>
      <c r="D106" s="2334"/>
      <c r="K106" s="795"/>
      <c r="L106" s="795"/>
    </row>
    <row r="107" spans="1:12" s="959" customFormat="1">
      <c r="A107" s="2333"/>
      <c r="D107" s="2334"/>
      <c r="K107" s="795"/>
      <c r="L107" s="795"/>
    </row>
    <row r="108" spans="1:12" s="959" customFormat="1">
      <c r="A108" s="2333"/>
      <c r="D108" s="2334"/>
      <c r="K108" s="795"/>
      <c r="L108" s="795"/>
    </row>
    <row r="109" spans="1:12" s="959" customFormat="1">
      <c r="A109" s="2333"/>
      <c r="D109" s="2334"/>
      <c r="K109" s="795"/>
      <c r="L109" s="795"/>
    </row>
    <row r="110" spans="1:12" s="959" customFormat="1">
      <c r="A110" s="2333"/>
      <c r="D110" s="2334"/>
      <c r="K110" s="795"/>
      <c r="L110" s="795"/>
    </row>
    <row r="111" spans="1:12" s="959" customFormat="1">
      <c r="A111" s="2333"/>
      <c r="D111" s="2334"/>
      <c r="K111" s="795"/>
      <c r="L111" s="795"/>
    </row>
    <row r="112" spans="1:12" s="959" customFormat="1">
      <c r="A112" s="2333"/>
      <c r="D112" s="2334"/>
      <c r="K112" s="795"/>
      <c r="L112" s="795"/>
    </row>
    <row r="113" spans="1:12" s="959" customFormat="1">
      <c r="A113" s="2333"/>
      <c r="D113" s="2334"/>
      <c r="K113" s="795"/>
      <c r="L113" s="795"/>
    </row>
    <row r="114" spans="1:12" s="959" customFormat="1">
      <c r="A114" s="2333"/>
      <c r="D114" s="2334"/>
      <c r="K114" s="795"/>
      <c r="L114" s="795"/>
    </row>
    <row r="115" spans="1:12" s="959" customFormat="1">
      <c r="A115" s="2333"/>
      <c r="D115" s="2334"/>
      <c r="K115" s="795"/>
      <c r="L115" s="795"/>
    </row>
    <row r="116" spans="1:12" s="959" customFormat="1">
      <c r="A116" s="2333"/>
      <c r="D116" s="2334"/>
      <c r="K116" s="795"/>
      <c r="L116" s="795"/>
    </row>
    <row r="117" spans="1:12" s="959" customFormat="1">
      <c r="A117" s="2333"/>
      <c r="D117" s="2334"/>
      <c r="K117" s="795"/>
      <c r="L117" s="795"/>
    </row>
    <row r="118" spans="1:12" s="959" customFormat="1">
      <c r="A118" s="2333"/>
      <c r="D118" s="2334"/>
      <c r="K118" s="795"/>
      <c r="L118" s="795"/>
    </row>
    <row r="119" spans="1:12" s="959" customFormat="1">
      <c r="A119" s="2333"/>
      <c r="D119" s="2334"/>
      <c r="K119" s="795"/>
      <c r="L119" s="795"/>
    </row>
    <row r="120" spans="1:12" s="959" customFormat="1">
      <c r="A120" s="2333"/>
      <c r="D120" s="2334"/>
      <c r="K120" s="795"/>
      <c r="L120" s="795"/>
    </row>
    <row r="121" spans="1:12" s="959" customFormat="1">
      <c r="A121" s="2333"/>
      <c r="D121" s="2334"/>
      <c r="K121" s="795"/>
      <c r="L121" s="795"/>
    </row>
    <row r="122" spans="1:12" s="959" customFormat="1">
      <c r="A122" s="2333"/>
      <c r="D122" s="2334"/>
      <c r="K122" s="795"/>
      <c r="L122" s="795"/>
    </row>
    <row r="123" spans="1:12" s="959" customFormat="1">
      <c r="A123" s="2333"/>
      <c r="D123" s="2334"/>
      <c r="K123" s="795"/>
      <c r="L123" s="795"/>
    </row>
    <row r="124" spans="1:12" s="959" customFormat="1">
      <c r="A124" s="2333"/>
      <c r="D124" s="2334"/>
      <c r="K124" s="795"/>
      <c r="L124" s="795"/>
    </row>
    <row r="125" spans="1:12" s="959" customFormat="1">
      <c r="A125" s="2333"/>
      <c r="D125" s="2334"/>
      <c r="K125" s="795"/>
      <c r="L125" s="795"/>
    </row>
    <row r="126" spans="1:12" s="959" customFormat="1">
      <c r="A126" s="2333"/>
      <c r="D126" s="2334"/>
      <c r="K126" s="795"/>
      <c r="L126" s="795"/>
    </row>
    <row r="127" spans="1:12" s="959" customFormat="1">
      <c r="A127" s="2333"/>
      <c r="D127" s="2334"/>
      <c r="K127" s="795"/>
      <c r="L127" s="795"/>
    </row>
    <row r="128" spans="1:12" s="959" customFormat="1">
      <c r="A128" s="2333"/>
      <c r="D128" s="2334"/>
      <c r="K128" s="795"/>
      <c r="L128" s="795"/>
    </row>
    <row r="129" spans="1:12" s="959" customFormat="1">
      <c r="A129" s="2333"/>
      <c r="D129" s="2334"/>
      <c r="K129" s="795"/>
      <c r="L129" s="795"/>
    </row>
    <row r="130" spans="1:12" s="959" customFormat="1">
      <c r="A130" s="2333"/>
      <c r="D130" s="2334"/>
      <c r="K130" s="795"/>
      <c r="L130" s="795"/>
    </row>
    <row r="131" spans="1:12" s="959" customFormat="1">
      <c r="A131" s="2333"/>
      <c r="D131" s="2334"/>
      <c r="K131" s="795"/>
      <c r="L131" s="795"/>
    </row>
    <row r="132" spans="1:12" s="959" customFormat="1">
      <c r="A132" s="2333"/>
      <c r="D132" s="2334"/>
      <c r="K132" s="795"/>
      <c r="L132" s="795"/>
    </row>
    <row r="133" spans="1:12" s="959" customFormat="1">
      <c r="A133" s="2333"/>
      <c r="D133" s="2334"/>
      <c r="K133" s="795"/>
      <c r="L133" s="795"/>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625" style="2388" customWidth="1"/>
    <col min="10" max="10" width="2.625" style="2387" customWidth="1"/>
    <col min="11" max="11" width="11.875" style="2387" customWidth="1"/>
    <col min="12" max="12" width="16.625" style="2388" customWidth="1"/>
    <col min="13" max="13" width="2.625" style="2387" customWidth="1"/>
    <col min="14" max="14" width="11.875" style="2387" customWidth="1"/>
    <col min="15" max="15" width="16.625" style="2388" customWidth="1"/>
    <col min="16" max="16" width="2.625" style="2387" customWidth="1"/>
    <col min="17" max="17" width="11.875" style="2387" customWidth="1"/>
    <col min="18" max="18" width="16.625" style="2389" customWidth="1"/>
    <col min="19" max="29" width="8.875" style="2360"/>
    <col min="30" max="16384" width="8.875" style="2361"/>
  </cols>
  <sheetData>
    <row r="1" spans="1:29" s="2354" customFormat="1" ht="19.5" thickBot="1">
      <c r="A1" s="3125" t="s">
        <v>2078</v>
      </c>
      <c r="B1" s="3126"/>
      <c r="C1" s="3126"/>
      <c r="D1" s="3126"/>
      <c r="E1" s="3126"/>
      <c r="F1" s="3126"/>
      <c r="G1" s="312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27">
      <c r="A3" s="414" t="s">
        <v>2081</v>
      </c>
      <c r="B3" s="1263" t="s">
        <v>2082</v>
      </c>
      <c r="C3" s="2362"/>
      <c r="D3" s="2363"/>
      <c r="E3" s="430" t="s">
        <v>2081</v>
      </c>
      <c r="F3" s="2364" t="s">
        <v>2083</v>
      </c>
      <c r="G3" s="2365"/>
      <c r="H3" s="2360"/>
      <c r="I3" s="2360"/>
      <c r="J3" s="2360"/>
      <c r="K3" s="2360"/>
      <c r="L3" s="2360"/>
      <c r="M3" s="2360"/>
      <c r="N3" s="2360"/>
      <c r="O3" s="2360"/>
      <c r="P3" s="2360"/>
      <c r="Q3" s="2360"/>
      <c r="R3" s="2360"/>
    </row>
    <row r="4" spans="1:29" ht="27.75">
      <c r="A4" s="430"/>
      <c r="B4" s="1790" t="s">
        <v>2084</v>
      </c>
      <c r="C4" s="2366" t="s">
        <v>3073</v>
      </c>
      <c r="D4" s="2363"/>
      <c r="E4" s="2367"/>
      <c r="F4" s="42" t="s">
        <v>2085</v>
      </c>
      <c r="G4" s="2368"/>
      <c r="H4" s="2360"/>
      <c r="I4" s="2360"/>
      <c r="J4" s="2360"/>
      <c r="K4" s="2360"/>
      <c r="L4" s="2360"/>
      <c r="M4" s="2360"/>
      <c r="N4" s="2360"/>
      <c r="O4" s="2360"/>
      <c r="P4" s="2360"/>
      <c r="Q4" s="2360"/>
      <c r="R4" s="2360"/>
    </row>
    <row r="5" spans="1:29" ht="42.75">
      <c r="A5" s="430"/>
      <c r="B5" s="1790" t="s">
        <v>2086</v>
      </c>
      <c r="C5" s="2366" t="s">
        <v>3074</v>
      </c>
      <c r="D5" s="2363"/>
      <c r="E5" s="2367"/>
      <c r="F5" s="1790" t="s">
        <v>2087</v>
      </c>
      <c r="G5" s="2368"/>
      <c r="H5" s="2360"/>
      <c r="I5" s="2360"/>
      <c r="J5" s="2360"/>
      <c r="K5" s="2360"/>
      <c r="L5" s="2360"/>
      <c r="M5" s="2360"/>
      <c r="N5" s="2360"/>
      <c r="O5" s="2360"/>
      <c r="P5" s="2360"/>
      <c r="Q5" s="2360"/>
      <c r="R5" s="2360"/>
    </row>
    <row r="6" spans="1:29" ht="81">
      <c r="A6" s="430"/>
      <c r="B6" s="1790" t="s">
        <v>2088</v>
      </c>
      <c r="C6" s="2945" t="s">
        <v>3075</v>
      </c>
      <c r="D6" s="2363"/>
      <c r="E6" s="2367"/>
      <c r="F6" s="1790" t="s">
        <v>2089</v>
      </c>
      <c r="G6" s="2368"/>
      <c r="H6" s="2360"/>
      <c r="I6" s="2360"/>
      <c r="J6" s="2360"/>
      <c r="K6" s="2360"/>
      <c r="L6" s="2360"/>
      <c r="M6" s="2360"/>
      <c r="N6" s="2360"/>
      <c r="O6" s="2360"/>
      <c r="P6" s="2360"/>
      <c r="Q6" s="2360"/>
      <c r="R6" s="2360"/>
    </row>
    <row r="7" spans="1:29" ht="114.75" thickBot="1">
      <c r="A7" s="430"/>
      <c r="B7" s="1790" t="s">
        <v>2087</v>
      </c>
      <c r="C7" s="2368" t="s">
        <v>3076</v>
      </c>
      <c r="D7" s="2369"/>
      <c r="E7" s="2370"/>
      <c r="F7" s="2371" t="s">
        <v>2090</v>
      </c>
      <c r="G7" s="2372"/>
      <c r="H7" s="2360"/>
      <c r="I7" s="2360"/>
      <c r="J7" s="2360"/>
      <c r="K7" s="2360"/>
      <c r="L7" s="2360"/>
      <c r="M7" s="2360"/>
      <c r="N7" s="2360"/>
      <c r="O7" s="2360"/>
      <c r="P7" s="2360"/>
      <c r="Q7" s="2360"/>
      <c r="R7" s="2360"/>
    </row>
    <row r="8" spans="1:29" ht="15">
      <c r="A8" s="430"/>
      <c r="B8" s="1790" t="s">
        <v>2089</v>
      </c>
      <c r="C8" s="2368"/>
      <c r="D8" s="2369"/>
      <c r="E8" s="2369"/>
      <c r="F8" s="1128"/>
      <c r="G8" s="1128"/>
      <c r="H8" s="2360"/>
      <c r="I8" s="2360"/>
      <c r="J8" s="2360"/>
      <c r="K8" s="2360"/>
      <c r="L8" s="2360"/>
      <c r="M8" s="2360"/>
      <c r="N8" s="2360"/>
      <c r="O8" s="2360"/>
      <c r="P8" s="2360"/>
      <c r="Q8" s="2360"/>
      <c r="R8" s="2360"/>
    </row>
    <row r="9" spans="1:29" ht="15">
      <c r="A9" s="430"/>
      <c r="B9" s="1790" t="s">
        <v>2091</v>
      </c>
      <c r="C9" s="2366"/>
      <c r="D9" s="2363"/>
      <c r="E9" s="2369"/>
      <c r="F9" s="1128"/>
      <c r="G9" s="1128"/>
      <c r="H9" s="2360"/>
      <c r="I9" s="2360"/>
      <c r="J9" s="2360"/>
      <c r="K9" s="2360"/>
      <c r="L9" s="2360"/>
      <c r="M9" s="2360"/>
      <c r="N9" s="2360"/>
      <c r="O9" s="2360"/>
      <c r="P9" s="2360"/>
      <c r="Q9" s="2360"/>
      <c r="R9" s="2360"/>
    </row>
    <row r="10" spans="1:29" s="117" customFormat="1" ht="15.75" thickBot="1">
      <c r="A10" s="2373"/>
      <c r="B10" s="2374" t="s">
        <v>2092</v>
      </c>
      <c r="C10" s="2946"/>
      <c r="D10" s="2363"/>
      <c r="E10" s="2363"/>
      <c r="F10" s="1128"/>
      <c r="G10" s="1128"/>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hidden="1">
      <c r="A11" s="2378"/>
      <c r="B11" s="2369"/>
      <c r="C11" s="2363"/>
      <c r="D11" s="2363"/>
      <c r="E11" s="2363"/>
      <c r="F11" s="2369"/>
      <c r="G11" s="1146"/>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hidden="1">
      <c r="A12" s="2378"/>
      <c r="B12" s="2369"/>
      <c r="C12" s="2363"/>
      <c r="D12" s="2379"/>
      <c r="E12" s="2363"/>
      <c r="F12" s="2369"/>
      <c r="G12" s="1146"/>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hidden="1" thickBot="1">
      <c r="A13" s="2385" t="s">
        <v>2093</v>
      </c>
      <c r="B13" s="2379"/>
      <c r="C13" s="2379"/>
      <c r="D13" s="2386"/>
      <c r="E13" s="2379"/>
      <c r="F13" s="2379"/>
      <c r="G13" s="2379"/>
    </row>
    <row r="14" spans="1:29" ht="15.75" hidden="1" thickBot="1">
      <c r="A14" s="2390"/>
      <c r="B14" s="2391"/>
      <c r="C14" s="2392" t="s">
        <v>2094</v>
      </c>
      <c r="D14" s="2363"/>
      <c r="E14" s="2393"/>
      <c r="F14" s="2393"/>
      <c r="G14" s="2357" t="s">
        <v>2095</v>
      </c>
    </row>
    <row r="15" spans="1:29" ht="27" hidden="1">
      <c r="A15" s="68" t="s">
        <v>2096</v>
      </c>
      <c r="B15" s="1262" t="s">
        <v>2082</v>
      </c>
      <c r="C15" s="2394">
        <f>C3</f>
        <v>0</v>
      </c>
      <c r="D15" s="2363"/>
      <c r="E15" s="2395" t="s">
        <v>2097</v>
      </c>
      <c r="F15" s="1262" t="s">
        <v>2098</v>
      </c>
      <c r="G15" s="135">
        <f>G3</f>
        <v>0</v>
      </c>
    </row>
    <row r="16" spans="1:29" ht="28.5" hidden="1">
      <c r="A16" s="642"/>
      <c r="B16" s="2396" t="s">
        <v>2084</v>
      </c>
      <c r="C16" s="2397" t="str">
        <f>C4</f>
        <v>XX商圈，周边商业氛围，人流量</v>
      </c>
      <c r="D16" s="2363"/>
      <c r="E16" s="2398"/>
      <c r="F16" s="2399" t="s">
        <v>2085</v>
      </c>
      <c r="G16" s="136">
        <f>G4</f>
        <v>0</v>
      </c>
    </row>
    <row r="17" spans="1:18" ht="42.75" hidden="1">
      <c r="A17" s="642"/>
      <c r="B17" s="2396" t="s">
        <v>2086</v>
      </c>
      <c r="C17" s="2397" t="str">
        <f>C5</f>
        <v>XX商圈，周边办公楼项目，入驻率（物美慧科大厦 新奥特科技大厦 裕友大厦）</v>
      </c>
      <c r="D17" s="2369"/>
      <c r="E17" s="2398"/>
      <c r="F17" s="2399" t="s">
        <v>2099</v>
      </c>
      <c r="G17" s="1564"/>
    </row>
    <row r="18" spans="1:18" ht="71.25" hidden="1">
      <c r="A18" s="642"/>
      <c r="B18" s="2399" t="s">
        <v>2088</v>
      </c>
      <c r="C18" s="136" t="str">
        <f>C6</f>
        <v>周边道路状况、公共交通通达情况、停车便捷程度（快速路西四环北路 六号线海淀五路居站 五路桥公交站  61路 79路 121路 地上停车位）</v>
      </c>
      <c r="D18" s="2369"/>
      <c r="E18" s="2398"/>
      <c r="F18" s="2399" t="s">
        <v>2090</v>
      </c>
      <c r="G18" s="136">
        <f>G7</f>
        <v>0</v>
      </c>
    </row>
    <row r="19" spans="1:18" ht="15" hidden="1">
      <c r="A19" s="642"/>
      <c r="B19" s="2399" t="s">
        <v>2100</v>
      </c>
      <c r="C19" s="1564"/>
      <c r="D19" s="2363"/>
      <c r="E19" s="2398"/>
      <c r="F19" s="1790" t="s">
        <v>2087</v>
      </c>
      <c r="G19" s="136">
        <f>G5</f>
        <v>0</v>
      </c>
    </row>
    <row r="20" spans="1:18" ht="15" hidden="1">
      <c r="A20" s="642"/>
      <c r="B20" s="2399" t="s">
        <v>2101</v>
      </c>
      <c r="C20" s="2397">
        <f>C9</f>
        <v>0</v>
      </c>
      <c r="D20" s="2369"/>
      <c r="E20" s="2398"/>
      <c r="F20" s="1790" t="s">
        <v>2102</v>
      </c>
      <c r="G20" s="136">
        <f>G6</f>
        <v>0</v>
      </c>
    </row>
    <row r="21" spans="1:18" ht="114" hidden="1">
      <c r="A21" s="642"/>
      <c r="B21" s="1790"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3"/>
      <c r="E21" s="2398"/>
      <c r="F21" s="2399" t="s">
        <v>2103</v>
      </c>
      <c r="G21" s="2400"/>
    </row>
    <row r="22" spans="1:18" ht="13.5" hidden="1" customHeight="1">
      <c r="A22" s="642"/>
      <c r="B22" s="1790" t="s">
        <v>2089</v>
      </c>
      <c r="C22" s="136">
        <f>C8</f>
        <v>0</v>
      </c>
      <c r="D22" s="2363"/>
      <c r="E22" s="2398"/>
      <c r="F22" s="2399" t="s">
        <v>2092</v>
      </c>
      <c r="G22" s="1564"/>
    </row>
    <row r="23" spans="1:18" s="2360" customFormat="1" ht="15.75" hidden="1" thickBot="1">
      <c r="A23" s="642"/>
      <c r="B23" s="2399" t="s">
        <v>2103</v>
      </c>
      <c r="C23" s="2400"/>
      <c r="D23" s="2387"/>
      <c r="E23" s="2401"/>
      <c r="F23" s="2402" t="s">
        <v>2104</v>
      </c>
      <c r="G23" s="2403"/>
      <c r="H23" s="2387"/>
      <c r="I23" s="2388"/>
      <c r="J23" s="2387"/>
      <c r="K23" s="2387"/>
      <c r="L23" s="2388"/>
      <c r="M23" s="2387"/>
      <c r="N23" s="2387"/>
      <c r="O23" s="2388"/>
      <c r="P23" s="2387"/>
      <c r="Q23" s="2387"/>
      <c r="R23" s="2389"/>
    </row>
    <row r="24" spans="1:18" s="2360" customFormat="1" ht="15.75" hidden="1" thickBot="1">
      <c r="A24" s="2404"/>
      <c r="B24" s="2402" t="s">
        <v>2105</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C20" sqref="C20"/>
    </sheetView>
  </sheetViews>
  <sheetFormatPr defaultColWidth="8.875" defaultRowHeight="13.5"/>
  <cols>
    <col min="1" max="1" width="23.375" style="1733" customWidth="1"/>
    <col min="2" max="9" width="15.625" style="1733" customWidth="1"/>
    <col min="10" max="16384" width="8.875" style="1733"/>
  </cols>
  <sheetData>
    <row r="1" spans="1:10" ht="16.5">
      <c r="A1" s="1738" t="s">
        <v>1365</v>
      </c>
      <c r="B1" s="1738">
        <f>SUM(B14:B23)</f>
        <v>11628.210000000001</v>
      </c>
      <c r="C1" s="1737"/>
      <c r="D1" s="1737"/>
      <c r="E1" s="1737"/>
      <c r="F1" s="1737"/>
      <c r="G1" s="1735"/>
    </row>
    <row r="2" spans="1:10" ht="16.5">
      <c r="A2" s="1738" t="s">
        <v>1353</v>
      </c>
      <c r="B2" s="1738">
        <f>SUM(C14:C23)</f>
        <v>0</v>
      </c>
      <c r="C2" s="1737"/>
      <c r="D2" s="1737"/>
      <c r="E2" s="1737"/>
      <c r="F2" s="1737"/>
      <c r="G2" s="1735"/>
    </row>
    <row r="3" spans="1:10" ht="16.5">
      <c r="A3" s="1738" t="s">
        <v>1362</v>
      </c>
      <c r="B3" s="1739">
        <f>项目基本情况!D3</f>
        <v>43185</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43077</v>
      </c>
      <c r="C5" s="1738">
        <f ca="1">ROUND(B5*10000/$B$1,0)</f>
        <v>37045</v>
      </c>
      <c r="D5" s="1738" t="e">
        <f ca="1">ROUND(B5*10000/$B$2,0)</f>
        <v>#DIV/0!</v>
      </c>
      <c r="E5" s="1737"/>
      <c r="F5" s="1735"/>
      <c r="G5" s="1735"/>
    </row>
    <row r="6" spans="1:10" ht="16.5">
      <c r="A6" s="1738" t="s">
        <v>1356</v>
      </c>
      <c r="B6" s="1738">
        <f ca="1">SUM(G14:G23)</f>
        <v>43077</v>
      </c>
      <c r="C6" s="1738">
        <f ca="1">ROUND(B6*10000/$B$1,0)</f>
        <v>37045</v>
      </c>
      <c r="D6" s="1738" t="e">
        <f ca="1">ROUND(B6*10000/$B$2,0)</f>
        <v>#DIV/0!</v>
      </c>
      <c r="E6" s="1737"/>
      <c r="F6" s="1735"/>
      <c r="G6" s="1735"/>
    </row>
    <row r="7" spans="1:10" ht="16.5">
      <c r="A7" s="1738" t="s">
        <v>1364</v>
      </c>
      <c r="B7" s="1738">
        <f>SUM(H14:H23)</f>
        <v>0</v>
      </c>
      <c r="C7" s="1738">
        <f>ROUND(B7*10000/$B$1,0)</f>
        <v>0</v>
      </c>
      <c r="D7" s="1738" t="e">
        <f>ROUND(B7*10000/$B$2,0)</f>
        <v>#DIV/0!</v>
      </c>
      <c r="E7" s="1737"/>
      <c r="F7" s="1735"/>
      <c r="G7" s="1735"/>
    </row>
    <row r="8" spans="1:10" ht="16.5">
      <c r="A8" s="1738" t="s">
        <v>1285</v>
      </c>
      <c r="B8" s="1738">
        <f>SUM(I14:I23)</f>
        <v>0</v>
      </c>
      <c r="C8" s="1738">
        <f>ROUND(B8*10000/$B$1,0)</f>
        <v>0</v>
      </c>
      <c r="D8" s="1738" t="e">
        <f>ROUND(B8*10000/$B$2,0)</f>
        <v>#DIV/0!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11628.210000000001</v>
      </c>
      <c r="C14" s="1736">
        <f>结果表!C118</f>
        <v>0</v>
      </c>
      <c r="D14" s="1736">
        <f ca="1">结果表!H118</f>
        <v>43077</v>
      </c>
      <c r="E14" s="1736">
        <f ca="1">ROUND(D14*10000/B14,0)</f>
        <v>37045</v>
      </c>
      <c r="F14" s="1736" t="e">
        <f ca="1">ROUND(D14*10000/C14,0)</f>
        <v>#DIV/0!</v>
      </c>
      <c r="G14" s="1736">
        <f ca="1">结果表!D122</f>
        <v>43077</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D20" sqref="D20"/>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9" t="s">
        <v>2106</v>
      </c>
      <c r="B1" s="2410"/>
      <c r="C1" s="3379"/>
      <c r="D1" s="2410"/>
      <c r="E1" s="2410"/>
      <c r="F1" s="2411" t="s">
        <v>2107</v>
      </c>
      <c r="G1" s="2065" t="s">
        <v>3045</v>
      </c>
      <c r="H1" s="2412" t="str">
        <f>IF(G1="现房","——","估价对象范围")</f>
        <v>——</v>
      </c>
      <c r="I1" s="2413" t="s">
        <v>3066</v>
      </c>
    </row>
    <row r="2" spans="1:12" ht="21.75" customHeight="1" thickBot="1">
      <c r="A2" s="3199" t="str">
        <f>项目基本情况!S2</f>
        <v>北京市海淀区西四环北路160号房地产</v>
      </c>
      <c r="B2" s="3200"/>
      <c r="C2" s="3200"/>
      <c r="D2" s="3200"/>
      <c r="E2" s="3200"/>
      <c r="F2" s="3200"/>
      <c r="G2" s="3200"/>
      <c r="H2" s="3200"/>
      <c r="I2" s="3201"/>
    </row>
    <row r="3" spans="1:12" ht="12.75">
      <c r="A3" s="3202" t="s">
        <v>2108</v>
      </c>
      <c r="B3" s="3203"/>
      <c r="C3" s="3203"/>
      <c r="D3" s="3203"/>
      <c r="E3" s="3203"/>
      <c r="F3" s="3203"/>
      <c r="G3" s="3203"/>
      <c r="H3" s="3203"/>
      <c r="I3" s="3203"/>
    </row>
    <row r="4" spans="1:12" ht="14.25">
      <c r="A4" s="2416" t="s">
        <v>2109</v>
      </c>
      <c r="B4" s="2417" t="s">
        <v>2110</v>
      </c>
      <c r="C4" s="3380" t="s">
        <v>3656</v>
      </c>
      <c r="D4" s="2418" t="s">
        <v>3056</v>
      </c>
      <c r="E4" s="3183" t="s">
        <v>2111</v>
      </c>
      <c r="F4" s="3196"/>
      <c r="G4" s="3196"/>
      <c r="H4" s="3196"/>
      <c r="I4" s="3184"/>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74" t="s">
        <v>2112</v>
      </c>
      <c r="B5" s="3100">
        <v>25</v>
      </c>
      <c r="C5" s="3204"/>
      <c r="D5" s="3192"/>
      <c r="E5" s="140" t="s">
        <v>2113</v>
      </c>
      <c r="F5" s="2420"/>
      <c r="G5" s="2420"/>
      <c r="H5" s="2420"/>
      <c r="I5" s="1826"/>
    </row>
    <row r="6" spans="1:12" ht="12.75">
      <c r="A6" s="3174"/>
      <c r="B6" s="3100"/>
      <c r="C6" s="3206"/>
      <c r="D6" s="3192"/>
      <c r="E6" s="140" t="s">
        <v>2114</v>
      </c>
      <c r="F6" s="2420"/>
      <c r="G6" s="2420"/>
      <c r="H6" s="2420"/>
      <c r="I6" s="1826"/>
    </row>
    <row r="7" spans="1:12" ht="12.75">
      <c r="A7" s="3174"/>
      <c r="B7" s="3100"/>
      <c r="C7" s="3205"/>
      <c r="D7" s="3192"/>
      <c r="E7" s="140" t="s">
        <v>2115</v>
      </c>
      <c r="F7" s="2420"/>
      <c r="G7" s="2420"/>
      <c r="H7" s="2420"/>
      <c r="I7" s="1826"/>
    </row>
    <row r="8" spans="1:12" ht="12.75">
      <c r="A8" s="3174" t="s">
        <v>2116</v>
      </c>
      <c r="B8" s="3100">
        <v>15</v>
      </c>
      <c r="C8" s="3204"/>
      <c r="D8" s="3192"/>
      <c r="E8" s="140" t="s">
        <v>2117</v>
      </c>
      <c r="F8" s="2420"/>
      <c r="G8" s="2420"/>
      <c r="H8" s="2420"/>
      <c r="I8" s="1826"/>
    </row>
    <row r="9" spans="1:12" ht="12.75">
      <c r="A9" s="3174"/>
      <c r="B9" s="3100"/>
      <c r="C9" s="3205"/>
      <c r="D9" s="3192"/>
      <c r="E9" s="140" t="s">
        <v>2118</v>
      </c>
      <c r="F9" s="2420"/>
      <c r="G9" s="2420"/>
      <c r="H9" s="2420"/>
      <c r="I9" s="1826"/>
    </row>
    <row r="10" spans="1:12" ht="12.75">
      <c r="A10" s="3174" t="s">
        <v>2119</v>
      </c>
      <c r="B10" s="3100">
        <v>15</v>
      </c>
      <c r="C10" s="3204"/>
      <c r="D10" s="3192"/>
      <c r="E10" s="140" t="s">
        <v>2120</v>
      </c>
      <c r="F10" s="2420"/>
      <c r="G10" s="2420"/>
      <c r="H10" s="2420"/>
      <c r="I10" s="1826"/>
    </row>
    <row r="11" spans="1:12" ht="12.75">
      <c r="A11" s="3174"/>
      <c r="B11" s="3100"/>
      <c r="C11" s="3205"/>
      <c r="D11" s="3192"/>
      <c r="E11" s="140" t="s">
        <v>2121</v>
      </c>
      <c r="F11" s="2420"/>
      <c r="G11" s="2420"/>
      <c r="H11" s="2420"/>
      <c r="I11" s="1826"/>
    </row>
    <row r="12" spans="1:12" ht="12.75">
      <c r="A12" s="3174" t="s">
        <v>2122</v>
      </c>
      <c r="B12" s="3100">
        <v>15</v>
      </c>
      <c r="C12" s="3204"/>
      <c r="D12" s="3192"/>
      <c r="E12" s="140" t="s">
        <v>2123</v>
      </c>
      <c r="F12" s="2420"/>
      <c r="G12" s="2420"/>
      <c r="H12" s="2420"/>
      <c r="I12" s="1826"/>
    </row>
    <row r="13" spans="1:12" ht="12.75">
      <c r="A13" s="3174"/>
      <c r="B13" s="3100"/>
      <c r="C13" s="3205"/>
      <c r="D13" s="3192"/>
      <c r="E13" s="140" t="s">
        <v>2124</v>
      </c>
      <c r="F13" s="2420"/>
      <c r="G13" s="2420"/>
      <c r="H13" s="2420"/>
      <c r="I13" s="1826"/>
    </row>
    <row r="14" spans="1:12" ht="12.75">
      <c r="A14" s="3174" t="s">
        <v>2125</v>
      </c>
      <c r="B14" s="3100">
        <v>30</v>
      </c>
      <c r="C14" s="3204">
        <v>7</v>
      </c>
      <c r="D14" s="3192">
        <v>3</v>
      </c>
      <c r="E14" s="140" t="s">
        <v>2126</v>
      </c>
      <c r="F14" s="2420"/>
      <c r="G14" s="2420"/>
      <c r="H14" s="2420"/>
      <c r="I14" s="1826"/>
    </row>
    <row r="15" spans="1:12" ht="12.75">
      <c r="A15" s="3174"/>
      <c r="B15" s="3100"/>
      <c r="C15" s="3206"/>
      <c r="D15" s="3192"/>
      <c r="E15" s="140" t="s">
        <v>2127</v>
      </c>
      <c r="F15" s="2420"/>
      <c r="G15" s="2420"/>
      <c r="H15" s="2420"/>
      <c r="I15" s="1826"/>
    </row>
    <row r="16" spans="1:12" ht="12.75">
      <c r="A16" s="3174"/>
      <c r="B16" s="3100"/>
      <c r="C16" s="3205"/>
      <c r="D16" s="3192"/>
      <c r="E16" s="140" t="s">
        <v>2128</v>
      </c>
      <c r="F16" s="2420"/>
      <c r="G16" s="2420"/>
      <c r="H16" s="2420"/>
      <c r="I16" s="1826"/>
    </row>
    <row r="17" spans="1:35" ht="15">
      <c r="A17" s="2421" t="s">
        <v>2129</v>
      </c>
      <c r="B17" s="64"/>
      <c r="C17" s="141">
        <f>SUM(C5:C16)</f>
        <v>7</v>
      </c>
      <c r="D17" s="141">
        <f>SUM(D5:D16)</f>
        <v>3</v>
      </c>
      <c r="E17" s="138"/>
      <c r="F17" s="138"/>
      <c r="G17" s="138"/>
      <c r="H17" s="138"/>
      <c r="I17" s="138"/>
      <c r="K17" s="2419"/>
      <c r="L17" s="2422" t="s">
        <v>2130</v>
      </c>
      <c r="M17" s="2422" t="s">
        <v>2131</v>
      </c>
    </row>
    <row r="18" spans="1:35" ht="15.75" thickBot="1">
      <c r="A18" s="2423" t="s">
        <v>2132</v>
      </c>
      <c r="B18" s="2424"/>
      <c r="C18" s="142">
        <f>ROUND(C17/SUM(C17:D17),2)</f>
        <v>0.7</v>
      </c>
      <c r="D18" s="142">
        <f>1-C18</f>
        <v>0.30000000000000004</v>
      </c>
      <c r="E18" s="138"/>
      <c r="F18" s="138"/>
      <c r="G18" s="138"/>
      <c r="H18" s="138"/>
      <c r="I18" s="138"/>
      <c r="K18" s="2419" t="s">
        <v>2133</v>
      </c>
      <c r="L18" s="2419">
        <f>IF(C1="",'数据-汇总表'!E3,SUMIF(项目类型,C1,'数据-汇总表'!E17:E26)+SUMIF(项目类型,C1,'数据-汇总表'!I17:I26))</f>
        <v>11628.210000000001</v>
      </c>
      <c r="M18" s="2419">
        <f>IF(C1="",'数据-汇总表'!E3,SUMIF(项目类型,C1,'数据-汇总表'!E17:E26))</f>
        <v>11628.210000000001</v>
      </c>
    </row>
    <row r="19" spans="1:35" ht="15">
      <c r="A19" s="2425" t="s">
        <v>2134</v>
      </c>
      <c r="B19" s="2426" t="s">
        <v>2135</v>
      </c>
      <c r="C19" s="3381">
        <f>'比较法-办公'!B2+'比较法-商业'!B2+'比较法-车位'!B2</f>
        <v>45334</v>
      </c>
      <c r="D19" s="143">
        <f ca="1">SUMIF(INDIRECT("'"&amp;D4&amp;"'"&amp;"!A:A"),结果表!B19,INDIRECT("'"&amp;D4&amp;"'"&amp;"!B:B"))</f>
        <v>37810</v>
      </c>
      <c r="E19" s="2425" t="s">
        <v>2136</v>
      </c>
      <c r="F19" s="2426" t="s">
        <v>2135</v>
      </c>
      <c r="G19" s="144">
        <f ca="1">ROUND(C19*$C$18+D19*$D$18,0)</f>
        <v>43077</v>
      </c>
      <c r="H19" s="2427" t="s">
        <v>2137</v>
      </c>
      <c r="I19" s="138"/>
      <c r="K19" s="2419" t="s">
        <v>2138</v>
      </c>
      <c r="L19" s="2419">
        <f>IF(C1="",'数据-汇总表'!D3,SUMIF(项目类型,C1,'数据-汇总表'!D17:D26)+SUMIF(项目类型,C1,'数据-汇总表'!H17:H27))</f>
        <v>0</v>
      </c>
      <c r="M19" s="2419">
        <f>IF(C1="",'数据-汇总表'!D3,SUMIF(项目类型,C1,'数据-汇总表'!D17:D26))</f>
        <v>0</v>
      </c>
    </row>
    <row r="20" spans="1:35" ht="15">
      <c r="A20" s="2428"/>
      <c r="B20" s="1242" t="s">
        <v>2139</v>
      </c>
      <c r="C20" s="3382">
        <f ca="1">SUMIF(INDIRECT("'"&amp;C4&amp;"'"&amp;"!A:A"),结果表!B20,INDIRECT("'"&amp;C4&amp;"'"&amp;"!B:B"))</f>
        <v>41332</v>
      </c>
      <c r="D20" s="146">
        <f ca="1">SUMIF(INDIRECT("'"&amp;D4&amp;"'"&amp;"!A:A"),结果表!B20,INDIRECT("'"&amp;D4&amp;"'"&amp;"!B:B"))</f>
        <v>32516</v>
      </c>
      <c r="E20" s="2428"/>
      <c r="F20" s="1242" t="s">
        <v>2139</v>
      </c>
      <c r="G20" s="147">
        <f ca="1">ROUND(C20*$C$18+D20*$D$18,0)</f>
        <v>38687</v>
      </c>
      <c r="H20" s="975" t="s">
        <v>2140</v>
      </c>
      <c r="I20" s="138"/>
    </row>
    <row r="21" spans="1:35" ht="15" customHeight="1" thickBot="1">
      <c r="A21" s="995"/>
      <c r="B21" s="2429" t="s">
        <v>2141</v>
      </c>
      <c r="C21" s="786" t="e">
        <f>ROUND(C19*10000/L19,0)</f>
        <v>#DIV/0!</v>
      </c>
      <c r="D21" s="787" t="e">
        <f ca="1">ROUND(D19*10000/L19,0)</f>
        <v>#DIV/0!</v>
      </c>
      <c r="E21" s="995"/>
      <c r="F21" s="2429" t="s">
        <v>2141</v>
      </c>
      <c r="G21" s="148" t="e">
        <f ca="1">ROUND(G19*10000/L19,0)</f>
        <v>#DIV/0!</v>
      </c>
      <c r="H21" s="2430" t="s">
        <v>2140</v>
      </c>
      <c r="I21" s="138"/>
    </row>
    <row r="22" spans="1:35" ht="15" thickBot="1">
      <c r="A22" s="2274" t="s">
        <v>2142</v>
      </c>
      <c r="B22" s="2431"/>
      <c r="C22" s="2432"/>
      <c r="D22" s="788">
        <f ca="1">IF(C19&lt;D19,D19/C19-1,C19/D19-1)</f>
        <v>0.19899497487437179</v>
      </c>
      <c r="E22" s="138"/>
      <c r="F22" s="138"/>
      <c r="G22" s="138"/>
      <c r="H22" s="138"/>
      <c r="I22" s="138"/>
    </row>
    <row r="23" spans="1:35" ht="13.5" thickBot="1">
      <c r="A23" s="2410"/>
      <c r="B23" s="2410"/>
      <c r="C23" s="2410"/>
      <c r="D23" s="2410"/>
      <c r="E23" s="138"/>
      <c r="F23" s="138"/>
      <c r="G23" s="138"/>
      <c r="H23" s="138"/>
      <c r="I23" s="138"/>
    </row>
    <row r="24" spans="1:35" ht="14.25">
      <c r="A24" s="3213" t="s">
        <v>2143</v>
      </c>
      <c r="B24" s="2426" t="s">
        <v>2135</v>
      </c>
      <c r="C24" s="144">
        <f>IF(B30=0,0,D30)</f>
        <v>0</v>
      </c>
      <c r="D24" s="2433"/>
      <c r="E24" s="138"/>
      <c r="F24" s="138"/>
      <c r="G24" s="138"/>
      <c r="H24" s="138"/>
      <c r="I24" s="138"/>
    </row>
    <row r="25" spans="1:35" ht="14.25">
      <c r="A25" s="3214"/>
      <c r="B25" s="1242" t="s">
        <v>2139</v>
      </c>
      <c r="C25" s="149">
        <f>IF(B30=0,0,C30)</f>
        <v>0</v>
      </c>
      <c r="D25" s="2434"/>
      <c r="E25" s="138"/>
      <c r="F25" s="138"/>
      <c r="G25" s="138">
        <f>'比较法-办公'!B2+'比较法-商业'!B2+'比较法-车位'!B2</f>
        <v>45334</v>
      </c>
      <c r="H25" s="138" t="e">
        <f ca="1">D19+#REF!+#REF!</f>
        <v>#REF!</v>
      </c>
      <c r="I25" s="138"/>
    </row>
    <row r="26" spans="1:35" ht="13.5" customHeight="1">
      <c r="A26" s="2435" t="s">
        <v>2144</v>
      </c>
      <c r="B26" s="150" t="s">
        <v>2145</v>
      </c>
      <c r="C26" s="150" t="s">
        <v>2146</v>
      </c>
      <c r="D26" s="151" t="s">
        <v>2147</v>
      </c>
      <c r="E26" s="138"/>
      <c r="F26" s="138"/>
      <c r="G26" s="138">
        <v>0.7</v>
      </c>
      <c r="H26" s="138">
        <f>1-G26</f>
        <v>0.30000000000000004</v>
      </c>
      <c r="I26" s="138"/>
    </row>
    <row r="27" spans="1:35" ht="14.25">
      <c r="A27" s="2435"/>
      <c r="B27" s="150">
        <v>0</v>
      </c>
      <c r="C27" s="150">
        <v>0</v>
      </c>
      <c r="D27" s="151">
        <f>ROUND(C27*B27/10000,0)</f>
        <v>0</v>
      </c>
      <c r="E27" s="138"/>
      <c r="F27" s="138"/>
      <c r="G27" s="138"/>
      <c r="H27" s="138" t="e">
        <f ca="1">G25*G26+H25*H26</f>
        <v>#REF!</v>
      </c>
      <c r="I27" s="138"/>
    </row>
    <row r="28" spans="1:35" ht="14.25">
      <c r="A28" s="2435"/>
      <c r="B28" s="150"/>
      <c r="C28" s="150"/>
      <c r="D28" s="151"/>
      <c r="E28" s="138"/>
      <c r="F28" s="138"/>
      <c r="G28" s="138"/>
      <c r="H28" s="138" t="e">
        <f ca="1">H27/'数据-汇总表'!E3</f>
        <v>#REF!</v>
      </c>
      <c r="I28" s="138"/>
    </row>
    <row r="29" spans="1:35" ht="14.25">
      <c r="A29" s="2435"/>
      <c r="B29" s="150"/>
      <c r="C29" s="150"/>
      <c r="D29" s="151"/>
      <c r="E29" s="138"/>
      <c r="F29" s="138"/>
      <c r="G29" s="138"/>
      <c r="H29" s="138" t="e">
        <f ca="1">H27/'数据-汇总表'!F31</f>
        <v>#REF!</v>
      </c>
      <c r="I29" s="138"/>
    </row>
    <row r="30" spans="1:35" ht="14.25">
      <c r="A30" s="150" t="s">
        <v>2148</v>
      </c>
      <c r="B30" s="150"/>
      <c r="C30" s="150"/>
      <c r="D30" s="150"/>
      <c r="E30" s="2918" t="s">
        <v>3028</v>
      </c>
      <c r="F30" s="138"/>
      <c r="G30" s="138"/>
      <c r="H30" s="138"/>
      <c r="I30" s="138"/>
    </row>
    <row r="31" spans="1:35" s="2437" customFormat="1" ht="15" thickBot="1">
      <c r="A31" s="2436"/>
      <c r="B31" s="2436"/>
      <c r="C31" s="2436"/>
      <c r="D31" s="2436"/>
      <c r="E31" s="138"/>
      <c r="F31" s="138"/>
      <c r="G31" s="138"/>
      <c r="H31" s="138"/>
      <c r="I31" s="138"/>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2149</v>
      </c>
      <c r="B32" s="2439"/>
      <c r="C32" s="152">
        <f ca="1">IF(D32="总价",G19-C24,G20-C25)</f>
        <v>43077</v>
      </c>
      <c r="D32" s="2440" t="s">
        <v>2150</v>
      </c>
      <c r="E32" s="138"/>
      <c r="F32" s="138"/>
      <c r="G32" s="138"/>
      <c r="H32" s="138"/>
      <c r="I32" s="138"/>
    </row>
    <row r="33" spans="1:15" ht="15">
      <c r="A33" s="952" t="s">
        <v>2151</v>
      </c>
      <c r="B33" s="2441"/>
      <c r="C33" s="2442" t="s">
        <v>3655</v>
      </c>
      <c r="D33" s="2443" t="s">
        <v>3056</v>
      </c>
      <c r="E33" s="2444" t="s">
        <v>2152</v>
      </c>
      <c r="F33" s="2445" t="str">
        <f>IF(D32="楼面单价","取值（单价）","取值（总价）")</f>
        <v>取值（总价）</v>
      </c>
      <c r="G33" s="138"/>
      <c r="H33" s="138"/>
      <c r="I33" s="138"/>
    </row>
    <row r="34" spans="1:15" ht="15">
      <c r="A34" s="2446"/>
      <c r="B34" s="2447" t="s">
        <v>2153</v>
      </c>
      <c r="C34" s="156">
        <f ca="1">IF(C33="自定义",F34,C32-C35)</f>
        <v>43077</v>
      </c>
      <c r="D34" s="1050">
        <f ca="1">IF(C33="自定义",ROUND(C34/C32,3),IF(C33="收益比率",SUMIF(INDIRECT("'"&amp;D33&amp;"'"&amp;"!b:b"),"土地收益比率",INDIRECT("'"&amp;D33&amp;"'"&amp;"!c:c")),SUMIF(INDIRECT("'"&amp;D33&amp;"'"&amp;"!b:b"),"土地成本比率",INDIRECT("'"&amp;D33&amp;"'"&amp;"!c:c"))))</f>
        <v>0</v>
      </c>
      <c r="E34" s="2448" t="s">
        <v>2154</v>
      </c>
      <c r="F34" s="1731"/>
      <c r="G34" s="138"/>
      <c r="H34" s="138"/>
      <c r="I34" s="138"/>
    </row>
    <row r="35" spans="1:15" ht="15.75" thickBot="1">
      <c r="A35" s="2449"/>
      <c r="B35" s="2450" t="s">
        <v>2155</v>
      </c>
      <c r="C35" s="1436">
        <f ca="1">IF(C33="自定义",F35,ROUND(C32*D35,0))</f>
        <v>0</v>
      </c>
      <c r="D35" s="1437">
        <f ca="1">IF(C33="自定义",ROUND(C35/C32,3),IF(C33="收益比率",SUMIF(INDIRECT("'"&amp;D33&amp;"'"&amp;"!b:b"),"建筑物收益比率",INDIRECT("'"&amp;D33&amp;"'"&amp;"!c:c")),SUMIF(INDIRECT("'"&amp;D33&amp;"'"&amp;"!b:b"),"建筑物成本比率",INDIRECT("'"&amp;D33&amp;"'"&amp;"!c:c"))))</f>
        <v>0</v>
      </c>
      <c r="E35" s="2451" t="s">
        <v>2156</v>
      </c>
      <c r="F35" s="162"/>
      <c r="G35" s="138"/>
      <c r="H35" s="138"/>
      <c r="I35" s="138"/>
    </row>
    <row r="36" spans="1:15" ht="15.75" thickBot="1">
      <c r="A36" s="3193" t="s">
        <v>2157</v>
      </c>
      <c r="B36" s="2452" t="s">
        <v>2158</v>
      </c>
      <c r="C36" s="153"/>
      <c r="D36" s="2453"/>
      <c r="E36" s="2454"/>
      <c r="F36" s="2455"/>
      <c r="G36" s="138"/>
      <c r="H36" s="138"/>
      <c r="I36" s="138"/>
    </row>
    <row r="37" spans="1:15" ht="15.75" thickBot="1">
      <c r="A37" s="3194"/>
      <c r="B37" s="2260" t="s">
        <v>2159</v>
      </c>
      <c r="C37" s="155"/>
      <c r="D37" s="1387"/>
      <c r="E37" s="1387"/>
      <c r="F37" s="2455"/>
      <c r="G37" s="138"/>
      <c r="H37" s="138"/>
      <c r="I37" s="138"/>
    </row>
    <row r="38" spans="1:15" ht="15.75" thickBot="1">
      <c r="A38" s="3195"/>
      <c r="B38" s="2456" t="s">
        <v>2160</v>
      </c>
      <c r="C38" s="724"/>
      <c r="D38" s="2457" t="s">
        <v>2161</v>
      </c>
      <c r="E38" s="1387"/>
      <c r="F38" s="2455"/>
      <c r="G38" s="138"/>
      <c r="H38" s="138"/>
      <c r="I38" s="138"/>
    </row>
    <row r="39" spans="1:15" ht="15">
      <c r="A39" s="2428" t="s">
        <v>2162</v>
      </c>
      <c r="B39" s="2458" t="s">
        <v>2163</v>
      </c>
      <c r="C39" s="2459" t="s">
        <v>2164</v>
      </c>
      <c r="D39" s="2459" t="s">
        <v>2165</v>
      </c>
      <c r="E39" s="2460" t="s">
        <v>2166</v>
      </c>
      <c r="F39" s="2455"/>
      <c r="G39" s="138"/>
      <c r="H39" s="138"/>
      <c r="I39" s="138"/>
    </row>
    <row r="40" spans="1:15" ht="14.25">
      <c r="A40" s="2461" t="s">
        <v>2167</v>
      </c>
      <c r="B40" s="157"/>
      <c r="C40" s="158"/>
      <c r="D40" s="158"/>
      <c r="E40" s="159"/>
      <c r="F40" s="2455"/>
      <c r="G40" s="138"/>
      <c r="H40" s="138"/>
      <c r="I40" s="138"/>
    </row>
    <row r="41" spans="1:15" ht="14.25">
      <c r="A41" s="2461" t="s">
        <v>2168</v>
      </c>
      <c r="B41" s="157"/>
      <c r="C41" s="158"/>
      <c r="D41" s="158"/>
      <c r="E41" s="159"/>
      <c r="F41" s="2455"/>
      <c r="G41" s="138"/>
      <c r="H41" s="138"/>
      <c r="I41" s="138"/>
    </row>
    <row r="42" spans="1:15" ht="15" thickBot="1">
      <c r="A42" s="2462"/>
      <c r="B42" s="160"/>
      <c r="C42" s="161"/>
      <c r="D42" s="161"/>
      <c r="E42" s="162"/>
      <c r="F42" s="2455"/>
      <c r="G42" s="138"/>
      <c r="H42" s="138"/>
      <c r="I42" s="138"/>
    </row>
    <row r="43" spans="1:15" ht="12.75">
      <c r="A43" s="2159"/>
      <c r="B43" s="2159"/>
      <c r="C43" s="2159"/>
      <c r="D43" s="2159"/>
      <c r="E43" s="2159"/>
      <c r="F43" s="2463"/>
      <c r="G43" s="2463"/>
      <c r="H43" s="2463"/>
      <c r="I43" s="2464"/>
    </row>
    <row r="44" spans="1:15" ht="18.75" hidden="1">
      <c r="A44" s="2465" t="s">
        <v>2169</v>
      </c>
      <c r="B44" s="2466"/>
      <c r="C44" s="2466"/>
      <c r="D44" s="2467"/>
      <c r="E44" s="2467"/>
      <c r="F44" s="2468"/>
      <c r="G44" s="2468"/>
      <c r="H44" s="2468"/>
      <c r="I44" s="2468"/>
      <c r="J44" s="2469" t="s">
        <v>2170</v>
      </c>
      <c r="K44" s="2470"/>
      <c r="L44" s="2470"/>
      <c r="M44" s="2470"/>
      <c r="N44" s="2470"/>
      <c r="O44" s="2470"/>
    </row>
    <row r="45" spans="1:15" ht="14.25" hidden="1" customHeight="1" thickBot="1">
      <c r="A45" s="3210" t="s">
        <v>2171</v>
      </c>
      <c r="B45" s="3211"/>
      <c r="C45" s="3212"/>
      <c r="D45" s="163">
        <f ca="1">ROUND(H101*F45,0)</f>
        <v>43077</v>
      </c>
      <c r="E45" s="164" t="s">
        <v>2172</v>
      </c>
      <c r="F45" s="165">
        <v>1</v>
      </c>
      <c r="G45" s="166" t="s">
        <v>2173</v>
      </c>
      <c r="H45" s="138"/>
      <c r="I45" s="138"/>
      <c r="J45" s="3129" t="s">
        <v>2174</v>
      </c>
      <c r="K45" s="3129"/>
      <c r="L45" s="3129"/>
      <c r="M45" s="3129"/>
      <c r="N45" s="3129"/>
      <c r="O45" s="3129"/>
    </row>
    <row r="46" spans="1:15" ht="14.25" hidden="1" customHeight="1">
      <c r="A46" s="3207" t="s">
        <v>2175</v>
      </c>
      <c r="B46" s="3208"/>
      <c r="C46" s="3208"/>
      <c r="D46" s="3208"/>
      <c r="E46" s="3208"/>
      <c r="F46" s="3208"/>
      <c r="G46" s="3209"/>
      <c r="H46" s="2471"/>
      <c r="I46" s="167"/>
      <c r="J46" s="1804">
        <v>1</v>
      </c>
      <c r="K46" s="3129" t="s">
        <v>2176</v>
      </c>
      <c r="L46" s="3129"/>
      <c r="M46" s="3130"/>
      <c r="N46" s="3130"/>
      <c r="O46" s="3130"/>
    </row>
    <row r="47" spans="1:15" ht="12" hidden="1" customHeight="1">
      <c r="A47" s="168" t="s">
        <v>2177</v>
      </c>
      <c r="B47" s="169"/>
      <c r="C47" s="170"/>
      <c r="D47" s="171" t="s">
        <v>2178</v>
      </c>
      <c r="E47" s="24" t="s">
        <v>2179</v>
      </c>
      <c r="F47" s="172" t="s">
        <v>2180</v>
      </c>
      <c r="G47" s="173" t="s">
        <v>2181</v>
      </c>
      <c r="H47" s="2471"/>
      <c r="I47" s="167"/>
      <c r="J47" s="1804">
        <v>2</v>
      </c>
      <c r="K47" s="3129" t="s">
        <v>2182</v>
      </c>
      <c r="L47" s="3129"/>
      <c r="M47" s="3131">
        <f>'数据-取费表'!B2</f>
        <v>43185</v>
      </c>
      <c r="N47" s="3131"/>
      <c r="O47" s="3131"/>
    </row>
    <row r="48" spans="1:15" ht="25.5" hidden="1">
      <c r="A48" s="3197" t="s">
        <v>2183</v>
      </c>
      <c r="B48" s="3198"/>
      <c r="C48" s="3198"/>
      <c r="D48" s="140">
        <f>IF(H48="情况1",0,IF(H48="情况2",D52,IF(H48="情况3",D53,IF(H48="情况4",D54))))</f>
        <v>0</v>
      </c>
      <c r="E48" s="1793" t="str">
        <f>IF(H48="情况4","(销售额-原购置价)×税（费）率","销售额×税（费）率")</f>
        <v>销售额×税（费）率</v>
      </c>
      <c r="F48" s="174" t="str">
        <f>IF(H48="情况1","免征",'数据-取费表'!B41)</f>
        <v>免征</v>
      </c>
      <c r="G48" s="2472" t="s">
        <v>2184</v>
      </c>
      <c r="H48" s="2473" t="s">
        <v>2185</v>
      </c>
      <c r="I48" s="2471"/>
      <c r="J48" s="1804">
        <v>3</v>
      </c>
      <c r="K48" s="3129" t="s">
        <v>2186</v>
      </c>
      <c r="L48" s="3129"/>
      <c r="M48" s="3132">
        <f ca="1">H101</f>
        <v>43077</v>
      </c>
      <c r="N48" s="3132"/>
      <c r="O48" s="3132"/>
    </row>
    <row r="49" spans="1:35" ht="25.5" hidden="1" customHeight="1">
      <c r="A49" s="175" t="s">
        <v>2187</v>
      </c>
      <c r="B49" s="3177" t="s">
        <v>2188</v>
      </c>
      <c r="C49" s="3177"/>
      <c r="D49" s="176">
        <v>0</v>
      </c>
      <c r="E49" s="23" t="s">
        <v>2189</v>
      </c>
      <c r="F49" s="28" t="s">
        <v>34</v>
      </c>
      <c r="G49" s="3158"/>
      <c r="H49" s="138"/>
      <c r="I49" s="2474"/>
      <c r="J49" s="1804">
        <v>4</v>
      </c>
      <c r="K49" s="3129" t="str">
        <f>IF(项目基本情况!E8="房地产抵押价值","房地产抵押价值","抵押担保权已注销时的房地产抵押价值")</f>
        <v>房地产抵押价值</v>
      </c>
      <c r="L49" s="3129"/>
      <c r="M49" s="3132">
        <f ca="1">IF(项目基本情况!E8="房地产抵押价值",H107,H109)</f>
        <v>43077</v>
      </c>
      <c r="N49" s="3132"/>
      <c r="O49" s="3132"/>
    </row>
    <row r="50" spans="1:35" ht="25.5" hidden="1" customHeight="1">
      <c r="A50" s="177"/>
      <c r="B50" s="3177" t="s">
        <v>2190</v>
      </c>
      <c r="C50" s="3177"/>
      <c r="D50" s="178"/>
      <c r="E50" s="31"/>
      <c r="F50" s="179"/>
      <c r="G50" s="3159"/>
      <c r="H50" s="138"/>
      <c r="I50" s="2474"/>
      <c r="J50" s="3129" t="s">
        <v>2191</v>
      </c>
      <c r="K50" s="3129"/>
      <c r="L50" s="3129"/>
      <c r="M50" s="3129"/>
      <c r="N50" s="3129"/>
      <c r="O50" s="3129"/>
    </row>
    <row r="51" spans="1:35" ht="12" hidden="1" customHeight="1">
      <c r="A51" s="180"/>
      <c r="B51" s="3177" t="s">
        <v>2192</v>
      </c>
      <c r="C51" s="3177"/>
      <c r="D51" s="181"/>
      <c r="E51" s="30"/>
      <c r="F51" s="179"/>
      <c r="G51" s="3160"/>
      <c r="H51" s="138"/>
      <c r="I51" s="2474"/>
      <c r="J51" s="2475" t="s">
        <v>2193</v>
      </c>
      <c r="K51" s="3129" t="s">
        <v>2194</v>
      </c>
      <c r="L51" s="3129"/>
      <c r="M51" s="2475" t="s">
        <v>2195</v>
      </c>
      <c r="N51" s="2475" t="s">
        <v>2196</v>
      </c>
      <c r="O51" s="2475" t="s">
        <v>2197</v>
      </c>
    </row>
    <row r="52" spans="1:35" ht="24" hidden="1" customHeight="1">
      <c r="A52" s="182" t="s">
        <v>2198</v>
      </c>
      <c r="B52" s="3177" t="s">
        <v>2199</v>
      </c>
      <c r="C52" s="3177"/>
      <c r="D52" s="181">
        <f ca="1">ROUND(D45*'数据-取费表'!B41/(1+'数据-取费表'!C42),0)</f>
        <v>2297</v>
      </c>
      <c r="E52" s="11" t="s">
        <v>2200</v>
      </c>
      <c r="F52" s="183">
        <f>'数据-取费表'!B41</f>
        <v>5.6000000000000001E-2</v>
      </c>
      <c r="G52" s="2476"/>
      <c r="H52" s="138"/>
      <c r="I52" s="2474"/>
      <c r="J52" s="1804">
        <v>1</v>
      </c>
      <c r="K52" s="3152" t="s">
        <v>2201</v>
      </c>
      <c r="L52" s="3152"/>
      <c r="M52" s="1746">
        <f>D48</f>
        <v>0</v>
      </c>
      <c r="N52" s="1804" t="str">
        <f>E48</f>
        <v>销售额×税（费）率</v>
      </c>
      <c r="O52" s="1747" t="str">
        <f>F48</f>
        <v>免征</v>
      </c>
    </row>
    <row r="53" spans="1:35" ht="12" hidden="1" customHeight="1">
      <c r="A53" s="182" t="s">
        <v>2202</v>
      </c>
      <c r="B53" s="3178" t="s">
        <v>2203</v>
      </c>
      <c r="C53" s="3179"/>
      <c r="D53" s="181">
        <f ca="1">ROUND(D45*'数据-取费表'!B41/(1+'数据-取费表'!C42),0)</f>
        <v>2297</v>
      </c>
      <c r="E53" s="11" t="s">
        <v>2200</v>
      </c>
      <c r="F53" s="183">
        <f>'数据-取费表'!B41</f>
        <v>5.6000000000000001E-2</v>
      </c>
      <c r="G53" s="2476"/>
      <c r="H53" s="138"/>
      <c r="I53" s="2474"/>
      <c r="J53" s="1804">
        <v>2</v>
      </c>
      <c r="K53" s="3152" t="s">
        <v>2204</v>
      </c>
      <c r="L53" s="3152"/>
      <c r="M53" s="1746">
        <f t="shared" ref="M53:O54" ca="1" si="0">D55</f>
        <v>22</v>
      </c>
      <c r="N53" s="1804" t="str">
        <f t="shared" si="0"/>
        <v>销售额×税（费）率</v>
      </c>
      <c r="O53" s="1747">
        <f t="shared" si="0"/>
        <v>5.0000000000000001E-4</v>
      </c>
    </row>
    <row r="54" spans="1:35" ht="12" hidden="1" customHeight="1">
      <c r="A54" s="182" t="s">
        <v>2205</v>
      </c>
      <c r="B54" s="3178" t="s">
        <v>2206</v>
      </c>
      <c r="C54" s="3179"/>
      <c r="D54" s="181">
        <f ca="1">C68</f>
        <v>2297</v>
      </c>
      <c r="E54" s="30" t="s">
        <v>2207</v>
      </c>
      <c r="F54" s="183">
        <f>'数据-取费表'!B41</f>
        <v>5.6000000000000001E-2</v>
      </c>
      <c r="G54" s="2476"/>
      <c r="H54" s="2477"/>
      <c r="I54" s="2474"/>
      <c r="J54" s="1804">
        <v>3</v>
      </c>
      <c r="K54" s="3152" t="s">
        <v>2208</v>
      </c>
      <c r="L54" s="3152"/>
      <c r="M54" s="1746">
        <f t="shared" ca="1" si="0"/>
        <v>24382</v>
      </c>
      <c r="N54" s="1804" t="str">
        <f t="shared" si="0"/>
        <v>增值额×税（费）率</v>
      </c>
      <c r="O54" s="1748" t="str">
        <f t="shared" si="0"/>
        <v>——</v>
      </c>
    </row>
    <row r="55" spans="1:35" ht="24" hidden="1" customHeight="1">
      <c r="A55" s="3216" t="s">
        <v>2209</v>
      </c>
      <c r="B55" s="3198"/>
      <c r="C55" s="3198"/>
      <c r="D55" s="184">
        <f ca="1">IF(H55="个人住宅",0,ROUND(D45*I55,0))</f>
        <v>22</v>
      </c>
      <c r="E55" s="11" t="s">
        <v>2210</v>
      </c>
      <c r="F55" s="183">
        <f>IF(H55="正常",I55,"免征")</f>
        <v>5.0000000000000001E-4</v>
      </c>
      <c r="G55" s="2476"/>
      <c r="H55" s="2473" t="s">
        <v>2211</v>
      </c>
      <c r="I55" s="185">
        <f>'数据-取费表'!B49</f>
        <v>5.0000000000000001E-4</v>
      </c>
      <c r="J55" s="1804" t="str">
        <f>IF(H59="非个人房产","",4)</f>
        <v/>
      </c>
      <c r="K55" s="3152" t="str">
        <f>IF(H59="非个人房产","——","个人所得税")</f>
        <v>——</v>
      </c>
      <c r="L55" s="3152"/>
      <c r="M55" s="1749" t="str">
        <f>D59</f>
        <v>——</v>
      </c>
      <c r="N55" s="1802" t="str">
        <f>E59</f>
        <v>——</v>
      </c>
      <c r="O55" s="1750" t="str">
        <f>F59</f>
        <v>——</v>
      </c>
    </row>
    <row r="56" spans="1:35" ht="24.75" hidden="1">
      <c r="A56" s="3216" t="s">
        <v>2212</v>
      </c>
      <c r="B56" s="3198"/>
      <c r="C56" s="3198"/>
      <c r="D56" s="184">
        <f ca="1">IF(H56="个人住宅",D57,D58)</f>
        <v>24382</v>
      </c>
      <c r="E56" s="11" t="s">
        <v>2213</v>
      </c>
      <c r="F56" s="183" t="str">
        <f>IF(H56="正常",F58,"免征")</f>
        <v>——</v>
      </c>
      <c r="G56" s="2478" t="s">
        <v>2214</v>
      </c>
      <c r="H56" s="2479" t="s">
        <v>2211</v>
      </c>
      <c r="I56" s="2480"/>
      <c r="J56" s="1804" t="str">
        <f>IF(项目基本情况!K6="上海银行",IF(J55="",4,J55+1),"")</f>
        <v/>
      </c>
      <c r="K56" s="3135" t="str">
        <f>IF(项目基本情况!K6="上海银行","其他处置费用","")</f>
        <v/>
      </c>
      <c r="L56" s="3136"/>
      <c r="M56" s="1746" t="str">
        <f>IF(项目基本情况!K6="上海银行",M69,"")</f>
        <v/>
      </c>
      <c r="N56" s="3138" t="str">
        <f>IF(项目基本情况!K6="上海银行","包含处置中涉及的律师、诉讼、拍卖、评估等费用","")</f>
        <v/>
      </c>
      <c r="O56" s="3139"/>
    </row>
    <row r="57" spans="1:35" ht="12.75" hidden="1">
      <c r="A57" s="182" t="s">
        <v>2187</v>
      </c>
      <c r="B57" s="3183" t="s">
        <v>2215</v>
      </c>
      <c r="C57" s="3184"/>
      <c r="D57" s="186">
        <v>0</v>
      </c>
      <c r="E57" s="23" t="s">
        <v>2189</v>
      </c>
      <c r="F57" s="154"/>
      <c r="G57" s="2476"/>
      <c r="H57" s="2480"/>
      <c r="I57" s="2480"/>
      <c r="J57" s="3152">
        <f>IF(AND(J55="",J56=""),4,IF(项目基本情况!K6="上海银行",结果表!J56+1,结果表!J55+1))</f>
        <v>4</v>
      </c>
      <c r="K57" s="3152" t="s">
        <v>2216</v>
      </c>
      <c r="L57" s="2481" t="s">
        <v>2217</v>
      </c>
      <c r="M57" s="1751"/>
      <c r="N57" s="1752">
        <f ca="1">SUMIF(M52:M56,"&lt;9e307")</f>
        <v>24404</v>
      </c>
      <c r="O57" s="2482"/>
      <c r="P57" s="1745">
        <f ca="1">N57/M49</f>
        <v>0.56652041692782695</v>
      </c>
    </row>
    <row r="58" spans="1:35" ht="24.75" hidden="1">
      <c r="A58" s="182" t="s">
        <v>2198</v>
      </c>
      <c r="B58" s="3183" t="s">
        <v>2218</v>
      </c>
      <c r="C58" s="3196"/>
      <c r="D58" s="184">
        <f ca="1">IF(H58="转让取得",C81,C97)</f>
        <v>24382</v>
      </c>
      <c r="E58" s="11" t="s">
        <v>2213</v>
      </c>
      <c r="F58" s="24" t="s">
        <v>34</v>
      </c>
      <c r="G58" s="2476"/>
      <c r="H58" s="2479" t="s">
        <v>2219</v>
      </c>
      <c r="I58" s="2480"/>
      <c r="J58" s="3152"/>
      <c r="K58" s="3152"/>
      <c r="L58" s="2481" t="s">
        <v>2220</v>
      </c>
      <c r="M58" s="1753"/>
      <c r="N58" s="2483" t="str">
        <f ca="1">NUMBERSTRING(INT(N57*10000),2)&amp;"元整"</f>
        <v>贰亿肆仟肆佰零肆万元整</v>
      </c>
      <c r="O58" s="2484"/>
    </row>
    <row r="59" spans="1:35" ht="24.75" hidden="1" thickBot="1">
      <c r="A59" s="3156" t="s">
        <v>2221</v>
      </c>
      <c r="B59" s="3157"/>
      <c r="C59" s="3157"/>
      <c r="D59" s="187" t="str">
        <f>IF(H59="非个人房产","——",IF(H59="个人住宅",0,ROUND(D45*I59,0)))</f>
        <v>——</v>
      </c>
      <c r="E59" s="188" t="str">
        <f>IF(H59="非个人房产","——","销售额×税（费）率")</f>
        <v>——</v>
      </c>
      <c r="F59" s="189" t="str">
        <f>IF(H59="非个人房产","——",IF(H59="个人住宅","免征",I59))</f>
        <v>——</v>
      </c>
      <c r="G59" s="2485" t="s">
        <v>2214</v>
      </c>
      <c r="H59" s="2479" t="s">
        <v>2222</v>
      </c>
      <c r="I59" s="190">
        <v>0.01</v>
      </c>
      <c r="J59" s="3154">
        <f>J57+1</f>
        <v>5</v>
      </c>
      <c r="K59" s="3152" t="s">
        <v>2223</v>
      </c>
      <c r="L59" s="1804" t="s">
        <v>2217</v>
      </c>
      <c r="M59" s="1754"/>
      <c r="N59" s="1755">
        <f ca="1">M49-N57</f>
        <v>18673</v>
      </c>
      <c r="O59" s="2486"/>
    </row>
    <row r="60" spans="1:35" ht="12" hidden="1" customHeight="1">
      <c r="A60" s="2487"/>
      <c r="B60" s="2410"/>
      <c r="C60" s="2410"/>
      <c r="D60" s="2410"/>
      <c r="E60" s="2160"/>
      <c r="F60" s="2480"/>
      <c r="G60" s="2480"/>
      <c r="H60" s="2488"/>
      <c r="I60" s="138"/>
      <c r="J60" s="3155"/>
      <c r="K60" s="3152"/>
      <c r="L60" s="2481" t="s">
        <v>2220</v>
      </c>
      <c r="M60" s="1753"/>
      <c r="N60" s="2483" t="str">
        <f ca="1">NUMBERSTRING(INT(N59*10000),2)&amp;"元整"</f>
        <v>壹亿捌仟陆佰柒拾叁万元整</v>
      </c>
      <c r="O60" s="2484"/>
    </row>
    <row r="61" spans="1:35" ht="13.5" hidden="1" thickBot="1">
      <c r="A61" s="3215" t="s">
        <v>2224</v>
      </c>
      <c r="B61" s="3215"/>
      <c r="C61" s="3215"/>
      <c r="D61" s="3215"/>
      <c r="E61" s="3215"/>
      <c r="F61" s="2480"/>
      <c r="G61" s="2480"/>
      <c r="H61" s="2488"/>
      <c r="I61" s="138"/>
      <c r="J61" s="1804">
        <f>J59+1</f>
        <v>6</v>
      </c>
      <c r="K61" s="3152" t="s">
        <v>2225</v>
      </c>
      <c r="L61" s="3152"/>
      <c r="M61" s="1756"/>
      <c r="N61" s="1757">
        <f ca="1">ROUND(N59*10000/'数据-汇总表'!E3,0)</f>
        <v>16058</v>
      </c>
      <c r="O61" s="2489"/>
    </row>
    <row r="62" spans="1:35" ht="12.75" hidden="1">
      <c r="A62" s="3172" t="s">
        <v>2226</v>
      </c>
      <c r="B62" s="3173"/>
      <c r="C62" s="1796"/>
      <c r="D62" s="1796" t="s">
        <v>2227</v>
      </c>
      <c r="E62" s="191" t="s">
        <v>2228</v>
      </c>
      <c r="F62" s="2480"/>
      <c r="G62" s="2480"/>
      <c r="H62" s="2488"/>
      <c r="I62" s="138"/>
    </row>
    <row r="63" spans="1:35" ht="12.75" hidden="1">
      <c r="A63" s="202" t="s">
        <v>775</v>
      </c>
      <c r="B63" s="192" t="s">
        <v>2229</v>
      </c>
      <c r="C63" s="193">
        <f ca="1">ROUND((C64+C65)/(1+'数据-取费表'!C42),0)</f>
        <v>41026</v>
      </c>
      <c r="D63" s="194"/>
      <c r="E63" s="195"/>
      <c r="F63" s="2480"/>
      <c r="G63" s="2480"/>
      <c r="H63" s="2488"/>
      <c r="I63" s="138"/>
      <c r="J63" s="3137" t="s">
        <v>2230</v>
      </c>
      <c r="K63" s="2490" t="s">
        <v>2231</v>
      </c>
      <c r="L63" s="1744">
        <f ca="1">IF(M49&gt;10000,M49*0.5%,IF(AND(M49&gt;1000,M49&lt;=10000),M49*1%,IF(AND(M49&gt;100,M49&lt;=1000),M49*3%,IF(AND(M49&gt;10,M49&lt;=100),M49*5%,M49*8%))))</f>
        <v>215.38499999999999</v>
      </c>
      <c r="M63" s="24">
        <f ca="1">ROUND(L63,1)</f>
        <v>215.4</v>
      </c>
      <c r="Z63" s="2414"/>
      <c r="AI63" s="2415"/>
    </row>
    <row r="64" spans="1:35" ht="14.25" hidden="1" customHeight="1">
      <c r="A64" s="196" t="s">
        <v>770</v>
      </c>
      <c r="B64" s="197" t="s">
        <v>2232</v>
      </c>
      <c r="C64" s="198">
        <f ca="1">D45</f>
        <v>43077</v>
      </c>
      <c r="D64" s="199" t="s">
        <v>32</v>
      </c>
      <c r="E64" s="200"/>
      <c r="F64" s="2480"/>
      <c r="G64" s="2480"/>
      <c r="H64" s="2488"/>
      <c r="I64" s="138"/>
      <c r="J64" s="3137"/>
      <c r="K64" s="2490" t="s">
        <v>2233</v>
      </c>
      <c r="L64" s="1744">
        <f ca="1">IF(M49&gt;2000,M49*0.5%,IF(AND(M49&gt;1000,M49&lt;=2000),M49*0.6%,IF(AND(M49&gt;500,M49&lt;=1000),M49*0.7%,IF(AND(M49&gt;200,M49&lt;=500),M49*0.8%,IF(AND(M49&gt;100,M49&lt;=200),M49*0.9%,IF(AND(M49&gt;50,M49&lt;=100),M49*1%,IF(AND(M49&gt;20,M49&lt;=50),M49*1.5%,IF(AND(M49&gt;10,M49&lt;=20),M49*2%,IF(AND(M49&gt;1,M49&lt;=10),M49*2.5%)))))))))</f>
        <v>215.38499999999999</v>
      </c>
      <c r="M64" s="24">
        <f t="shared" ref="M64:M65" ca="1" si="1">ROUND(L64,1)</f>
        <v>215.4</v>
      </c>
      <c r="N64" s="138" t="s">
        <v>2234</v>
      </c>
      <c r="Z64" s="2414"/>
      <c r="AI64" s="2415"/>
    </row>
    <row r="65" spans="1:35" ht="14.25" hidden="1" customHeight="1">
      <c r="A65" s="196" t="s">
        <v>771</v>
      </c>
      <c r="B65" s="197" t="s">
        <v>2235</v>
      </c>
      <c r="C65" s="201"/>
      <c r="D65" s="199"/>
      <c r="E65" s="200"/>
      <c r="F65" s="2480"/>
      <c r="G65" s="2480"/>
      <c r="H65" s="2488"/>
      <c r="I65" s="138"/>
      <c r="J65" s="3137"/>
      <c r="K65" s="2490" t="s">
        <v>2236</v>
      </c>
      <c r="L65" s="1744">
        <f ca="1">IF(M49&gt;1000,M49*0.1%,IF(AND(M49&gt;500,M49&lt;=1000),M49*0.5%,IF(AND(M49&gt;50,M49&lt;=500),M49*1%,IF(AND(M49&gt;1,M49&lt;=50),M49*1.5%))))</f>
        <v>43.076999999999998</v>
      </c>
      <c r="M65" s="24">
        <f t="shared" ca="1" si="1"/>
        <v>43.1</v>
      </c>
      <c r="N65" s="138" t="s">
        <v>2234</v>
      </c>
      <c r="Z65" s="2414"/>
      <c r="AI65" s="2415"/>
    </row>
    <row r="66" spans="1:35" ht="14.25" hidden="1" customHeight="1">
      <c r="A66" s="202" t="s">
        <v>772</v>
      </c>
      <c r="B66" s="203" t="s">
        <v>2237</v>
      </c>
      <c r="C66" s="204"/>
      <c r="D66" s="205" t="s">
        <v>32</v>
      </c>
      <c r="E66" s="1768" t="s">
        <v>1371</v>
      </c>
      <c r="F66" s="2480"/>
      <c r="G66" s="2480"/>
      <c r="H66" s="2488"/>
      <c r="I66" s="138"/>
      <c r="J66" s="3137"/>
      <c r="K66" s="2490" t="s">
        <v>2238</v>
      </c>
      <c r="L66" s="1744">
        <f ca="1">M49*0.5%</f>
        <v>215.38499999999999</v>
      </c>
      <c r="M66" s="24">
        <f ca="1">IF(L66&gt;0.5,0.5,ROUND(L66,0))</f>
        <v>0.5</v>
      </c>
      <c r="N66" s="138" t="s">
        <v>2239</v>
      </c>
      <c r="Z66" s="2414"/>
      <c r="AI66" s="2415"/>
    </row>
    <row r="67" spans="1:35" ht="14.25" hidden="1" customHeight="1">
      <c r="A67" s="202" t="s">
        <v>773</v>
      </c>
      <c r="B67" s="203" t="s">
        <v>2240</v>
      </c>
      <c r="C67" s="206">
        <f ca="1">C63-C66</f>
        <v>41026</v>
      </c>
      <c r="D67" s="199" t="s">
        <v>32</v>
      </c>
      <c r="E67" s="200"/>
      <c r="F67" s="2480"/>
      <c r="G67" s="2480"/>
      <c r="H67" s="2488"/>
      <c r="I67" s="138"/>
      <c r="J67" s="3137"/>
      <c r="K67" s="2490" t="s">
        <v>2241</v>
      </c>
      <c r="L67" s="1744">
        <f ca="1">IF(M49&gt;=10000,(8.25+(M49-10000)*0.01%),IF(AND(M49&gt;=8000,M49&lt;10000),(7.85+(M49-8000)*0.02%),IF(AND(M49&gt;=5000,M49&lt;8000),(6.65+(M49-5000)*0.04%),IF(AND(M49&gt;=2000,M49&lt;5000),(4.25+(PM49-2000)*0.08%),IF(AND(M49&gt;=1000,M49&lt;2000),(2.75+(M49-1000)*0.15%),IF(AND(M49&gt;=100,M49&lt;1000),(0.5+(M49-100)*0.25%),IF(AND(M49&gt;0,M49&lt;100),M49*0.5%)))))))</f>
        <v>11.557700000000001</v>
      </c>
      <c r="M67" s="24">
        <f ca="1">ROUND(L67*0.9,1)</f>
        <v>10.4</v>
      </c>
      <c r="Z67" s="2414"/>
      <c r="AI67" s="2415"/>
    </row>
    <row r="68" spans="1:35" ht="14.25" hidden="1" customHeight="1" thickBot="1">
      <c r="A68" s="207" t="s">
        <v>774</v>
      </c>
      <c r="B68" s="208" t="s">
        <v>2242</v>
      </c>
      <c r="C68" s="209">
        <f ca="1">IF(C67&lt;=0,0,ROUND(C67*D68,0))</f>
        <v>2297</v>
      </c>
      <c r="D68" s="210">
        <f>'数据-取费表'!B41</f>
        <v>5.6000000000000001E-2</v>
      </c>
      <c r="E68" s="211"/>
      <c r="F68" s="2480"/>
      <c r="G68" s="2480"/>
      <c r="H68" s="2488"/>
      <c r="I68" s="138"/>
      <c r="J68" s="3137"/>
      <c r="K68" s="2490" t="s">
        <v>2243</v>
      </c>
      <c r="L68" s="1744">
        <f ca="1">IF(M49&gt;10000,M49*0.5%,IF(AND(M49&gt;5000,M49&lt;=10000),M49*1%,IF(AND(M49&gt;1000,M49&lt;=5000),M49*2%,IF(AND(M49&gt;200,M49&lt;=1000),M49*3%,M49*5%))))</f>
        <v>215.38499999999999</v>
      </c>
      <c r="M68" s="24">
        <f ca="1">ROUND(L68,1)</f>
        <v>215.4</v>
      </c>
      <c r="Z68" s="2414"/>
      <c r="AI68" s="2415"/>
    </row>
    <row r="69" spans="1:35" s="2437" customFormat="1" ht="16.5" hidden="1" customHeight="1">
      <c r="A69" s="2491"/>
      <c r="B69" s="2492"/>
      <c r="C69" s="2493"/>
      <c r="D69" s="2494"/>
      <c r="E69" s="2495"/>
      <c r="F69" s="2160"/>
      <c r="G69" s="2160"/>
      <c r="H69" s="2159"/>
      <c r="I69" s="2410"/>
      <c r="J69" s="3137"/>
      <c r="K69" s="2490" t="s">
        <v>2244</v>
      </c>
      <c r="L69" s="2496"/>
      <c r="M69" s="24">
        <f ca="1">ROUND(SUM(M63:M68),0)</f>
        <v>700</v>
      </c>
      <c r="N69" s="1745">
        <f ca="1">M69/M49</f>
        <v>1.6249970982194675E-2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hidden="1" thickBot="1">
      <c r="A70" s="3181" t="s">
        <v>2245</v>
      </c>
      <c r="B70" s="3182"/>
      <c r="C70" s="3182"/>
      <c r="D70" s="3182"/>
      <c r="E70" s="3182"/>
      <c r="F70" s="3182"/>
      <c r="G70" s="3182"/>
      <c r="H70" s="318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72" t="s">
        <v>2226</v>
      </c>
      <c r="B71" s="3173"/>
      <c r="C71" s="1796"/>
      <c r="D71" s="1796" t="s">
        <v>2227</v>
      </c>
      <c r="E71" s="212" t="s">
        <v>2228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2246</v>
      </c>
      <c r="C72" s="206">
        <f ca="1">ROUND(D45/(1+'数据-取费表'!C42),0)</f>
        <v>41026</v>
      </c>
      <c r="D72" s="199" t="s">
        <v>32</v>
      </c>
      <c r="E72" s="1795"/>
      <c r="F72" s="1789"/>
      <c r="G72" s="1789"/>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2247</v>
      </c>
      <c r="C73" s="206">
        <f ca="1">C74+C78</f>
        <v>246</v>
      </c>
      <c r="D73" s="199" t="s">
        <v>32</v>
      </c>
      <c r="E73" s="1795"/>
      <c r="F73" s="1789"/>
      <c r="G73" s="1789"/>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2248</v>
      </c>
      <c r="C74" s="199">
        <f>ROUND(IF(G77="2016年5月1日后购买",C75/(1+'数据-取费表'!C42)+C76+C77,C75+C76+C77),0)</f>
        <v>0</v>
      </c>
      <c r="D74" s="199" t="s">
        <v>32</v>
      </c>
      <c r="E74" s="1795"/>
      <c r="F74" s="1789"/>
      <c r="G74" s="1789"/>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2249</v>
      </c>
      <c r="C75" s="217"/>
      <c r="D75" s="199" t="s">
        <v>32</v>
      </c>
      <c r="E75" s="218" t="s">
        <v>2250</v>
      </c>
      <c r="F75" s="2502" t="s">
        <v>2251</v>
      </c>
      <c r="G75" s="218" t="s">
        <v>2252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2253</v>
      </c>
      <c r="C76" s="199">
        <f>IF(F75="购房发票",ROUND(C75*H75*D76,0),0)</f>
        <v>0</v>
      </c>
      <c r="D76" s="221">
        <v>0.05</v>
      </c>
      <c r="E76" s="3178" t="s">
        <v>2254</v>
      </c>
      <c r="F76" s="3177"/>
      <c r="G76" s="3177"/>
      <c r="H76" s="318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04" t="s">
        <v>2257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2258</v>
      </c>
      <c r="C78" s="224">
        <f ca="1">ROUND(D45*D78/(1+'数据-取费表'!C42),0)</f>
        <v>246</v>
      </c>
      <c r="D78" s="225">
        <f>'数据-取费表'!B43</f>
        <v>6.000000000000001E-3</v>
      </c>
      <c r="E78" s="3169" t="s">
        <v>2259</v>
      </c>
      <c r="F78" s="3170"/>
      <c r="G78" s="3170"/>
      <c r="H78" s="317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3" t="s">
        <v>2260</v>
      </c>
      <c r="C79" s="206">
        <f ca="1">C72-C73</f>
        <v>40780</v>
      </c>
      <c r="D79" s="199" t="s">
        <v>32</v>
      </c>
      <c r="E79" s="1795"/>
      <c r="F79" s="1789"/>
      <c r="G79" s="1789"/>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2261</v>
      </c>
      <c r="C80" s="226">
        <f ca="1">IF(C79&lt;=0,0,C79/C73)</f>
        <v>165.77235772357724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2262</v>
      </c>
      <c r="C81" s="227">
        <f ca="1">ROUND(IF(C79&lt;=0,0,IF(C80&gt;=200%,C79*60%-C73*35%,IF(C80&gt;=100%,C79*50%-C73*15%,IF(C80&gt;=50%,C79*40%-C73*5%,IF(C80&lt;50%,C79*30%,0))))),0)</f>
        <v>24382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81" t="s">
        <v>2263</v>
      </c>
      <c r="B83" s="3182"/>
      <c r="C83" s="3182"/>
      <c r="D83" s="3182"/>
      <c r="E83" s="3182"/>
      <c r="F83" s="3182"/>
      <c r="G83" s="3182"/>
      <c r="H83" s="318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72" t="s">
        <v>2226</v>
      </c>
      <c r="B84" s="3173"/>
      <c r="C84" s="1796"/>
      <c r="D84" s="1796" t="s">
        <v>2227</v>
      </c>
      <c r="E84" s="212" t="s">
        <v>2228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2246</v>
      </c>
      <c r="C85" s="206">
        <f ca="1">ROUND(D45/(1+'数据-取费表'!C42),0)</f>
        <v>41026</v>
      </c>
      <c r="D85" s="199" t="s">
        <v>32</v>
      </c>
      <c r="E85" s="1795"/>
      <c r="F85" s="1789"/>
      <c r="G85" s="1789"/>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2247</v>
      </c>
      <c r="C86" s="206">
        <f ca="1">IF(H88="仅含出让金",C87+C90+C91+C92+C93+C94,C87+C91+C92+C93+C94)</f>
        <v>246</v>
      </c>
      <c r="D86" s="234"/>
      <c r="E86" s="1795"/>
      <c r="F86" s="1789"/>
      <c r="G86" s="1789"/>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2264</v>
      </c>
      <c r="C87" s="224">
        <f>C88+C89</f>
        <v>0</v>
      </c>
      <c r="D87" s="225"/>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2265</v>
      </c>
      <c r="C88" s="235"/>
      <c r="D88" s="225"/>
      <c r="E88" s="236" t="s">
        <v>2266</v>
      </c>
      <c r="F88" s="1792"/>
      <c r="G88" s="237"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2255</v>
      </c>
      <c r="C89" s="224">
        <f>ROUND(C88*D89,0)</f>
        <v>0</v>
      </c>
      <c r="D89" s="225">
        <f>'数据-取费表'!B48+'数据-取费表'!B49</f>
        <v>3.0499999999999999E-2</v>
      </c>
      <c r="E89" s="236" t="s">
        <v>2268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2269</v>
      </c>
      <c r="C90" s="235"/>
      <c r="D90" s="225"/>
      <c r="E90" s="236"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2270</v>
      </c>
      <c r="B91" s="197" t="s">
        <v>2271</v>
      </c>
      <c r="C91" s="224">
        <f>IF(H91="——",成本法!C33,I91)</f>
        <v>0</v>
      </c>
      <c r="D91" s="225"/>
      <c r="E91" s="3169" t="s">
        <v>2272</v>
      </c>
      <c r="F91" s="3170"/>
      <c r="G91" s="3170"/>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2274</v>
      </c>
      <c r="B92" s="197" t="s">
        <v>2275</v>
      </c>
      <c r="C92" s="224">
        <f>ROUND((C87+C90+C91)*D92,0)</f>
        <v>0</v>
      </c>
      <c r="D92" s="225">
        <v>0.1</v>
      </c>
      <c r="E92" s="3169" t="s">
        <v>2276</v>
      </c>
      <c r="F92" s="3170"/>
      <c r="G92" s="3170"/>
      <c r="H92" s="317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2277</v>
      </c>
      <c r="B93" s="197" t="s">
        <v>2258</v>
      </c>
      <c r="C93" s="224">
        <f ca="1">ROUND(D45*D93/(1+'数据-取费表'!C42),0)</f>
        <v>246</v>
      </c>
      <c r="D93" s="225">
        <f>'数据-取费表'!B43</f>
        <v>6.000000000000001E-3</v>
      </c>
      <c r="E93" s="3169" t="s">
        <v>2259</v>
      </c>
      <c r="F93" s="3170"/>
      <c r="G93" s="3170"/>
      <c r="H93" s="317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2278</v>
      </c>
      <c r="B94" s="197" t="s">
        <v>2279</v>
      </c>
      <c r="C94" s="235">
        <f>ROUND((C87+C90+C91)*D94,0)</f>
        <v>0</v>
      </c>
      <c r="D94" s="225">
        <v>0.2</v>
      </c>
      <c r="E94" s="3217" t="s">
        <v>2280</v>
      </c>
      <c r="F94" s="3218"/>
      <c r="G94" s="3218"/>
      <c r="H94" s="321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3" t="s">
        <v>2260</v>
      </c>
      <c r="C95" s="206">
        <f ca="1">ROUND(C85-C86,0)</f>
        <v>40780</v>
      </c>
      <c r="D95" s="199" t="s">
        <v>32</v>
      </c>
      <c r="E95" s="1795"/>
      <c r="F95" s="1789"/>
      <c r="G95" s="1789"/>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2261</v>
      </c>
      <c r="C96" s="226">
        <f ca="1">IF(C95&lt;=0,0,C95/C86)</f>
        <v>165.77235772357724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2262</v>
      </c>
      <c r="C97" s="227">
        <f ca="1">ROUND(IF(C95&lt;=0,0,IF(C96&gt;=200%,C95*60%-C86*35%,IF(C96&gt;=100%,C95*50%-C86*15%,IF(C96&gt;=50%,C95*40%-C86*5%,IF(C96&lt;50%,C95*30%,0))))),0)</f>
        <v>24382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10"/>
      <c r="C98" s="2410"/>
      <c r="D98" s="2410"/>
      <c r="E98" s="2160"/>
      <c r="F98" s="2160"/>
      <c r="G98" s="2160"/>
      <c r="H98" s="2159"/>
      <c r="I98" s="138"/>
    </row>
    <row r="99" spans="1:35" ht="21.75" customHeight="1" thickBot="1">
      <c r="A99" s="2465" t="s">
        <v>2281</v>
      </c>
      <c r="B99" s="2410"/>
      <c r="C99" s="2410"/>
      <c r="D99" s="2410"/>
      <c r="E99" s="2160"/>
      <c r="F99" s="2160"/>
      <c r="G99" s="2160"/>
      <c r="H99" s="2159"/>
      <c r="I99" s="138"/>
    </row>
    <row r="100" spans="1:35" ht="18.75" customHeight="1">
      <c r="A100" s="3121" t="s">
        <v>2282</v>
      </c>
      <c r="B100" s="3122"/>
      <c r="C100" s="3122"/>
      <c r="D100" s="3153"/>
      <c r="E100" s="3122" t="s">
        <v>2283</v>
      </c>
      <c r="F100" s="3122"/>
      <c r="G100" s="3122"/>
      <c r="H100" s="3153"/>
      <c r="I100" s="138"/>
    </row>
    <row r="101" spans="1:35" ht="18.75" customHeight="1">
      <c r="A101" s="3161" t="s">
        <v>2284</v>
      </c>
      <c r="B101" s="3162"/>
      <c r="C101" s="733" t="str">
        <f>C4</f>
        <v>比较法-办公</v>
      </c>
      <c r="D101" s="734" t="str">
        <f>D4</f>
        <v>收益法（汇总）</v>
      </c>
      <c r="E101" s="3133" t="s">
        <v>2285</v>
      </c>
      <c r="F101" s="3134"/>
      <c r="G101" s="2511" t="s">
        <v>2286</v>
      </c>
      <c r="H101" s="1040">
        <f ca="1">H118</f>
        <v>43077</v>
      </c>
      <c r="I101" s="138"/>
    </row>
    <row r="102" spans="1:35" ht="18.75" customHeight="1">
      <c r="A102" s="3163" t="s">
        <v>2287</v>
      </c>
      <c r="B102" s="2511" t="s">
        <v>2286</v>
      </c>
      <c r="C102" s="733">
        <f>C19</f>
        <v>45334</v>
      </c>
      <c r="D102" s="734">
        <f ca="1">D19</f>
        <v>37810</v>
      </c>
      <c r="E102" s="3133"/>
      <c r="F102" s="3134"/>
      <c r="G102" s="2511" t="s">
        <v>2288</v>
      </c>
      <c r="H102" s="370">
        <f ca="1">I118</f>
        <v>37045</v>
      </c>
      <c r="I102" s="138"/>
    </row>
    <row r="103" spans="1:35" ht="42.75" customHeight="1">
      <c r="A103" s="3163"/>
      <c r="B103" s="2511" t="s">
        <v>2288</v>
      </c>
      <c r="C103" s="735">
        <f ca="1">C20</f>
        <v>41332</v>
      </c>
      <c r="D103" s="736">
        <f ca="1">D20</f>
        <v>32516</v>
      </c>
      <c r="E103" s="3127" t="s">
        <v>2289</v>
      </c>
      <c r="F103" s="3128"/>
      <c r="G103" s="2512" t="s">
        <v>2290</v>
      </c>
      <c r="H103" s="1040">
        <f>IF(D36="正常操作",H104+H105+H106,H105+H106)</f>
        <v>0</v>
      </c>
      <c r="I103" s="138"/>
    </row>
    <row r="104" spans="1:35" ht="18.75" customHeight="1">
      <c r="A104" s="3163" t="s">
        <v>2291</v>
      </c>
      <c r="B104" s="2513" t="s">
        <v>2286</v>
      </c>
      <c r="C104" s="737">
        <f ca="1">H118</f>
        <v>43077</v>
      </c>
      <c r="D104" s="738"/>
      <c r="E104" s="2260" t="s">
        <v>2292</v>
      </c>
      <c r="F104" s="2252"/>
      <c r="G104" s="2512" t="s">
        <v>2290</v>
      </c>
      <c r="H104" s="1041">
        <f>IF(D36="同一抵押权人同一抵押物续贷",C36&amp;"（未扣减，详见特别提示）",C36)</f>
        <v>0</v>
      </c>
      <c r="I104" s="138"/>
    </row>
    <row r="105" spans="1:35" ht="18.75" customHeight="1" thickBot="1">
      <c r="A105" s="3175"/>
      <c r="B105" s="2514" t="s">
        <v>2288</v>
      </c>
      <c r="C105" s="739">
        <f ca="1">I118</f>
        <v>37045</v>
      </c>
      <c r="D105" s="740"/>
      <c r="E105" s="2260" t="s">
        <v>2293</v>
      </c>
      <c r="F105" s="2252"/>
      <c r="G105" s="2512" t="s">
        <v>2290</v>
      </c>
      <c r="H105" s="1041">
        <f>C37</f>
        <v>0</v>
      </c>
      <c r="I105" s="138"/>
    </row>
    <row r="106" spans="1:35" ht="18.75" customHeight="1">
      <c r="A106" s="2410" t="s">
        <v>2294</v>
      </c>
      <c r="B106" s="2410"/>
      <c r="C106" s="2410"/>
      <c r="D106" s="2410"/>
      <c r="E106" s="2515" t="s">
        <v>2295</v>
      </c>
      <c r="F106" s="2252"/>
      <c r="G106" s="2512" t="s">
        <v>2290</v>
      </c>
      <c r="H106" s="1041">
        <f>C38</f>
        <v>0</v>
      </c>
      <c r="I106" s="138"/>
    </row>
    <row r="107" spans="1:35" ht="18.75" customHeight="1">
      <c r="A107" s="138"/>
      <c r="B107" s="138"/>
      <c r="C107" s="138"/>
      <c r="D107" s="138"/>
      <c r="E107" s="3164" t="str">
        <f>IF(项目基本情况!E8="已注销","——","3.房地产抵押价值")</f>
        <v>3.房地产抵押价值</v>
      </c>
      <c r="F107" s="3134"/>
      <c r="G107" s="2511" t="s">
        <v>2286</v>
      </c>
      <c r="H107" s="1040">
        <f ca="1">IF(E107="——","——",H101-H103)</f>
        <v>43077</v>
      </c>
      <c r="I107" s="138"/>
    </row>
    <row r="108" spans="1:35" ht="18.75" customHeight="1">
      <c r="A108" s="138"/>
      <c r="B108" s="138"/>
      <c r="C108" s="138"/>
      <c r="D108" s="138"/>
      <c r="E108" s="3164"/>
      <c r="F108" s="3134"/>
      <c r="G108" s="2511" t="s">
        <v>2288</v>
      </c>
      <c r="H108" s="370">
        <f ca="1">ROUND(H107*10000/'数据-汇总表'!E3,0)</f>
        <v>37045</v>
      </c>
      <c r="I108" s="138"/>
    </row>
    <row r="109" spans="1:35" ht="18.75" customHeight="1">
      <c r="A109" s="138"/>
      <c r="B109" s="138"/>
      <c r="C109" s="138"/>
      <c r="D109" s="138"/>
      <c r="E109" s="3164" t="str">
        <f>IF(项目基本情况!E8="已注销及未注销","4.抵押担保权已注销时的房地产抵押价值",IF(项目基本情况!E8="已注销","3.抵押担保权已注销时的房地产抵押价值","——"))</f>
        <v>——</v>
      </c>
      <c r="F109" s="3134"/>
      <c r="G109" s="2511" t="s">
        <v>2286</v>
      </c>
      <c r="H109" s="347" t="str">
        <f>IF(E109="——","——",H101-H105-H106)</f>
        <v>——</v>
      </c>
      <c r="I109" s="138"/>
    </row>
    <row r="110" spans="1:35" ht="18.75" customHeight="1">
      <c r="A110" s="138"/>
      <c r="B110" s="138"/>
      <c r="C110" s="138"/>
      <c r="D110" s="138"/>
      <c r="E110" s="3164"/>
      <c r="F110" s="3134"/>
      <c r="G110" s="2511" t="s">
        <v>2288</v>
      </c>
      <c r="H110" s="370"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1" t="s">
        <v>2286</v>
      </c>
      <c r="H111" s="1040" t="str">
        <f>IF(E111="——","——",N59)</f>
        <v>——</v>
      </c>
      <c r="I111" s="138"/>
    </row>
    <row r="112" spans="1:35" ht="18.75" customHeight="1" thickBot="1">
      <c r="A112" s="138"/>
      <c r="B112" s="138"/>
      <c r="C112" s="138"/>
      <c r="D112" s="138"/>
      <c r="E112" s="3167"/>
      <c r="F112" s="3168"/>
      <c r="G112" s="2516" t="s">
        <v>2288</v>
      </c>
      <c r="H112" s="787" t="str">
        <f>IF(E111="——","——",N61)</f>
        <v>——</v>
      </c>
      <c r="I112" s="138"/>
    </row>
    <row r="113" spans="1:11" ht="18.75" customHeight="1">
      <c r="A113" s="138"/>
      <c r="B113" s="138"/>
      <c r="C113" s="138"/>
      <c r="D113" s="138"/>
      <c r="E113" s="3176" t="s">
        <v>2294</v>
      </c>
      <c r="F113" s="3176"/>
      <c r="G113" s="3176"/>
      <c r="H113" s="3176"/>
      <c r="I113" s="138"/>
    </row>
    <row r="114" spans="1:11" ht="3.75" customHeight="1">
      <c r="A114" s="2410"/>
      <c r="B114" s="2410"/>
      <c r="C114" s="2410"/>
      <c r="D114" s="2410"/>
      <c r="E114" s="2487"/>
      <c r="F114" s="2487"/>
      <c r="G114" s="2487"/>
      <c r="H114" s="2487"/>
      <c r="I114" s="2410"/>
    </row>
    <row r="115" spans="1:11" ht="18.75" customHeight="1">
      <c r="A115" s="3189" t="s">
        <v>2296</v>
      </c>
      <c r="B115" s="3190"/>
      <c r="C115" s="3190"/>
      <c r="D115" s="3190"/>
      <c r="E115" s="3190"/>
      <c r="F115" s="3190"/>
      <c r="G115" s="3190"/>
      <c r="H115" s="3190"/>
      <c r="I115" s="3191"/>
    </row>
    <row r="116" spans="1:11" ht="27" customHeight="1">
      <c r="A116" s="3100" t="s">
        <v>2297</v>
      </c>
      <c r="B116" s="3143" t="s">
        <v>2298</v>
      </c>
      <c r="C116" s="3143" t="s">
        <v>2299</v>
      </c>
      <c r="D116" s="3149" t="s">
        <v>2300</v>
      </c>
      <c r="E116" s="3150"/>
      <c r="F116" s="3185" t="s">
        <v>3067</v>
      </c>
      <c r="G116" s="3185"/>
      <c r="H116" s="3100" t="s">
        <v>2301</v>
      </c>
      <c r="I116" s="3100"/>
    </row>
    <row r="117" spans="1:11" ht="18.75" customHeight="1">
      <c r="A117" s="3100"/>
      <c r="B117" s="3144"/>
      <c r="C117" s="3144"/>
      <c r="D117" s="1790" t="s">
        <v>2302</v>
      </c>
      <c r="E117" s="1790" t="s">
        <v>2303</v>
      </c>
      <c r="F117" s="1790" t="s">
        <v>2302</v>
      </c>
      <c r="G117" s="1790" t="s">
        <v>2304</v>
      </c>
      <c r="H117" s="1790" t="s">
        <v>2302</v>
      </c>
      <c r="I117" s="1790" t="s">
        <v>2304</v>
      </c>
    </row>
    <row r="118" spans="1:11" ht="24.75" customHeight="1">
      <c r="A118" s="2517" t="str">
        <f>项目基本情况!S2</f>
        <v>北京市海淀区西四环北路160号房地产</v>
      </c>
      <c r="B118" s="1790">
        <f>M18</f>
        <v>11628.210000000001</v>
      </c>
      <c r="C118" s="1790">
        <f>M19</f>
        <v>0</v>
      </c>
      <c r="D118" s="1790">
        <f ca="1">ROUND(IF(D32="总价",C34,E118*B118/10000),0)</f>
        <v>43077</v>
      </c>
      <c r="E118" s="1790">
        <f ca="1">ROUND(IF(C33="自定义",IF(D32="楼面单价",C34,D118*10000/B118),I118-G118),0)</f>
        <v>37045</v>
      </c>
      <c r="F118" s="1790">
        <f ca="1">ROUND(IF(D32="总价",C35,G118*B118/10000),0)</f>
        <v>0</v>
      </c>
      <c r="G118" s="1790">
        <f ca="1">ROUND(IF(D32="楼面单价",C35,F118*10000/B118),0)</f>
        <v>0</v>
      </c>
      <c r="H118" s="1790">
        <f ca="1">ROUND(IF(D32="总价",C32,I118*B118/10000),0)</f>
        <v>43077</v>
      </c>
      <c r="I118" s="1790">
        <f ca="1">ROUND(IF(D32="楼面单价",C32,H118*10000/B118),0)</f>
        <v>37045</v>
      </c>
    </row>
    <row r="119" spans="1:11" ht="18.75" customHeight="1">
      <c r="A119" s="3100" t="s">
        <v>2305</v>
      </c>
      <c r="B119" s="3100"/>
      <c r="C119" s="3100"/>
      <c r="D119" s="3145" t="str">
        <f ca="1">NUMBERSTRING(INT(D118*10000),2)&amp;"元整"</f>
        <v>肆亿叁仟零柒拾柒万元整</v>
      </c>
      <c r="E119" s="3146"/>
      <c r="F119" s="3145" t="str">
        <f ca="1">NUMBERSTRING(INT(F118*10000),2)&amp;"元整"</f>
        <v>零元整</v>
      </c>
      <c r="G119" s="3146"/>
      <c r="H119" s="3145" t="str">
        <f ca="1">NUMBERSTRING(INT(H118*10000),2)&amp;"元整"</f>
        <v>肆亿叁仟零柒拾柒万元整</v>
      </c>
      <c r="I119" s="3146"/>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4" t="str">
        <f>IF(D120=0,"故，本次评估不存在"&amp;A120,"故，本次评估"&amp;A120&amp;"为人民币"&amp;D120&amp;"万元整。")</f>
        <v>故，本次评估不存在估价师知悉的法定优先受偿款</v>
      </c>
    </row>
    <row r="121" spans="1:11" ht="18.75" customHeight="1">
      <c r="A121" s="3186" t="s">
        <v>2305</v>
      </c>
      <c r="B121" s="3187"/>
      <c r="C121" s="3188"/>
      <c r="D121" s="3145" t="str">
        <f>IF(D120=0,"零元整",NUMBERSTRING(INT(D120*10000),2)&amp;"元整")</f>
        <v>零元整</v>
      </c>
      <c r="E121" s="3147"/>
      <c r="F121" s="3147"/>
      <c r="G121" s="3147"/>
      <c r="H121" s="3147"/>
      <c r="I121" s="3146"/>
    </row>
    <row r="122" spans="1:11" ht="18.75" customHeight="1">
      <c r="A122" s="3151" t="str">
        <f>IF(项目基本情况!B9="房地产市场价值","",MID(E107,3,LEN(E107)-2))</f>
        <v>房地产抵押价值</v>
      </c>
      <c r="B122" s="3151"/>
      <c r="C122" s="3151"/>
      <c r="D122" s="3140">
        <f ca="1">H107</f>
        <v>43077</v>
      </c>
      <c r="E122" s="3141"/>
      <c r="F122" s="3141"/>
      <c r="G122" s="3141"/>
      <c r="H122" s="3141"/>
      <c r="I122" s="3142"/>
    </row>
    <row r="123" spans="1:11" ht="18.75" customHeight="1">
      <c r="A123" s="3100" t="s">
        <v>2305</v>
      </c>
      <c r="B123" s="3100"/>
      <c r="C123" s="3100"/>
      <c r="D123" s="3145" t="str">
        <f ca="1">NUMBERSTRING(INT(D122*10000),2)&amp;"元整"</f>
        <v>肆亿叁仟零柒拾柒万元整</v>
      </c>
      <c r="E123" s="3147"/>
      <c r="F123" s="3147"/>
      <c r="G123" s="3147"/>
      <c r="H123" s="3147"/>
      <c r="I123" s="3146"/>
    </row>
    <row r="124" spans="1:11" ht="18.75" customHeight="1">
      <c r="A124" s="3151" t="str">
        <f>IF(项目基本情况!B9="房地产市场价值","",MID(E109,3,LEN(E109)-2))</f>
        <v/>
      </c>
      <c r="B124" s="3151"/>
      <c r="C124" s="3151"/>
      <c r="D124" s="3140" t="str">
        <f>H109</f>
        <v>——</v>
      </c>
      <c r="E124" s="3141"/>
      <c r="F124" s="3141"/>
      <c r="G124" s="3141"/>
      <c r="H124" s="3141"/>
      <c r="I124" s="3142"/>
    </row>
    <row r="125" spans="1:11" ht="18.75" customHeight="1">
      <c r="A125" s="3100" t="s">
        <v>2305</v>
      </c>
      <c r="B125" s="3100"/>
      <c r="C125" s="3100"/>
      <c r="D125" s="3145" t="e">
        <f>NUMBERSTRING(INT(D124*10000),2)&amp;"元整"</f>
        <v>#VALUE!</v>
      </c>
      <c r="E125" s="3147"/>
      <c r="F125" s="3147"/>
      <c r="G125" s="3147"/>
      <c r="H125" s="3147"/>
      <c r="I125" s="3146"/>
    </row>
    <row r="126" spans="1:11" ht="18.75" customHeight="1">
      <c r="A126" s="3151" t="str">
        <f>IF(项目基本情况!B9="房地产市场价值","",MID(E111,3,LEN(E111)-2))</f>
        <v/>
      </c>
      <c r="B126" s="3151"/>
      <c r="C126" s="3151"/>
      <c r="D126" s="3140" t="str">
        <f>H111</f>
        <v>——</v>
      </c>
      <c r="E126" s="3141"/>
      <c r="F126" s="3141"/>
      <c r="G126" s="3141"/>
      <c r="H126" s="3141"/>
      <c r="I126" s="3142"/>
    </row>
    <row r="127" spans="1:11" ht="18.75" customHeight="1">
      <c r="A127" s="3100" t="s">
        <v>2305</v>
      </c>
      <c r="B127" s="3100"/>
      <c r="C127" s="3100"/>
      <c r="D127" s="3145" t="e">
        <f>NUMBERSTRING(INT(D126*10000),2)&amp;"元整"</f>
        <v>#VALUE!</v>
      </c>
      <c r="E127" s="3147"/>
      <c r="F127" s="3147"/>
      <c r="G127" s="3147"/>
      <c r="H127" s="3147"/>
      <c r="I127" s="3146"/>
    </row>
    <row r="128" spans="1:11" ht="21.75" customHeight="1">
      <c r="A128" s="3148" t="s">
        <v>2306</v>
      </c>
      <c r="B128" s="3148"/>
      <c r="C128" s="3148"/>
      <c r="D128" s="3148"/>
      <c r="E128" s="3148"/>
      <c r="F128" s="3148"/>
      <c r="G128" s="3148"/>
      <c r="H128" s="3148"/>
      <c r="I128" s="3148"/>
    </row>
    <row r="129" spans="1:35" ht="21.75" customHeight="1">
      <c r="A129" s="2518" t="s">
        <v>2307</v>
      </c>
      <c r="B129" s="2519"/>
      <c r="C129" s="2520" t="s">
        <v>2308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2309</v>
      </c>
      <c r="G135" s="2535"/>
      <c r="H135" s="2535"/>
      <c r="I135" s="2536" t="s">
        <v>2310</v>
      </c>
    </row>
    <row r="136" spans="1:35" ht="21.75" customHeight="1">
      <c r="A136" s="792"/>
      <c r="B136" s="2537" t="s">
        <v>2311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2312</v>
      </c>
    </row>
    <row r="139" spans="1:35" ht="21.75" customHeight="1">
      <c r="A139" s="792"/>
      <c r="B139" s="2537" t="s">
        <v>2313</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2312</v>
      </c>
    </row>
    <row r="142" spans="1:35" ht="21.75" customHeight="1">
      <c r="A142" s="792"/>
      <c r="B142" s="2537"/>
      <c r="C142" s="2538"/>
      <c r="D142" s="2539"/>
      <c r="E142" s="2539"/>
      <c r="F142" s="2333"/>
      <c r="G142" s="792"/>
      <c r="H142" s="792"/>
      <c r="I142" s="792"/>
    </row>
    <row r="143" spans="1:35" s="139"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0" customWidth="1"/>
    <col min="2" max="9" width="10" style="1010" customWidth="1"/>
    <col min="10" max="16384" width="8.875" style="1010"/>
  </cols>
  <sheetData>
    <row r="36" spans="1:9">
      <c r="A36" s="1009" t="s">
        <v>818</v>
      </c>
      <c r="B36" s="1009" t="s">
        <v>819</v>
      </c>
    </row>
    <row r="37" spans="1:9" ht="27.75" customHeight="1">
      <c r="A37" s="1009"/>
      <c r="B37" s="3034" t="str">
        <f>项目基本情况!B1</f>
        <v>北京市海淀区西四环北路160号房地产抵押价值预评估</v>
      </c>
      <c r="C37" s="3034"/>
      <c r="D37" s="3034"/>
      <c r="E37" s="3034"/>
      <c r="F37" s="3034"/>
      <c r="G37" s="3034"/>
      <c r="H37" s="3034"/>
      <c r="I37" s="3034"/>
    </row>
    <row r="38" spans="1:9">
      <c r="A38" s="1011"/>
      <c r="B38" s="1011"/>
    </row>
    <row r="39" spans="1:9">
      <c r="A39" s="1009" t="s">
        <v>818</v>
      </c>
      <c r="B39" s="1009" t="s">
        <v>820</v>
      </c>
    </row>
    <row r="40" spans="1:9">
      <c r="A40" s="1009"/>
      <c r="B40" s="1937" t="str">
        <f>项目基本情况!B5</f>
        <v>昆仑信托有限责任公司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项目基本情况!K4</f>
        <v>（注册号：0)、（注册号：0)</v>
      </c>
    </row>
    <row r="47" spans="1:9">
      <c r="A47" s="1009"/>
      <c r="B47" s="1009" t="str">
        <f>项目基本情况!K5</f>
        <v/>
      </c>
    </row>
    <row r="48" spans="1:9">
      <c r="A48" s="1009" t="s">
        <v>818</v>
      </c>
      <c r="B48" s="1009" t="s">
        <v>824</v>
      </c>
    </row>
    <row r="49" spans="2:2">
      <c r="B49" s="1937"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2314</v>
      </c>
      <c r="B1" s="1932"/>
      <c r="C1" s="2546" t="s">
        <v>2416</v>
      </c>
      <c r="D1" s="241"/>
      <c r="E1" s="241"/>
      <c r="F1" s="241"/>
      <c r="G1" s="1374">
        <f>MATCH(B1,'数据-取费表'!A6:A16,0)+5</f>
        <v>9</v>
      </c>
      <c r="H1" s="1277" t="str">
        <f>IF(ISERROR(FIND("住宅",B1)),"非住宅","住宅")</f>
        <v>非住宅</v>
      </c>
    </row>
    <row r="2" spans="1:8" s="243" customFormat="1" ht="18" customHeight="1">
      <c r="A2" s="244" t="s">
        <v>2315</v>
      </c>
      <c r="B2" s="245">
        <f ca="1">ROUND(IF(D2="——",C52/10000,C52/10000-E2),0)</f>
        <v>5205</v>
      </c>
      <c r="C2" s="242" t="s">
        <v>2316</v>
      </c>
      <c r="D2" s="2540" t="s">
        <v>70</v>
      </c>
      <c r="E2" s="1435" t="e">
        <f ca="1">SUMIF(INDIRECT("'"&amp;G2&amp;"'"&amp;"!A:A"),"承租人权益价值",INDIRECT("'"&amp;G2&amp;"'"&amp;"!c:c"))</f>
        <v>#REF!</v>
      </c>
      <c r="F2" s="2541" t="s">
        <v>2316</v>
      </c>
      <c r="G2" s="2542"/>
    </row>
    <row r="3" spans="1:8" s="243" customFormat="1" ht="18" customHeight="1" thickBot="1">
      <c r="A3" s="246" t="s">
        <v>2317</v>
      </c>
      <c r="B3" s="247">
        <f ca="1">ROUND(B2*10000/(IF(B1="",'数据-汇总表'!E3,INDIRECT("'数据-取费表'!k"&amp;$G$1))),0)</f>
        <v>4476</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f ca="1">C6+C7+C8</f>
        <v>2325642</v>
      </c>
      <c r="D5" s="254" t="s">
        <v>2322</v>
      </c>
      <c r="E5" s="255" t="s">
        <v>2323</v>
      </c>
      <c r="F5" s="255" t="s">
        <v>2324</v>
      </c>
      <c r="G5" s="256"/>
    </row>
    <row r="6" spans="1:8" s="257" customFormat="1" ht="13.5" customHeight="1">
      <c r="A6" s="944" t="s">
        <v>2325</v>
      </c>
      <c r="B6" s="258" t="s">
        <v>2326</v>
      </c>
      <c r="C6" s="259"/>
      <c r="D6" s="260"/>
      <c r="E6" s="261"/>
      <c r="F6" s="261"/>
      <c r="G6" s="262"/>
    </row>
    <row r="7" spans="1:8" s="257" customFormat="1" ht="13.5" customHeight="1">
      <c r="A7" s="944" t="s">
        <v>2327</v>
      </c>
      <c r="B7" s="258" t="s">
        <v>2328</v>
      </c>
      <c r="C7" s="263">
        <f>ROUND(C6*F7,0)</f>
        <v>0</v>
      </c>
      <c r="D7" s="263"/>
      <c r="E7" s="261"/>
      <c r="F7" s="264">
        <f>'数据-取费表'!B48+'数据-取费表'!B49</f>
        <v>3.0499999999999999E-2</v>
      </c>
      <c r="G7" s="262"/>
    </row>
    <row r="8" spans="1:8" s="266" customFormat="1">
      <c r="A8" s="944" t="s">
        <v>2329</v>
      </c>
      <c r="B8" s="258" t="s">
        <v>2330</v>
      </c>
      <c r="C8" s="263">
        <f ca="1">IF(G8="已包含在土地购买价格中",0,C9+C10)</f>
        <v>2325642</v>
      </c>
      <c r="D8" s="265"/>
      <c r="E8" s="263"/>
      <c r="F8" s="264"/>
      <c r="G8" s="2543"/>
    </row>
    <row r="9" spans="1:8" s="257" customFormat="1" ht="13.5" customHeight="1">
      <c r="A9" s="945" t="s">
        <v>800</v>
      </c>
      <c r="B9" s="267" t="s">
        <v>2331</v>
      </c>
      <c r="C9" s="268">
        <f ca="1">ROUND(D9*E9,0)</f>
        <v>0</v>
      </c>
      <c r="D9" s="1027">
        <f ca="1">IF(B1="",'数据-汇总表'!E5,IF(INDIRECT("'数据-取费表'!c"&amp;$G$1)="住宅",INDIRECT("'数据-取费表'!k"&amp;$G$1),0))</f>
        <v>0</v>
      </c>
      <c r="E9" s="268">
        <f>'数据-取费表'!B27</f>
        <v>160</v>
      </c>
      <c r="F9" s="264"/>
      <c r="G9" s="269"/>
    </row>
    <row r="10" spans="1:8" s="257" customFormat="1" ht="13.5" customHeight="1">
      <c r="A10" s="945" t="s">
        <v>801</v>
      </c>
      <c r="B10" s="267" t="s">
        <v>2333</v>
      </c>
      <c r="C10" s="268">
        <f ca="1">ROUND(D10*E10,0)</f>
        <v>2325642</v>
      </c>
      <c r="D10" s="1027">
        <f ca="1">IF(B1="",'数据-汇总表'!E6,IF(INDIRECT("'数据-取费表'!c"&amp;$G$1)="住宅",INDIRECT("'数据-取费表'!s"&amp;$G$1),INDIRECT("'数据-取费表'!k"&amp;$G$1)+INDIRECT("'数据-取费表'!s"&amp;$G$1)))</f>
        <v>11628.210000000001</v>
      </c>
      <c r="E10" s="268">
        <f>'数据-取费表'!B28</f>
        <v>200</v>
      </c>
      <c r="F10" s="264"/>
      <c r="G10" s="269"/>
    </row>
    <row r="11" spans="1:8" s="257" customFormat="1" ht="13.5" hidden="1" customHeight="1">
      <c r="A11" s="270" t="s">
        <v>7</v>
      </c>
      <c r="B11" s="258" t="s">
        <v>2334</v>
      </c>
      <c r="C11" s="254"/>
      <c r="D11" s="1029"/>
      <c r="E11" s="261"/>
      <c r="F11" s="261"/>
      <c r="G11" s="262"/>
    </row>
    <row r="12" spans="1:8" s="257" customFormat="1" ht="13.5" hidden="1" customHeight="1">
      <c r="A12" s="270" t="s">
        <v>8</v>
      </c>
      <c r="B12" s="258" t="s">
        <v>2417</v>
      </c>
      <c r="C12" s="254">
        <v>0</v>
      </c>
      <c r="D12" s="1029"/>
      <c r="E12" s="271"/>
      <c r="F12" s="264">
        <v>3.0499999999999999E-2</v>
      </c>
      <c r="G12" s="262"/>
    </row>
    <row r="13" spans="1:8" s="257" customFormat="1" ht="13.5" hidden="1" customHeight="1">
      <c r="A13" s="270" t="s">
        <v>9</v>
      </c>
      <c r="B13" s="258" t="s">
        <v>2418</v>
      </c>
      <c r="C13" s="254"/>
      <c r="D13" s="1029"/>
      <c r="E13" s="261"/>
      <c r="F13" s="261"/>
      <c r="G13" s="262"/>
    </row>
    <row r="14" spans="1:8" s="257" customFormat="1" ht="13.5" hidden="1" customHeight="1">
      <c r="A14" s="270" t="s">
        <v>10</v>
      </c>
      <c r="B14" s="258" t="s">
        <v>2330</v>
      </c>
      <c r="C14" s="254"/>
      <c r="D14" s="1029"/>
      <c r="E14" s="261"/>
      <c r="F14" s="261"/>
      <c r="G14" s="262" t="s">
        <v>2419</v>
      </c>
    </row>
    <row r="15" spans="1:8" s="257" customFormat="1" ht="13.5" hidden="1" customHeight="1">
      <c r="A15" s="270" t="s">
        <v>11</v>
      </c>
      <c r="B15" s="258" t="s">
        <v>2420</v>
      </c>
      <c r="C15" s="263"/>
      <c r="D15" s="1029"/>
      <c r="E15" s="261"/>
      <c r="F15" s="261"/>
      <c r="G15" s="262" t="s">
        <v>2421</v>
      </c>
    </row>
    <row r="16" spans="1:8" s="257" customFormat="1" ht="13.5" hidden="1" customHeight="1">
      <c r="A16" s="270" t="s">
        <v>12</v>
      </c>
      <c r="B16" s="258" t="s">
        <v>2330</v>
      </c>
      <c r="C16" s="263"/>
      <c r="D16" s="1029"/>
      <c r="E16" s="261"/>
      <c r="F16" s="261"/>
      <c r="G16" s="262"/>
    </row>
    <row r="17" spans="1:7" s="257" customFormat="1" ht="13.5" hidden="1" customHeight="1">
      <c r="A17" s="270" t="s">
        <v>13</v>
      </c>
      <c r="B17" s="258" t="s">
        <v>2422</v>
      </c>
      <c r="C17" s="272"/>
      <c r="D17" s="1030"/>
      <c r="E17" s="272"/>
      <c r="F17" s="272"/>
      <c r="G17" s="262" t="s">
        <v>2421</v>
      </c>
    </row>
    <row r="18" spans="1:7" s="257" customFormat="1" ht="13.5" hidden="1" customHeight="1">
      <c r="A18" s="270" t="s">
        <v>14</v>
      </c>
      <c r="B18" s="258" t="s">
        <v>2423</v>
      </c>
      <c r="C18" s="263">
        <v>0</v>
      </c>
      <c r="D18" s="1029"/>
      <c r="E18" s="261"/>
      <c r="F18" s="264">
        <v>3.0499999999999999E-2</v>
      </c>
      <c r="G18" s="262" t="s">
        <v>2424</v>
      </c>
    </row>
    <row r="19" spans="1:7" s="266" customFormat="1" ht="13.5" customHeight="1">
      <c r="A19" s="298" t="s">
        <v>2425</v>
      </c>
      <c r="B19" s="253" t="s">
        <v>2426</v>
      </c>
      <c r="C19" s="254">
        <f ca="1">IF(G19="已包含在土地取得成本中","0",ROUND(D19*E19,0))</f>
        <v>2325642</v>
      </c>
      <c r="D19" s="1031">
        <f ca="1">D9+D10</f>
        <v>11628.210000000001</v>
      </c>
      <c r="E19" s="254">
        <f>'数据-取费表'!B31</f>
        <v>200</v>
      </c>
      <c r="F19" s="274"/>
      <c r="G19" s="2543"/>
    </row>
    <row r="20" spans="1:7" s="257" customFormat="1" ht="13.5" customHeight="1">
      <c r="A20" s="298" t="s">
        <v>2427</v>
      </c>
      <c r="B20" s="253" t="s">
        <v>2428</v>
      </c>
      <c r="C20" s="275">
        <f ca="1">ROUND((C5+C19)*F20,0)</f>
        <v>93026</v>
      </c>
      <c r="D20" s="275"/>
      <c r="E20" s="275"/>
      <c r="F20" s="276">
        <f>'数据-取费表'!B37</f>
        <v>0.02</v>
      </c>
      <c r="G20" s="277" t="s">
        <v>2429</v>
      </c>
    </row>
    <row r="21" spans="1:7" s="257" customFormat="1" ht="13.5" customHeight="1">
      <c r="A21" s="298" t="s">
        <v>2430</v>
      </c>
      <c r="B21" s="253" t="s">
        <v>2431</v>
      </c>
      <c r="C21" s="278">
        <f>F21</f>
        <v>0.03</v>
      </c>
      <c r="D21" s="279" t="s">
        <v>2432</v>
      </c>
      <c r="E21" s="275"/>
      <c r="F21" s="276">
        <f>'数据-取费表'!B38</f>
        <v>0.03</v>
      </c>
      <c r="G21" s="277" t="s">
        <v>2433</v>
      </c>
    </row>
    <row r="22" spans="1:7" s="257" customFormat="1" ht="13.5" customHeight="1">
      <c r="A22" s="298" t="s">
        <v>2434</v>
      </c>
      <c r="B22" s="253" t="s">
        <v>2435</v>
      </c>
      <c r="C22" s="1375">
        <f ca="1">ROUND(SUM(C23:C25),0)</f>
        <v>456785</v>
      </c>
      <c r="D22" s="278">
        <f ca="1">C26</f>
        <v>1.4E-3</v>
      </c>
      <c r="E22" s="279" t="s">
        <v>2432</v>
      </c>
      <c r="F22" s="280">
        <f ca="1">'数据-取费表'!B40</f>
        <v>4.7500000000000001E-2</v>
      </c>
      <c r="G22" s="277" t="str">
        <f>IF('数据-取费表'!B22&lt;=1,"单利计息","复利计息")</f>
        <v>复利计息</v>
      </c>
    </row>
    <row r="23" spans="1:7" s="257" customFormat="1" ht="13.5" customHeight="1">
      <c r="A23" s="946" t="s">
        <v>2325</v>
      </c>
      <c r="B23" s="258" t="s">
        <v>2436</v>
      </c>
      <c r="C23" s="1376">
        <f ca="1">ROUND(IF('数据-取费表'!B22&lt;=1,C5*F22*'数据-取费表'!B22,C5*(POWER((1+F22),'数据-取费表'!B22)-1)),0)</f>
        <v>226183</v>
      </c>
      <c r="D23" s="281"/>
      <c r="E23" s="281"/>
      <c r="F23" s="282"/>
      <c r="G23" s="283" t="s">
        <v>2437</v>
      </c>
    </row>
    <row r="24" spans="1:7" s="257" customFormat="1" ht="13.5" customHeight="1">
      <c r="A24" s="946" t="s">
        <v>2327</v>
      </c>
      <c r="B24" s="258" t="s">
        <v>2438</v>
      </c>
      <c r="C24" s="1376">
        <f ca="1">ROUND(IF('数据-取费表'!B22&lt;=1,C19*F22*('数据-取费表'!B19/2+'数据-取费表'!B20),C19*(POWER((1+F22),('数据-取费表'!B19/2+'数据-取费表'!B20))-1)),0)</f>
        <v>226183</v>
      </c>
      <c r="D24" s="281"/>
      <c r="E24" s="281"/>
      <c r="F24" s="282"/>
      <c r="G24" s="283" t="s">
        <v>2439</v>
      </c>
    </row>
    <row r="25" spans="1:7" s="257" customFormat="1" ht="24">
      <c r="A25" s="946" t="s">
        <v>2329</v>
      </c>
      <c r="B25" s="258" t="s">
        <v>2440</v>
      </c>
      <c r="C25" s="1376">
        <f ca="1">ROUND(IF('数据-取费表'!B22&lt;=1,C20*F22*'数据-取费表'!B22/2,C20*(POWER((1+F22),'数据-取费表'!B22/2)-1)),0)</f>
        <v>4419</v>
      </c>
      <c r="D25" s="281"/>
      <c r="E25" s="284"/>
      <c r="F25" s="282"/>
      <c r="G25" s="285" t="s">
        <v>2441</v>
      </c>
    </row>
    <row r="26" spans="1:7" s="257" customFormat="1">
      <c r="A26" s="946" t="s">
        <v>795</v>
      </c>
      <c r="B26" s="258" t="s">
        <v>2364</v>
      </c>
      <c r="C26" s="281">
        <f ca="1">ROUND(IF('数据-取费表'!B22&lt;=1,F21*F22*'数据-取费表'!B22/2,F21*(POWER((1+F22),'数据-取费表'!B22/2)-1)),4)</f>
        <v>1.4E-3</v>
      </c>
      <c r="D26" s="281"/>
      <c r="E26" s="284"/>
      <c r="F26" s="282"/>
      <c r="G26" s="286"/>
    </row>
    <row r="27" spans="1:7" s="257" customFormat="1" ht="24.75">
      <c r="A27" s="298" t="s">
        <v>2365</v>
      </c>
      <c r="B27" s="287" t="s">
        <v>2366</v>
      </c>
      <c r="C27" s="288">
        <f ca="1">C28</f>
        <v>711647</v>
      </c>
      <c r="D27" s="278">
        <f ca="1">C29</f>
        <v>4.4999999999999997E-3</v>
      </c>
      <c r="E27" s="279" t="s">
        <v>2367</v>
      </c>
      <c r="F27" s="289">
        <f ca="1">IF(B1="",'数据-取费表'!Q16,INDIRECT("'数据-取费表'!q"&amp;$G$1))</f>
        <v>0.15</v>
      </c>
      <c r="G27" s="290" t="s">
        <v>2368</v>
      </c>
    </row>
    <row r="28" spans="1:7" s="257" customFormat="1" ht="13.5" customHeight="1">
      <c r="A28" s="946" t="s">
        <v>791</v>
      </c>
      <c r="B28" s="291" t="s">
        <v>2369</v>
      </c>
      <c r="C28" s="292">
        <f ca="1">ROUND((C5+C19+C20)*F27,0)</f>
        <v>711647</v>
      </c>
      <c r="D28" s="278"/>
      <c r="E28" s="279"/>
      <c r="F28" s="289"/>
      <c r="G28" s="290"/>
    </row>
    <row r="29" spans="1:7" s="257" customFormat="1" ht="13.5" customHeight="1">
      <c r="A29" s="946" t="s">
        <v>792</v>
      </c>
      <c r="B29" s="291" t="s">
        <v>2370</v>
      </c>
      <c r="C29" s="281">
        <f ca="1">ROUND(C21*F27,4)</f>
        <v>4.4999999999999997E-3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6491812</v>
      </c>
      <c r="D31" s="273"/>
      <c r="E31" s="254"/>
      <c r="F31" s="293"/>
      <c r="G31" s="277" t="s">
        <v>2375</v>
      </c>
    </row>
    <row r="32" spans="1:7" s="251" customFormat="1" ht="15.75">
      <c r="A32" s="295" t="s">
        <v>2442</v>
      </c>
      <c r="B32" s="296"/>
      <c r="C32" s="296"/>
      <c r="D32" s="296"/>
      <c r="E32" s="296"/>
      <c r="F32" s="296"/>
      <c r="G32" s="297"/>
    </row>
    <row r="33" spans="1:7" s="257" customFormat="1" ht="13.5" customHeight="1">
      <c r="A33" s="298" t="s">
        <v>782</v>
      </c>
      <c r="B33" s="253" t="s">
        <v>2443</v>
      </c>
      <c r="C33" s="299">
        <f ca="1">SUM(C34:C38)</f>
        <v>37743932</v>
      </c>
      <c r="D33" s="275"/>
      <c r="E33" s="255"/>
      <c r="F33" s="284"/>
      <c r="G33" s="277"/>
    </row>
    <row r="34" spans="1:7" s="301" customFormat="1" ht="13.5" customHeight="1">
      <c r="A34" s="946" t="s">
        <v>791</v>
      </c>
      <c r="B34" s="258" t="s">
        <v>2378</v>
      </c>
      <c r="C34" s="263">
        <f ca="1">ROUND(IF(B1="",SUMPRODUCT('数据-取费表'!K6:K14,'数据-取费表'!L6:L14),INDIRECT("'数据-取费表'!l"&amp;$G$1)*INDIRECT("'数据-取费表'!k"&amp;$G$1)+'数据-取费表'!L14*INDIRECT("'数据-取费表'!S"&amp;$G$1)),0)</f>
        <v>33893100</v>
      </c>
      <c r="D34" s="260"/>
      <c r="E34" s="263"/>
      <c r="F34" s="300"/>
      <c r="G34" s="262"/>
    </row>
    <row r="35" spans="1:7" ht="13.5" customHeight="1">
      <c r="A35" s="946" t="s">
        <v>796</v>
      </c>
      <c r="B35" s="258" t="s">
        <v>2380</v>
      </c>
      <c r="C35" s="263">
        <f ca="1">ROUND(C34*F35,0)</f>
        <v>1016793</v>
      </c>
      <c r="D35" s="263"/>
      <c r="E35" s="263"/>
      <c r="F35" s="302">
        <f>'数据-取费表'!B33</f>
        <v>0.03</v>
      </c>
      <c r="G35" s="262" t="s">
        <v>2381</v>
      </c>
    </row>
    <row r="36" spans="1:7" ht="24">
      <c r="A36" s="946" t="s">
        <v>797</v>
      </c>
      <c r="B36" s="258" t="s">
        <v>2382</v>
      </c>
      <c r="C36" s="263">
        <f ca="1">ROUND(IF(B1="",SUM('数据-取费表'!AP6:AP13)*F36,IF(INDIRECT("'数据-取费表'!c"&amp;$G$1)="住宅",INDIRECT("'数据-取费表'!k"&amp;$G$1)*INDIRECT("'数据-取费表'!l"&amp;$G$1)*F36,0)),0)</f>
        <v>0</v>
      </c>
      <c r="D36" s="263"/>
      <c r="E36" s="263"/>
      <c r="F36" s="302">
        <f>'数据-取费表'!B34</f>
        <v>0</v>
      </c>
      <c r="G36" s="303" t="s">
        <v>2383</v>
      </c>
    </row>
    <row r="37" spans="1:7" s="301" customFormat="1" ht="13.5" customHeight="1">
      <c r="A37" s="946" t="s">
        <v>798</v>
      </c>
      <c r="B37" s="258" t="s">
        <v>2384</v>
      </c>
      <c r="C37" s="292">
        <f ca="1">ROUND(E37*D37,0)</f>
        <v>2325642</v>
      </c>
      <c r="D37" s="260">
        <f ca="1">D19</f>
        <v>11628.210000000001</v>
      </c>
      <c r="E37" s="292">
        <f>'数据-取费表'!B35</f>
        <v>200</v>
      </c>
      <c r="F37" s="302"/>
      <c r="G37" s="304"/>
    </row>
    <row r="38" spans="1:7" ht="13.5" customHeight="1">
      <c r="A38" s="946" t="s">
        <v>799</v>
      </c>
      <c r="B38" s="258" t="s">
        <v>2386</v>
      </c>
      <c r="C38" s="263">
        <f ca="1">ROUND(C34*F38,0)</f>
        <v>508397</v>
      </c>
      <c r="D38" s="263"/>
      <c r="E38" s="263"/>
      <c r="F38" s="302">
        <f>'数据-取费表'!B36</f>
        <v>1.4999999999999999E-2</v>
      </c>
      <c r="G38" s="262" t="s">
        <v>2381</v>
      </c>
    </row>
    <row r="39" spans="1:7" s="257" customFormat="1" ht="13.5" customHeight="1">
      <c r="A39" s="298" t="s">
        <v>2387</v>
      </c>
      <c r="B39" s="253" t="s">
        <v>2388</v>
      </c>
      <c r="C39" s="275">
        <f ca="1">ROUND(C33*F20,0)</f>
        <v>754879</v>
      </c>
      <c r="D39" s="275"/>
      <c r="E39" s="275"/>
      <c r="F39" s="276"/>
      <c r="G39" s="277" t="s">
        <v>2389</v>
      </c>
    </row>
    <row r="40" spans="1:7" s="257" customFormat="1" ht="13.5" customHeight="1">
      <c r="A40" s="298" t="s">
        <v>2390</v>
      </c>
      <c r="B40" s="253" t="s">
        <v>2391</v>
      </c>
      <c r="C40" s="1723">
        <f>F21</f>
        <v>0.03</v>
      </c>
      <c r="D40" s="279" t="s">
        <v>2392</v>
      </c>
      <c r="E40" s="275"/>
      <c r="F40" s="276"/>
      <c r="G40" s="277" t="s">
        <v>2393</v>
      </c>
    </row>
    <row r="41" spans="1:7" s="257" customFormat="1" ht="13.5" customHeight="1">
      <c r="A41" s="298" t="s">
        <v>2394</v>
      </c>
      <c r="B41" s="253" t="s">
        <v>2395</v>
      </c>
      <c r="C41" s="275">
        <f ca="1">ROUND(SUM(C42:C43),0)</f>
        <v>1828694</v>
      </c>
      <c r="D41" s="278">
        <f ca="1">C44</f>
        <v>1.4E-3</v>
      </c>
      <c r="E41" s="279" t="s">
        <v>2392</v>
      </c>
      <c r="F41" s="280"/>
      <c r="G41" s="277" t="str">
        <f>IF('数据-取费表'!B22&lt;=1,"单利计息","复利计息")</f>
        <v>复利计息</v>
      </c>
    </row>
    <row r="42" spans="1:7" ht="13.5" customHeight="1">
      <c r="A42" s="946" t="s">
        <v>791</v>
      </c>
      <c r="B42" s="258" t="s">
        <v>2396</v>
      </c>
      <c r="C42" s="281">
        <f ca="1">ROUND(IF('数据-取费表'!B22&lt;=1,C33*F22*'数据-取费表'!B20/2,C33*(POWER((1+F22),'数据-取费表'!B20/2)-1)),0)</f>
        <v>1792837</v>
      </c>
      <c r="D42" s="281"/>
      <c r="E42" s="281"/>
      <c r="F42" s="282"/>
      <c r="G42" s="3220" t="s">
        <v>2444</v>
      </c>
    </row>
    <row r="43" spans="1:7" ht="13.5" customHeight="1">
      <c r="A43" s="946" t="s">
        <v>792</v>
      </c>
      <c r="B43" s="258" t="s">
        <v>2398</v>
      </c>
      <c r="C43" s="281">
        <f ca="1">ROUND(IF('数据-取费表'!B22&lt;=1,C39*F22*'数据-取费表'!B20/2,C39*(POWER((1+F22),'数据-取费表'!B20/2)-1)),0)</f>
        <v>35857</v>
      </c>
      <c r="D43" s="281"/>
      <c r="E43" s="281"/>
      <c r="F43" s="282"/>
      <c r="G43" s="3221"/>
    </row>
    <row r="44" spans="1:7" ht="13.5" customHeight="1">
      <c r="A44" s="946" t="s">
        <v>793</v>
      </c>
      <c r="B44" s="258" t="s">
        <v>2399</v>
      </c>
      <c r="C44" s="281">
        <f ca="1">ROUND(IF('数据-取费表'!B22&lt;=1,C40*F22*'数据-取费表'!B20/2,C40*(POWER((1+F22),'数据-取费表'!B20/2)-1)),4)</f>
        <v>1.4E-3</v>
      </c>
      <c r="D44" s="281"/>
      <c r="E44" s="281"/>
      <c r="F44" s="282"/>
      <c r="G44" s="3222"/>
    </row>
    <row r="45" spans="1:7" s="257" customFormat="1" ht="13.5" customHeight="1">
      <c r="A45" s="298" t="s">
        <v>2400</v>
      </c>
      <c r="B45" s="287" t="s">
        <v>2366</v>
      </c>
      <c r="C45" s="288">
        <f ca="1">C46</f>
        <v>5774822</v>
      </c>
      <c r="D45" s="278">
        <f ca="1">C47</f>
        <v>4.4999999999999997E-3</v>
      </c>
      <c r="E45" s="279" t="s">
        <v>2392</v>
      </c>
      <c r="F45" s="289"/>
      <c r="G45" s="290" t="s">
        <v>2401</v>
      </c>
    </row>
    <row r="46" spans="1:7" s="257" customFormat="1" ht="13.5" customHeight="1">
      <c r="A46" s="946" t="s">
        <v>791</v>
      </c>
      <c r="B46" s="291" t="s">
        <v>2402</v>
      </c>
      <c r="C46" s="292">
        <f ca="1">ROUND((C33+C39)*F27,0)</f>
        <v>5774822</v>
      </c>
      <c r="D46" s="306"/>
      <c r="E46" s="279"/>
      <c r="F46" s="289"/>
      <c r="G46" s="290"/>
    </row>
    <row r="47" spans="1:7" s="257" customFormat="1" ht="13.5" customHeight="1">
      <c r="A47" s="946" t="s">
        <v>792</v>
      </c>
      <c r="B47" s="291" t="s">
        <v>2403</v>
      </c>
      <c r="C47" s="281">
        <f ca="1">ROUND(C40*F27,4)</f>
        <v>4.4999999999999997E-3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50617399</v>
      </c>
      <c r="D49" s="275"/>
      <c r="E49" s="275"/>
      <c r="F49" s="307"/>
      <c r="G49" s="277" t="s">
        <v>2407</v>
      </c>
    </row>
    <row r="50" spans="1:7" s="301" customFormat="1">
      <c r="A50" s="298" t="s">
        <v>2408</v>
      </c>
      <c r="B50" s="253" t="s">
        <v>2409</v>
      </c>
      <c r="C50" s="275"/>
      <c r="D50" s="275"/>
      <c r="E50" s="275"/>
      <c r="F50" s="307">
        <f>IF('数据-取费表'!B24=0,'数据-取费表'!N16,1)</f>
        <v>0.9</v>
      </c>
      <c r="G50" s="290"/>
    </row>
    <row r="51" spans="1:7" ht="16.5" customHeight="1">
      <c r="A51" s="298" t="s">
        <v>2411</v>
      </c>
      <c r="B51" s="253" t="s">
        <v>2446</v>
      </c>
      <c r="C51" s="275">
        <f ca="1">ROUND(C49*F50,0)</f>
        <v>45555659</v>
      </c>
      <c r="D51" s="275"/>
      <c r="E51" s="275"/>
      <c r="F51" s="307"/>
      <c r="G51" s="277" t="s">
        <v>2413</v>
      </c>
    </row>
    <row r="52" spans="1:7" s="251" customFormat="1" ht="16.5" thickBot="1">
      <c r="A52" s="308" t="s">
        <v>2414</v>
      </c>
      <c r="B52" s="309"/>
      <c r="C52" s="310">
        <f ca="1">C31+C51</f>
        <v>52047471</v>
      </c>
      <c r="D52" s="309"/>
      <c r="E52" s="309"/>
      <c r="F52" s="309"/>
      <c r="G52" s="311"/>
    </row>
    <row r="55" spans="1:7" ht="15">
      <c r="B55" s="313" t="s">
        <v>2415</v>
      </c>
      <c r="C55" s="314"/>
    </row>
    <row r="56" spans="1:7">
      <c r="B56" s="316" t="s">
        <v>1514</v>
      </c>
      <c r="C56" s="318">
        <f ca="1">1-C57</f>
        <v>0.125</v>
      </c>
    </row>
    <row r="57" spans="1:7">
      <c r="B57" s="316" t="s">
        <v>1515</v>
      </c>
      <c r="C57" s="317">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5" customWidth="1"/>
    <col min="2" max="2" width="25.625" style="947" customWidth="1"/>
    <col min="3" max="3" width="10.375" style="990" customWidth="1"/>
    <col min="4" max="4" width="9.875" style="947" customWidth="1"/>
    <col min="5" max="5" width="9.5" style="795"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2447</v>
      </c>
      <c r="B1" s="1576"/>
      <c r="C1" s="1577"/>
      <c r="D1" s="1575"/>
      <c r="E1" s="319"/>
      <c r="F1" s="319"/>
      <c r="G1" s="1576"/>
      <c r="H1" s="319"/>
      <c r="I1" s="319"/>
      <c r="J1" s="319"/>
      <c r="K1" s="319">
        <f>MATCH(C1,'数据-取费表'!A6:A16,0)+5</f>
        <v>9</v>
      </c>
    </row>
    <row r="2" spans="1:33" ht="18" customHeight="1">
      <c r="A2" s="244" t="s">
        <v>2315</v>
      </c>
      <c r="B2" s="247">
        <f ca="1">C32</f>
        <v>0</v>
      </c>
      <c r="C2" s="319" t="s">
        <v>2448</v>
      </c>
      <c r="D2" s="319"/>
      <c r="E2" s="319"/>
      <c r="F2" s="319"/>
      <c r="G2" s="319"/>
      <c r="H2" s="319"/>
      <c r="I2" s="319"/>
      <c r="J2" s="319"/>
      <c r="K2" s="319"/>
    </row>
    <row r="3" spans="1:33" ht="18" customHeight="1" thickBot="1">
      <c r="A3" s="246" t="s">
        <v>2317</v>
      </c>
      <c r="B3" s="247">
        <f ca="1">ROUND(B2*10000/IF(C1="",'数据-汇总表'!E3,INDIRECT("'数据-取费表'!K"&amp;$K$1)),0)</f>
        <v>0</v>
      </c>
      <c r="C3" s="319" t="s">
        <v>2449</v>
      </c>
      <c r="D3" s="319"/>
      <c r="E3" s="319"/>
      <c r="F3" s="319"/>
      <c r="G3" s="319"/>
      <c r="H3" s="319"/>
      <c r="I3" s="319"/>
      <c r="J3" s="319"/>
      <c r="K3" s="319"/>
    </row>
    <row r="4" spans="1:33" s="951" customFormat="1" ht="16.5" customHeight="1">
      <c r="A4" s="948" t="s">
        <v>2450</v>
      </c>
      <c r="B4" s="949"/>
      <c r="C4" s="991">
        <f>SUM(C8:K8)</f>
        <v>0</v>
      </c>
      <c r="D4" s="949"/>
      <c r="E4" s="949"/>
      <c r="F4" s="949"/>
      <c r="G4" s="949"/>
      <c r="H4" s="949"/>
      <c r="I4" s="949"/>
      <c r="J4" s="949"/>
      <c r="K4" s="950"/>
    </row>
    <row r="5" spans="1:33" s="955" customFormat="1" ht="24.75">
      <c r="A5" s="952" t="s">
        <v>2451</v>
      </c>
      <c r="B5" s="953" t="s">
        <v>2452</v>
      </c>
      <c r="C5" s="2547" t="s">
        <v>2453</v>
      </c>
      <c r="D5" s="2547" t="s">
        <v>2454</v>
      </c>
      <c r="E5" s="2547" t="s">
        <v>2455</v>
      </c>
      <c r="F5" s="2547"/>
      <c r="G5" s="2547"/>
      <c r="H5" s="2547"/>
      <c r="I5" s="2547"/>
      <c r="J5" s="2547"/>
      <c r="K5" s="2547"/>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2456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2457</v>
      </c>
      <c r="B7" s="140"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8" t="s">
        <v>2459</v>
      </c>
      <c r="B8" s="176" t="s">
        <v>2460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2461</v>
      </c>
      <c r="B9" s="949"/>
      <c r="C9" s="949"/>
      <c r="D9" s="949"/>
      <c r="E9" s="949"/>
      <c r="F9" s="949"/>
      <c r="G9" s="949"/>
      <c r="H9" s="949"/>
      <c r="I9" s="949"/>
      <c r="J9" s="949"/>
      <c r="K9" s="950"/>
    </row>
    <row r="10" spans="1:33" s="965" customFormat="1" ht="13.5" customHeight="1">
      <c r="A10" s="952" t="s">
        <v>2462</v>
      </c>
      <c r="B10" s="8" t="s">
        <v>2463</v>
      </c>
      <c r="C10" s="961" t="s">
        <v>2464</v>
      </c>
      <c r="D10" s="962" t="s">
        <v>2465</v>
      </c>
      <c r="E10" s="962" t="s">
        <v>2466</v>
      </c>
      <c r="F10" s="962" t="s">
        <v>2467</v>
      </c>
      <c r="G10" s="8"/>
      <c r="H10" s="963"/>
      <c r="I10" s="963"/>
      <c r="J10" s="963"/>
      <c r="K10" s="964"/>
    </row>
    <row r="11" spans="1:33" s="970" customFormat="1" ht="13.5" customHeight="1">
      <c r="A11" s="966" t="s">
        <v>1334</v>
      </c>
      <c r="B11" s="967" t="s">
        <v>2468</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1335</v>
      </c>
      <c r="B12" s="967" t="s">
        <v>2469</v>
      </c>
      <c r="C12" s="24">
        <f ca="1">ROUND(C11*F12,0)</f>
        <v>0</v>
      </c>
      <c r="D12" s="968"/>
      <c r="E12" s="374"/>
      <c r="F12" s="971">
        <f>'数据-取费表'!B33</f>
        <v>0.03</v>
      </c>
      <c r="G12" s="8" t="s">
        <v>2470</v>
      </c>
      <c r="H12" s="963"/>
      <c r="I12" s="963"/>
      <c r="J12" s="963"/>
      <c r="K12" s="964"/>
    </row>
    <row r="13" spans="1:33" s="970" customFormat="1" ht="13.5" customHeight="1">
      <c r="A13" s="966" t="s">
        <v>1336</v>
      </c>
      <c r="B13" s="967" t="s">
        <v>2471</v>
      </c>
      <c r="C13" s="24">
        <f ca="1">ROUND(IF(C1="",SUMIF('数据-取费表'!C:C,"住宅",'数据-取费表'!P:P)*F13,IF(INDIRECT("'数据-取费表'!c"&amp;$K$1)="住宅",INDIRECT("'数据-取费表'!P"&amp;$K$1)*F13,0)),0)</f>
        <v>0</v>
      </c>
      <c r="D13" s="1028"/>
      <c r="E13" s="374"/>
      <c r="F13" s="971">
        <f>'数据-取费表'!B34</f>
        <v>0</v>
      </c>
      <c r="G13" s="8" t="s">
        <v>2472</v>
      </c>
      <c r="H13" s="963"/>
      <c r="I13" s="963"/>
      <c r="J13" s="963"/>
      <c r="K13" s="964"/>
    </row>
    <row r="14" spans="1:33" s="972" customFormat="1" ht="13.5" customHeight="1">
      <c r="A14" s="966" t="s">
        <v>1337</v>
      </c>
      <c r="B14" s="967" t="s">
        <v>2473</v>
      </c>
      <c r="C14" s="24">
        <f ca="1">ROUND(D14*E14*F11/10000,0)</f>
        <v>0</v>
      </c>
      <c r="D14" s="1028">
        <f ca="1">IF(C1="",'数据-汇总表'!E3,INDIRECT("'数据-取费表'!K"&amp;$K$1)+INDIRECT("'数据-取费表'!S"&amp;$K$1))</f>
        <v>11628.210000000001</v>
      </c>
      <c r="E14" s="24">
        <f>'数据-取费表'!B35</f>
        <v>200</v>
      </c>
      <c r="F14" s="971"/>
      <c r="G14" s="8" t="s">
        <v>2474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2475</v>
      </c>
      <c r="C15" s="978">
        <f ca="1">ROUND(C11*F15,0)</f>
        <v>0</v>
      </c>
      <c r="D15" s="973"/>
      <c r="E15" s="978"/>
      <c r="F15" s="979">
        <f>'数据-取费表'!B36</f>
        <v>1.4999999999999999E-2</v>
      </c>
      <c r="G15" s="140" t="s">
        <v>2476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2477</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2478</v>
      </c>
      <c r="C17" s="24">
        <f ca="1">ROUND(D17*E17/10000,0)</f>
        <v>0</v>
      </c>
      <c r="D17" s="1028">
        <f ca="1">D14</f>
        <v>11628.210000000001</v>
      </c>
      <c r="E17" s="24">
        <f>'数据-取费表'!B32</f>
        <v>0</v>
      </c>
      <c r="F17" s="973"/>
      <c r="G17" s="140" t="s">
        <v>2479</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2480</v>
      </c>
      <c r="C18" s="24">
        <f ca="1">C19+C20-IF(C1="",'数据-取费表'!B29,IF(G18="已全部缴纳",C19+C20,H18))</f>
        <v>0</v>
      </c>
      <c r="D18" s="1028"/>
      <c r="E18" s="24"/>
      <c r="F18" s="971"/>
      <c r="G18" s="2549"/>
      <c r="H18" s="1572"/>
      <c r="I18" s="2550" t="s">
        <v>2481</v>
      </c>
      <c r="J18" s="974"/>
      <c r="K18" s="975"/>
    </row>
    <row r="19" spans="1:33" s="970" customFormat="1" ht="13.5" customHeight="1">
      <c r="A19" s="966" t="s">
        <v>805</v>
      </c>
      <c r="B19" s="967" t="s">
        <v>2482</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2483</v>
      </c>
      <c r="C20" s="24">
        <f ca="1">ROUND(D20*E20/10000,0)</f>
        <v>233</v>
      </c>
      <c r="D20" s="1028">
        <f ca="1">IF(C1="",'数据-汇总表'!E6,IF(INDIRECT("'数据-取费表'!c"&amp;$K$1)="住宅",INDIRECT("'数据-取费表'!s"&amp;$K$1),INDIRECT("'数据-取费表'!k"&amp;$K$1)+INDIRECT("'数据-取费表'!s"&amp;$K$1)))</f>
        <v>11628.210000000001</v>
      </c>
      <c r="E20" s="24">
        <f>'数据-取费表'!B28</f>
        <v>200</v>
      </c>
      <c r="F20" s="971"/>
      <c r="G20" s="15"/>
      <c r="H20" s="976"/>
      <c r="I20" s="976"/>
      <c r="J20" s="976"/>
      <c r="K20" s="977"/>
    </row>
    <row r="21" spans="1:33" s="970" customFormat="1" ht="13.5" customHeight="1">
      <c r="A21" s="956" t="s">
        <v>802</v>
      </c>
      <c r="B21" s="980" t="s">
        <v>2484</v>
      </c>
      <c r="C21" s="981">
        <f ca="1">C16+C17+C18</f>
        <v>0</v>
      </c>
      <c r="D21" s="982"/>
      <c r="E21" s="324"/>
      <c r="F21" s="324"/>
      <c r="G21" s="140" t="s">
        <v>2485</v>
      </c>
      <c r="H21" s="974"/>
      <c r="I21" s="974"/>
      <c r="J21" s="974"/>
      <c r="K21" s="975"/>
    </row>
    <row r="22" spans="1:33" s="970" customFormat="1" ht="13.5" customHeight="1">
      <c r="A22" s="956" t="s">
        <v>2457</v>
      </c>
      <c r="B22" s="980" t="s">
        <v>2486</v>
      </c>
      <c r="C22" s="981">
        <f ca="1">ROUND(C21*F22,0)</f>
        <v>0</v>
      </c>
      <c r="D22" s="324"/>
      <c r="E22" s="324"/>
      <c r="F22" s="983">
        <f>'数据-取费表'!B37</f>
        <v>0.02</v>
      </c>
      <c r="G22" s="8" t="s">
        <v>2487</v>
      </c>
      <c r="H22" s="963"/>
      <c r="I22" s="963"/>
      <c r="J22" s="963"/>
      <c r="K22" s="964"/>
    </row>
    <row r="23" spans="1:33" s="970" customFormat="1" ht="13.5" customHeight="1">
      <c r="A23" s="956" t="s">
        <v>2459</v>
      </c>
      <c r="B23" s="980" t="s">
        <v>2488</v>
      </c>
      <c r="C23" s="981">
        <f ca="1">ROUND(C4*F23*F11,0)</f>
        <v>0</v>
      </c>
      <c r="D23" s="324"/>
      <c r="E23" s="324"/>
      <c r="F23" s="983">
        <f>'数据-取费表'!B38</f>
        <v>0.03</v>
      </c>
      <c r="G23" s="8" t="s">
        <v>2489</v>
      </c>
      <c r="H23" s="963"/>
      <c r="I23" s="963"/>
      <c r="J23" s="963"/>
      <c r="K23" s="964"/>
    </row>
    <row r="24" spans="1:33" s="970" customFormat="1" ht="13.5" customHeight="1">
      <c r="A24" s="956" t="s">
        <v>2490</v>
      </c>
      <c r="B24" s="980" t="s">
        <v>2491</v>
      </c>
      <c r="C24" s="323">
        <f>ROUND(F24/(1+'数据-取费表'!C42),4)</f>
        <v>2.9000000000000001E-2</v>
      </c>
      <c r="D24" s="324" t="s">
        <v>15</v>
      </c>
      <c r="E24" s="324"/>
      <c r="F24" s="983">
        <f>'数据-取费表'!B48+'数据-取费表'!B49</f>
        <v>3.0499999999999999E-2</v>
      </c>
      <c r="G24" s="8" t="s">
        <v>2492</v>
      </c>
      <c r="H24" s="985"/>
      <c r="I24" s="985"/>
      <c r="J24" s="985"/>
      <c r="K24" s="986"/>
    </row>
    <row r="25" spans="1:33" s="970" customFormat="1" ht="13.5" customHeight="1">
      <c r="A25" s="956" t="s">
        <v>2493</v>
      </c>
      <c r="B25" s="982" t="s">
        <v>2494</v>
      </c>
      <c r="C25" s="1351">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2495</v>
      </c>
      <c r="C26" s="1352">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2496</v>
      </c>
      <c r="C27" s="1353">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4"/>
      <c r="I27" s="974"/>
      <c r="J27" s="974"/>
      <c r="K27" s="975"/>
    </row>
    <row r="28" spans="1:33" s="332" customFormat="1" ht="13.5" customHeight="1">
      <c r="A28" s="956" t="s">
        <v>2497</v>
      </c>
      <c r="B28" s="2552" t="s">
        <v>2498</v>
      </c>
      <c r="C28" s="330">
        <f ca="1">C30</f>
        <v>0</v>
      </c>
      <c r="D28" s="323">
        <f ca="1">C29</f>
        <v>0</v>
      </c>
      <c r="E28" s="325" t="s">
        <v>15</v>
      </c>
      <c r="F28" s="331">
        <f ca="1">IF(C1="",'数据-取费表'!Q16,INDIRECT("'数据-取费表'!q"&amp;$K$1))</f>
        <v>0.15</v>
      </c>
      <c r="G28" s="984"/>
      <c r="H28" s="985"/>
      <c r="I28" s="985"/>
      <c r="J28" s="985"/>
      <c r="K28" s="986"/>
    </row>
    <row r="29" spans="1:33" s="334" customFormat="1" ht="13.5" customHeight="1">
      <c r="A29" s="966" t="s">
        <v>803</v>
      </c>
      <c r="B29" s="989" t="s">
        <v>2499</v>
      </c>
      <c r="C29" s="327">
        <f ca="1">ROUND((1+C24)*F28*'数据-取费表'!B24/'数据-取费表'!B20,4)</f>
        <v>0</v>
      </c>
      <c r="D29" s="327"/>
      <c r="E29" s="328"/>
      <c r="F29" s="333"/>
      <c r="G29" s="140" t="s">
        <v>2500</v>
      </c>
      <c r="H29" s="974"/>
      <c r="I29" s="974"/>
      <c r="J29" s="974"/>
      <c r="K29" s="975"/>
    </row>
    <row r="30" spans="1:33" s="334" customFormat="1" ht="13.5" customHeight="1">
      <c r="A30" s="966" t="s">
        <v>804</v>
      </c>
      <c r="B30" s="989" t="s">
        <v>2501</v>
      </c>
      <c r="C30" s="335">
        <f ca="1">ROUND((C21+C22+C23)*F28,0)</f>
        <v>0</v>
      </c>
      <c r="D30" s="327"/>
      <c r="E30" s="328"/>
      <c r="F30" s="333"/>
      <c r="G30" s="140"/>
      <c r="H30" s="974"/>
      <c r="I30" s="974"/>
      <c r="J30" s="974"/>
      <c r="K30" s="975"/>
    </row>
    <row r="31" spans="1:33" s="970" customFormat="1" ht="13.5" customHeight="1" thickBot="1">
      <c r="A31" s="2553" t="s">
        <v>2502</v>
      </c>
      <c r="B31" s="1000" t="s">
        <v>2503</v>
      </c>
      <c r="C31" s="1001">
        <f>ROUND(C4*F31/(1+'数据-取费表'!C42),0)</f>
        <v>0</v>
      </c>
      <c r="D31" s="1002"/>
      <c r="E31" s="1003"/>
      <c r="F31" s="1004">
        <f>'数据-取费表'!B41</f>
        <v>5.6000000000000001E-2</v>
      </c>
      <c r="G31" s="1005" t="s">
        <v>2504</v>
      </c>
      <c r="H31" s="1006"/>
      <c r="I31" s="1006"/>
      <c r="J31" s="1006"/>
      <c r="K31" s="1007"/>
    </row>
    <row r="32" spans="1:33" s="965" customFormat="1" ht="13.5" customHeight="1" thickBot="1">
      <c r="A32" s="995" t="s">
        <v>2505</v>
      </c>
      <c r="B32" s="996"/>
      <c r="C32" s="997">
        <f ca="1">ROUND((C4-C21-C22-C23-C25-C28-C31)/(1+C24+D25+D28),0)</f>
        <v>0</v>
      </c>
      <c r="D32" s="996"/>
      <c r="E32" s="996"/>
      <c r="F32" s="996"/>
      <c r="G32" s="998" t="s">
        <v>2506</v>
      </c>
      <c r="H32" s="996"/>
      <c r="I32" s="996"/>
      <c r="J32" s="996"/>
      <c r="K32" s="999"/>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zoomScale="90" zoomScaleNormal="90" zoomScalePageLayoutView="90" workbookViewId="0">
      <selection activeCell="I52" sqref="I52"/>
    </sheetView>
  </sheetViews>
  <sheetFormatPr defaultColWidth="8.875" defaultRowHeight="14.25"/>
  <cols>
    <col min="1" max="1" width="8.87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662" t="s">
        <v>2673</v>
      </c>
      <c r="C1" s="1615" t="s">
        <v>2518</v>
      </c>
      <c r="D1" s="1616" t="s">
        <v>27</v>
      </c>
      <c r="E1" s="1625"/>
      <c r="F1" s="2577" t="s">
        <v>3055</v>
      </c>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f>IF(C2="——",ROUND(C50*D3/10000,0),ROUND(C50*D3/10000,0)-D2)</f>
        <v>35266</v>
      </c>
      <c r="C2" s="2579" t="s">
        <v>70</v>
      </c>
      <c r="D2" s="1360" t="e">
        <f ca="1">SUMIF(INDIRECT("'"&amp;F2&amp;"'"&amp;"!A:A"),"承租人权益价值",INDIRECT("'"&amp;F2&amp;"'"&amp;"!c:c"))</f>
        <v>#REF!</v>
      </c>
      <c r="E2" s="2580" t="s">
        <v>2316</v>
      </c>
      <c r="F2" s="2581"/>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f>IF(C2="——",C50,ROUND(B2*10000/D3,0))</f>
        <v>41332</v>
      </c>
      <c r="C3" s="399" t="s">
        <v>2632</v>
      </c>
      <c r="D3" s="398">
        <f>IF(D1="",'数据-汇总表'!E3,SUMIF('数据-汇总表'!$C19:$C33,D1,'数据-汇总表'!$E19:$E33))</f>
        <v>8532.39</v>
      </c>
      <c r="E3" s="2656"/>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400" t="s">
        <v>2633</v>
      </c>
      <c r="B4" s="401"/>
      <c r="C4" s="3246" t="s">
        <v>2634</v>
      </c>
      <c r="D4" s="3247"/>
      <c r="E4" s="3248" t="s">
        <v>2635</v>
      </c>
      <c r="F4" s="3249"/>
      <c r="G4" s="3246" t="s">
        <v>2636</v>
      </c>
      <c r="H4" s="3247"/>
      <c r="I4" s="3246" t="s">
        <v>2637</v>
      </c>
      <c r="J4" s="3247"/>
      <c r="K4" s="609" t="s">
        <v>2638</v>
      </c>
      <c r="L4" s="1125"/>
      <c r="M4" s="1126"/>
      <c r="N4" s="1126"/>
      <c r="O4" s="1126"/>
      <c r="P4" s="3250" t="s">
        <v>2639</v>
      </c>
      <c r="Q4" s="3251"/>
      <c r="R4" s="3228" t="s">
        <v>2635</v>
      </c>
      <c r="S4" s="3229"/>
      <c r="T4" s="3228" t="s">
        <v>2636</v>
      </c>
      <c r="U4" s="3229"/>
      <c r="V4" s="3258" t="s">
        <v>2637</v>
      </c>
      <c r="W4" s="3258"/>
      <c r="X4" s="2663"/>
      <c r="Y4" s="3228" t="s">
        <v>2639</v>
      </c>
      <c r="Z4" s="3229"/>
      <c r="AA4" s="3223" t="s">
        <v>2635</v>
      </c>
      <c r="AB4" s="3223" t="s">
        <v>2636</v>
      </c>
      <c r="AC4" s="3243" t="s">
        <v>2637</v>
      </c>
    </row>
    <row r="5" spans="1:29" ht="15">
      <c r="A5" s="403"/>
      <c r="B5" s="404"/>
      <c r="C5" s="3234" t="s">
        <v>2530</v>
      </c>
      <c r="D5" s="3235"/>
      <c r="E5" s="3232" t="s">
        <v>3101</v>
      </c>
      <c r="F5" s="3233"/>
      <c r="G5" s="3238" t="s">
        <v>3104</v>
      </c>
      <c r="H5" s="3235"/>
      <c r="I5" s="3238" t="s">
        <v>3678</v>
      </c>
      <c r="J5" s="3235"/>
      <c r="K5" s="609"/>
      <c r="L5" s="1125"/>
      <c r="M5" s="1126"/>
      <c r="N5" s="1126"/>
      <c r="O5" s="1126"/>
      <c r="P5" s="3252"/>
      <c r="Q5" s="3253"/>
      <c r="R5" s="3230"/>
      <c r="S5" s="3231"/>
      <c r="T5" s="3230"/>
      <c r="U5" s="3231"/>
      <c r="V5" s="3259"/>
      <c r="W5" s="3259"/>
      <c r="X5" s="1808"/>
      <c r="Y5" s="3230"/>
      <c r="Z5" s="3231"/>
      <c r="AA5" s="3224"/>
      <c r="AB5" s="3224"/>
      <c r="AC5" s="3244"/>
    </row>
    <row r="6" spans="1:29" ht="15.75" thickBot="1">
      <c r="A6" s="405"/>
      <c r="B6" s="406"/>
      <c r="C6" s="3236" t="s">
        <v>2534</v>
      </c>
      <c r="D6" s="3237"/>
      <c r="E6" s="3239" t="s">
        <v>3113</v>
      </c>
      <c r="F6" s="3240"/>
      <c r="G6" s="3241" t="s">
        <v>3111</v>
      </c>
      <c r="H6" s="3237"/>
      <c r="I6" s="3241" t="s">
        <v>3112</v>
      </c>
      <c r="J6" s="3237"/>
      <c r="K6" s="609" t="s">
        <v>2535</v>
      </c>
      <c r="L6" s="1125"/>
      <c r="M6" s="1126"/>
      <c r="N6" s="1126"/>
      <c r="O6" s="1126"/>
      <c r="P6" s="3254"/>
      <c r="Q6" s="3255"/>
      <c r="R6" s="3230"/>
      <c r="S6" s="3231"/>
      <c r="T6" s="3256"/>
      <c r="U6" s="3257"/>
      <c r="V6" s="3259"/>
      <c r="W6" s="3259"/>
      <c r="X6" s="1808"/>
      <c r="Y6" s="3256"/>
      <c r="Z6" s="3257"/>
      <c r="AA6" s="3225"/>
      <c r="AB6" s="3225"/>
      <c r="AC6" s="3245"/>
    </row>
    <row r="7" spans="1:29" s="117" customFormat="1" ht="15.75" thickBot="1">
      <c r="A7" s="407" t="s">
        <v>2536</v>
      </c>
      <c r="B7" s="408"/>
      <c r="C7" s="409">
        <f>'数据-取费表'!B2</f>
        <v>43185</v>
      </c>
      <c r="D7" s="410">
        <v>100</v>
      </c>
      <c r="E7" s="411">
        <v>43160</v>
      </c>
      <c r="F7" s="412">
        <f>SUMIF(59:59,YEAR(E7)&amp;"-"&amp;MONTH(E7),60:60)</f>
        <v>100</v>
      </c>
      <c r="G7" s="411">
        <f>E7</f>
        <v>43160</v>
      </c>
      <c r="H7" s="410">
        <f>SUMIF(59:59,YEAR(G7)&amp;"-"&amp;MONTH(G7),60:60)</f>
        <v>100</v>
      </c>
      <c r="I7" s="411">
        <f>E7</f>
        <v>43160</v>
      </c>
      <c r="J7" s="410">
        <f>SUMIF(59:59,YEAR(I7)&amp;"-"&amp;MONTH(I7),60:60)</f>
        <v>100</v>
      </c>
      <c r="K7" s="610"/>
      <c r="L7" s="1127"/>
      <c r="M7" s="1128"/>
      <c r="N7" s="1128"/>
      <c r="O7" s="1128"/>
      <c r="P7" s="3260" t="s">
        <v>2537</v>
      </c>
      <c r="Q7" s="3261"/>
      <c r="R7" s="767" t="s">
        <v>17</v>
      </c>
      <c r="S7" s="768">
        <f t="shared" ref="S7:S15" si="0">F7</f>
        <v>100</v>
      </c>
      <c r="T7" s="767" t="s">
        <v>17</v>
      </c>
      <c r="U7" s="768">
        <f t="shared" ref="U7:U15" si="1">H7</f>
        <v>100</v>
      </c>
      <c r="V7" s="767" t="s">
        <v>17</v>
      </c>
      <c r="W7" s="768">
        <f t="shared" ref="W7:W15" si="2">J7</f>
        <v>100</v>
      </c>
      <c r="X7" s="769"/>
      <c r="Y7" s="3226" t="s">
        <v>2537</v>
      </c>
      <c r="Z7" s="3227"/>
      <c r="AA7" s="770">
        <f>D7/F7</f>
        <v>1</v>
      </c>
      <c r="AB7" s="770">
        <f>D7/H7</f>
        <v>1</v>
      </c>
      <c r="AC7" s="2664">
        <f>D7/J7</f>
        <v>1</v>
      </c>
    </row>
    <row r="8" spans="1:29" s="117" customFormat="1" ht="15.75" thickBot="1">
      <c r="A8" s="407" t="s">
        <v>2538</v>
      </c>
      <c r="B8" s="408"/>
      <c r="C8" s="413" t="s">
        <v>2640</v>
      </c>
      <c r="D8" s="410">
        <v>100</v>
      </c>
      <c r="E8" s="413" t="s">
        <v>3093</v>
      </c>
      <c r="F8" s="412">
        <f>SUMIF(62:62,E8,63:63)-SUMIF(62:62,C8,63:63)+100</f>
        <v>100</v>
      </c>
      <c r="G8" s="413" t="s">
        <v>3093</v>
      </c>
      <c r="H8" s="410">
        <f>SUMIF(62:62,G8,63:63)-SUMIF(62:62,C8,63:63)+100</f>
        <v>100</v>
      </c>
      <c r="I8" s="413" t="s">
        <v>3093</v>
      </c>
      <c r="J8" s="410">
        <f>SUMIF(62:62,I8,63:63)-SUMIF(62:62,C8,63:63)+100</f>
        <v>100</v>
      </c>
      <c r="K8" s="610"/>
      <c r="L8" s="1127"/>
      <c r="M8" s="1128"/>
      <c r="N8" s="1128"/>
      <c r="O8" s="1128"/>
      <c r="P8" s="3260" t="s">
        <v>2540</v>
      </c>
      <c r="Q8" s="3227"/>
      <c r="R8" s="767" t="s">
        <v>17</v>
      </c>
      <c r="S8" s="768">
        <f t="shared" si="0"/>
        <v>100</v>
      </c>
      <c r="T8" s="767" t="s">
        <v>17</v>
      </c>
      <c r="U8" s="768">
        <f t="shared" si="1"/>
        <v>100</v>
      </c>
      <c r="V8" s="767" t="s">
        <v>17</v>
      </c>
      <c r="W8" s="768">
        <f t="shared" si="2"/>
        <v>100</v>
      </c>
      <c r="X8" s="769"/>
      <c r="Y8" s="3226" t="s">
        <v>2540</v>
      </c>
      <c r="Z8" s="3227"/>
      <c r="AA8" s="770">
        <f t="shared" ref="AA8:AA47" si="3">D8/F8</f>
        <v>1</v>
      </c>
      <c r="AB8" s="770">
        <f t="shared" ref="AB8:AB47" si="4">D8/H8</f>
        <v>1</v>
      </c>
      <c r="AC8" s="2664">
        <f t="shared" ref="AC8:AC47" si="5">D8/J8</f>
        <v>1</v>
      </c>
    </row>
    <row r="9" spans="1:29" s="117" customFormat="1">
      <c r="A9" s="414" t="s">
        <v>2541</v>
      </c>
      <c r="B9" s="71" t="s">
        <v>2542</v>
      </c>
      <c r="C9" s="2949" t="s">
        <v>3092</v>
      </c>
      <c r="D9" s="135">
        <v>100</v>
      </c>
      <c r="E9" s="418" t="s">
        <v>27</v>
      </c>
      <c r="F9" s="135">
        <f>SUMIF(64:64,E9,65:65)-SUMIF(64:64,C9,65:65)+100</f>
        <v>100</v>
      </c>
      <c r="G9" s="418" t="s">
        <v>27</v>
      </c>
      <c r="H9" s="135">
        <f>SUMIF(64:64,G9,65:65)-SUMIF(64:64,C9,65:65)+100</f>
        <v>100</v>
      </c>
      <c r="I9" s="418" t="s">
        <v>27</v>
      </c>
      <c r="J9" s="135">
        <f>SUMIF(64:64,I9,65:65)-SUMIF(64:64,C9,65:65)+100</f>
        <v>100</v>
      </c>
      <c r="K9" s="610"/>
      <c r="L9" s="1127"/>
      <c r="M9" s="1128"/>
      <c r="N9" s="1128"/>
      <c r="O9" s="1128"/>
      <c r="P9" s="3242"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2664">
        <f t="shared" si="5"/>
        <v>1</v>
      </c>
    </row>
    <row r="10" spans="1:29" s="426" customFormat="1" ht="27">
      <c r="A10" s="420"/>
      <c r="B10" s="421" t="s">
        <v>2545</v>
      </c>
      <c r="C10" s="422" t="s">
        <v>3091</v>
      </c>
      <c r="D10" s="136">
        <v>100</v>
      </c>
      <c r="E10" s="422" t="s">
        <v>3098</v>
      </c>
      <c r="F10" s="136">
        <f>SUMIF(66:66,E10,67:67)-SUMIF(66:66,C10,67:67)+100</f>
        <v>99</v>
      </c>
      <c r="G10" s="422" t="s">
        <v>3098</v>
      </c>
      <c r="H10" s="136">
        <f>SUMIF(66:66,G10,67:67)-SUMIF(66:66,C10,67:67)+100</f>
        <v>99</v>
      </c>
      <c r="I10" s="422" t="s">
        <v>3098</v>
      </c>
      <c r="J10" s="136">
        <f>SUMIF(66:66,I10,67:67)-SUMIF(66:66,C10,67:67)+100</f>
        <v>99</v>
      </c>
      <c r="K10" s="611">
        <v>1</v>
      </c>
      <c r="L10" s="1130"/>
      <c r="M10" s="1131"/>
      <c r="N10" s="1131"/>
      <c r="O10" s="1131"/>
      <c r="P10" s="3242"/>
      <c r="Q10" s="1790" t="str">
        <f t="shared" si="6"/>
        <v>土地使用年限（年）</v>
      </c>
      <c r="R10" s="767" t="s">
        <v>17</v>
      </c>
      <c r="S10" s="768">
        <f t="shared" si="0"/>
        <v>99</v>
      </c>
      <c r="T10" s="767" t="s">
        <v>17</v>
      </c>
      <c r="U10" s="768">
        <f t="shared" si="1"/>
        <v>99</v>
      </c>
      <c r="V10" s="767" t="s">
        <v>17</v>
      </c>
      <c r="W10" s="768">
        <f t="shared" si="2"/>
        <v>99</v>
      </c>
      <c r="X10" s="769"/>
      <c r="Y10" s="3100"/>
      <c r="Z10" s="55" t="str">
        <f t="shared" si="7"/>
        <v>土地使用年限（年）</v>
      </c>
      <c r="AA10" s="770">
        <f t="shared" si="3"/>
        <v>1.0101010101010102</v>
      </c>
      <c r="AB10" s="770">
        <f t="shared" si="4"/>
        <v>1.0101010101010102</v>
      </c>
      <c r="AC10" s="2664">
        <f t="shared" si="5"/>
        <v>1.0101010101010102</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c r="L11" s="1133"/>
      <c r="M11" s="1126"/>
      <c r="N11" s="1126"/>
      <c r="O11" s="1126"/>
      <c r="P11" s="3242"/>
      <c r="Q11" s="1790" t="str">
        <f t="shared" si="6"/>
        <v>容积率</v>
      </c>
      <c r="R11" s="767" t="s">
        <v>17</v>
      </c>
      <c r="S11" s="768">
        <f t="shared" si="0"/>
        <v>100</v>
      </c>
      <c r="T11" s="767" t="s">
        <v>17</v>
      </c>
      <c r="U11" s="768">
        <f t="shared" si="1"/>
        <v>100</v>
      </c>
      <c r="V11" s="767" t="s">
        <v>17</v>
      </c>
      <c r="W11" s="768">
        <f t="shared" si="2"/>
        <v>100</v>
      </c>
      <c r="X11" s="769"/>
      <c r="Y11" s="3100"/>
      <c r="Z11" s="55" t="str">
        <f t="shared" si="7"/>
        <v>容积率</v>
      </c>
      <c r="AA11" s="770">
        <f t="shared" si="3"/>
        <v>1</v>
      </c>
      <c r="AB11" s="770">
        <f t="shared" si="4"/>
        <v>1</v>
      </c>
      <c r="AC11" s="2664">
        <f t="shared" si="5"/>
        <v>1</v>
      </c>
    </row>
    <row r="12" spans="1:29" s="117" customFormat="1" ht="15.75" thickBot="1">
      <c r="A12" s="430"/>
      <c r="B12" s="2952" t="s">
        <v>3116</v>
      </c>
      <c r="C12" s="431">
        <v>2012</v>
      </c>
      <c r="D12" s="432">
        <v>100</v>
      </c>
      <c r="E12" s="3016" t="s">
        <v>3679</v>
      </c>
      <c r="F12" s="136">
        <f>SUMIF(71:71,E12,72:72)-SUMIF(71:71,C12,72:72)+100</f>
        <v>100</v>
      </c>
      <c r="G12" s="2665">
        <v>2009</v>
      </c>
      <c r="H12" s="136">
        <f>SUMIF(71:71,G12,72:72)-SUMIF(71:71,C12,72:72)+100</f>
        <v>100</v>
      </c>
      <c r="I12" s="431">
        <v>2009</v>
      </c>
      <c r="J12" s="136">
        <f>SUMIF(71:71,I12,72:72)-SUMIF(71:71,C12,72:72)+100</f>
        <v>100</v>
      </c>
      <c r="K12" s="612"/>
      <c r="L12" s="1127"/>
      <c r="M12" s="1128"/>
      <c r="N12" s="1128"/>
      <c r="O12" s="1128"/>
      <c r="P12" s="3242"/>
      <c r="Q12" s="1790" t="str">
        <f t="shared" si="6"/>
        <v>建成年代</v>
      </c>
      <c r="R12" s="767" t="s">
        <v>17</v>
      </c>
      <c r="S12" s="768">
        <f t="shared" si="0"/>
        <v>100</v>
      </c>
      <c r="T12" s="767" t="s">
        <v>17</v>
      </c>
      <c r="U12" s="768">
        <f t="shared" si="1"/>
        <v>100</v>
      </c>
      <c r="V12" s="767" t="s">
        <v>17</v>
      </c>
      <c r="W12" s="768">
        <f t="shared" si="2"/>
        <v>100</v>
      </c>
      <c r="X12" s="769"/>
      <c r="Y12" s="3100"/>
      <c r="Z12" s="55" t="str">
        <f t="shared" si="7"/>
        <v>建成年代</v>
      </c>
      <c r="AA12" s="770">
        <f>D12/F12</f>
        <v>1</v>
      </c>
      <c r="AB12" s="770">
        <f>D12/H12</f>
        <v>1</v>
      </c>
      <c r="AC12" s="2664">
        <f>D12/J12</f>
        <v>1</v>
      </c>
    </row>
    <row r="13" spans="1:29" ht="15" hidden="1">
      <c r="A13" s="427"/>
      <c r="B13" s="2593"/>
      <c r="C13" s="433"/>
      <c r="D13" s="434">
        <v>100</v>
      </c>
      <c r="E13" s="431"/>
      <c r="F13" s="136">
        <f>SUMIF(73:73,E13,74:74)-SUMIF(73:73,C13,74:74)+100</f>
        <v>100</v>
      </c>
      <c r="G13" s="2665"/>
      <c r="H13" s="434">
        <f>SUMIF(73:73,G13,74:74)-SUMIF(73:73,C13,74:74)+100</f>
        <v>100</v>
      </c>
      <c r="I13" s="431"/>
      <c r="J13" s="434">
        <f>SUMIF(73:73,I13,74:74)-SUMIF(73:73,C13,74:74)+100</f>
        <v>100</v>
      </c>
      <c r="K13" s="612"/>
      <c r="L13" s="1135"/>
      <c r="M13" s="1126"/>
      <c r="N13" s="1126"/>
      <c r="O13" s="1126"/>
      <c r="P13" s="3242"/>
      <c r="Q13" s="1790">
        <f t="shared" si="6"/>
        <v>0</v>
      </c>
      <c r="R13" s="767" t="s">
        <v>17</v>
      </c>
      <c r="S13" s="768">
        <f t="shared" si="0"/>
        <v>100</v>
      </c>
      <c r="T13" s="767" t="s">
        <v>17</v>
      </c>
      <c r="U13" s="768">
        <f t="shared" si="1"/>
        <v>100</v>
      </c>
      <c r="V13" s="767" t="s">
        <v>17</v>
      </c>
      <c r="W13" s="768">
        <f t="shared" si="2"/>
        <v>100</v>
      </c>
      <c r="X13" s="769"/>
      <c r="Y13" s="3100"/>
      <c r="Z13" s="55">
        <f t="shared" si="7"/>
        <v>0</v>
      </c>
      <c r="AA13" s="770">
        <f t="shared" si="3"/>
        <v>1</v>
      </c>
      <c r="AB13" s="770">
        <f t="shared" si="4"/>
        <v>1</v>
      </c>
      <c r="AC13" s="2664">
        <f t="shared" si="5"/>
        <v>1</v>
      </c>
    </row>
    <row r="14" spans="1:29" ht="15.75" hidden="1" thickBot="1">
      <c r="A14" s="435"/>
      <c r="B14" s="2595"/>
      <c r="C14" s="436"/>
      <c r="D14" s="437">
        <v>100</v>
      </c>
      <c r="E14" s="625"/>
      <c r="F14" s="437">
        <f>SUMIF(75:75,E14,76:76)-SUMIF(75:75,C14,76:76)+100</f>
        <v>100</v>
      </c>
      <c r="G14" s="2665"/>
      <c r="H14" s="437">
        <f>SUMIF(75:75,G14,76:76)-SUMIF(75:75,C14,76:76)+100</f>
        <v>100</v>
      </c>
      <c r="I14" s="431"/>
      <c r="J14" s="437">
        <f>SUMIF(75:75,I14,76:76)-SUMIF(75:75,C14,76:76)+100</f>
        <v>100</v>
      </c>
      <c r="K14" s="612"/>
      <c r="L14" s="1135"/>
      <c r="M14" s="1126"/>
      <c r="N14" s="1126"/>
      <c r="O14" s="1126"/>
      <c r="P14" s="3242"/>
      <c r="Q14" s="1790">
        <f t="shared" si="6"/>
        <v>0</v>
      </c>
      <c r="R14" s="767" t="s">
        <v>17</v>
      </c>
      <c r="S14" s="768">
        <f t="shared" si="0"/>
        <v>100</v>
      </c>
      <c r="T14" s="767" t="s">
        <v>17</v>
      </c>
      <c r="U14" s="768">
        <f t="shared" si="1"/>
        <v>100</v>
      </c>
      <c r="V14" s="767" t="s">
        <v>17</v>
      </c>
      <c r="W14" s="768">
        <f t="shared" si="2"/>
        <v>100</v>
      </c>
      <c r="X14" s="769"/>
      <c r="Y14" s="3100"/>
      <c r="Z14" s="55">
        <f t="shared" si="7"/>
        <v>0</v>
      </c>
      <c r="AA14" s="770">
        <f t="shared" si="3"/>
        <v>1</v>
      </c>
      <c r="AB14" s="770">
        <f t="shared" si="4"/>
        <v>1</v>
      </c>
      <c r="AC14" s="2664">
        <f t="shared" si="5"/>
        <v>1</v>
      </c>
    </row>
    <row r="15" spans="1:29" ht="42.75">
      <c r="A15" s="439" t="s">
        <v>2547</v>
      </c>
      <c r="B15" s="626" t="s">
        <v>2674</v>
      </c>
      <c r="C15" s="2666" t="str">
        <f>估价对象房地状况!C5</f>
        <v>XX商圈，周边办公楼项目，入驻率（物美慧科大厦 新奥特科技大厦 裕友大厦）</v>
      </c>
      <c r="D15" s="440">
        <v>100</v>
      </c>
      <c r="E15" s="443"/>
      <c r="F15" s="440">
        <f>SUMIF(77:77,E16,78:78)-SUMIF(77:77,C16,78:78)+100</f>
        <v>100</v>
      </c>
      <c r="G15" s="441"/>
      <c r="H15" s="440">
        <f>SUMIF(77:77,G16,78:78)-SUMIF(77:77,C16,78:78)+100</f>
        <v>100</v>
      </c>
      <c r="I15" s="441"/>
      <c r="J15" s="440">
        <f>SUMIF(77:77,I16,78:78)-SUMIF(77:77,C16,78:78)+100</f>
        <v>100</v>
      </c>
      <c r="K15" s="613">
        <v>3</v>
      </c>
      <c r="L15" s="1135"/>
      <c r="M15" s="1126"/>
      <c r="N15" s="1126"/>
      <c r="O15" s="1126"/>
      <c r="P15" s="3262" t="s">
        <v>2548</v>
      </c>
      <c r="Q15" s="1805" t="str">
        <f t="shared" si="6"/>
        <v>办公集聚程度</v>
      </c>
      <c r="R15" s="771" t="s">
        <v>17</v>
      </c>
      <c r="S15" s="772">
        <f t="shared" si="0"/>
        <v>100</v>
      </c>
      <c r="T15" s="771" t="s">
        <v>17</v>
      </c>
      <c r="U15" s="772">
        <f t="shared" si="1"/>
        <v>100</v>
      </c>
      <c r="V15" s="771" t="s">
        <v>17</v>
      </c>
      <c r="W15" s="772">
        <f t="shared" si="2"/>
        <v>100</v>
      </c>
      <c r="X15" s="1808"/>
      <c r="Y15" s="3264" t="s">
        <v>2548</v>
      </c>
      <c r="Z15" s="1809" t="str">
        <f t="shared" si="7"/>
        <v>办公集聚程度</v>
      </c>
      <c r="AA15" s="1806">
        <f t="shared" si="3"/>
        <v>1</v>
      </c>
      <c r="AB15" s="1806">
        <f t="shared" si="4"/>
        <v>1</v>
      </c>
      <c r="AC15" s="2667">
        <f t="shared" si="5"/>
        <v>1</v>
      </c>
    </row>
    <row r="16" spans="1:29" ht="15">
      <c r="A16" s="427"/>
      <c r="B16" s="627"/>
      <c r="C16" s="2604" t="s">
        <v>3095</v>
      </c>
      <c r="D16" s="447"/>
      <c r="E16" s="446" t="s">
        <v>3095</v>
      </c>
      <c r="F16" s="447"/>
      <c r="G16" s="2604" t="s">
        <v>3095</v>
      </c>
      <c r="H16" s="449"/>
      <c r="I16" s="446" t="s">
        <v>3095</v>
      </c>
      <c r="J16" s="447"/>
      <c r="K16" s="614"/>
      <c r="L16" s="1135"/>
      <c r="M16" s="1126"/>
      <c r="N16" s="1126"/>
      <c r="O16" s="1126"/>
      <c r="P16" s="3263"/>
      <c r="Q16" s="1805"/>
      <c r="R16" s="771"/>
      <c r="S16" s="772"/>
      <c r="T16" s="771"/>
      <c r="U16" s="772"/>
      <c r="V16" s="771"/>
      <c r="W16" s="772"/>
      <c r="X16" s="1808"/>
      <c r="Y16" s="3265"/>
      <c r="Z16" s="1809"/>
      <c r="AA16" s="1806">
        <v>1</v>
      </c>
      <c r="AB16" s="1806">
        <v>1</v>
      </c>
      <c r="AC16" s="2667">
        <v>1</v>
      </c>
    </row>
    <row r="17" spans="1:29" ht="71.25">
      <c r="A17" s="427"/>
      <c r="B17" s="628" t="s">
        <v>2088</v>
      </c>
      <c r="C17" s="2668" t="str">
        <f>估价对象房地状况!C6</f>
        <v>周边道路状况、公共交通通达情况、停车便捷程度（快速路西四环北路 六号线海淀五路居站 五路桥公交站  61路 79路 121路 地上停车位）</v>
      </c>
      <c r="D17" s="449">
        <v>100</v>
      </c>
      <c r="E17" s="453"/>
      <c r="F17" s="449">
        <f>SUMIF(79:79,E18,80:80)-SUMIF(79:79,C18,80:80)+100</f>
        <v>100</v>
      </c>
      <c r="G17" s="451"/>
      <c r="H17" s="454">
        <f>SUMIF(79:79,G18,80:80)-SUMIF(79:79,C18,80:80)+100</f>
        <v>100</v>
      </c>
      <c r="I17" s="451"/>
      <c r="J17" s="454">
        <f>SUMIF(79:79,I18,80:80)-SUMIF(79:79,C18,80:80)+100</f>
        <v>100</v>
      </c>
      <c r="K17" s="613">
        <v>5</v>
      </c>
      <c r="L17" s="1135"/>
      <c r="M17" s="1126"/>
      <c r="N17" s="1126"/>
      <c r="O17" s="1126"/>
      <c r="P17" s="3263"/>
      <c r="Q17" s="1805" t="str">
        <f>B17</f>
        <v>交通便捷度</v>
      </c>
      <c r="R17" s="771" t="s">
        <v>17</v>
      </c>
      <c r="S17" s="772">
        <f>F17</f>
        <v>100</v>
      </c>
      <c r="T17" s="771" t="s">
        <v>17</v>
      </c>
      <c r="U17" s="772">
        <f>H17</f>
        <v>100</v>
      </c>
      <c r="V17" s="771" t="s">
        <v>17</v>
      </c>
      <c r="W17" s="772">
        <f>J17</f>
        <v>100</v>
      </c>
      <c r="X17" s="1808"/>
      <c r="Y17" s="3265"/>
      <c r="Z17" s="1809" t="str">
        <f>Q17</f>
        <v>交通便捷度</v>
      </c>
      <c r="AA17" s="1806">
        <f t="shared" si="3"/>
        <v>1</v>
      </c>
      <c r="AB17" s="1806">
        <f t="shared" si="4"/>
        <v>1</v>
      </c>
      <c r="AC17" s="2667">
        <f t="shared" si="5"/>
        <v>1</v>
      </c>
    </row>
    <row r="18" spans="1:29" ht="15">
      <c r="A18" s="427"/>
      <c r="B18" s="629"/>
      <c r="C18" s="2669" t="s">
        <v>3657</v>
      </c>
      <c r="D18" s="449"/>
      <c r="E18" s="2669" t="s">
        <v>3657</v>
      </c>
      <c r="F18" s="449"/>
      <c r="G18" s="2669" t="s">
        <v>3657</v>
      </c>
      <c r="H18" s="447"/>
      <c r="I18" s="2669" t="s">
        <v>3657</v>
      </c>
      <c r="J18" s="447"/>
      <c r="K18" s="614"/>
      <c r="L18" s="1135"/>
      <c r="M18" s="1126"/>
      <c r="N18" s="1126"/>
      <c r="O18" s="1126"/>
      <c r="P18" s="3263"/>
      <c r="Q18" s="1805"/>
      <c r="R18" s="771"/>
      <c r="S18" s="772"/>
      <c r="T18" s="771"/>
      <c r="U18" s="772"/>
      <c r="V18" s="771"/>
      <c r="W18" s="772"/>
      <c r="X18" s="1808"/>
      <c r="Y18" s="3265"/>
      <c r="Z18" s="1809"/>
      <c r="AA18" s="1806">
        <v>1</v>
      </c>
      <c r="AB18" s="1806">
        <v>1</v>
      </c>
      <c r="AC18" s="2667">
        <v>1</v>
      </c>
    </row>
    <row r="19" spans="1:29" ht="114">
      <c r="A19" s="427"/>
      <c r="B19" s="628" t="s">
        <v>2675</v>
      </c>
      <c r="C19" s="2668"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8"/>
      <c r="F19" s="454">
        <f>SUMIF(81:81,E20,82:82)-SUMIF(81:81,C20,82:82)+100</f>
        <v>100</v>
      </c>
      <c r="G19" s="456"/>
      <c r="H19" s="449">
        <f>SUMIF(81:81,G20,82:82)-SUMIF(81:81,C20,82:82)+100</f>
        <v>100</v>
      </c>
      <c r="I19" s="456"/>
      <c r="J19" s="449">
        <f>SUMIF(81:81,I20,82:82)-SUMIF(81:81,C20,82:82)+100</f>
        <v>100</v>
      </c>
      <c r="K19" s="613">
        <v>3</v>
      </c>
      <c r="L19" s="1135"/>
      <c r="M19" s="1126"/>
      <c r="N19" s="1126"/>
      <c r="O19" s="1126"/>
      <c r="P19" s="3263"/>
      <c r="Q19" s="1805" t="str">
        <f>B19</f>
        <v>公共配套设施</v>
      </c>
      <c r="R19" s="771" t="s">
        <v>17</v>
      </c>
      <c r="S19" s="772">
        <f>F19</f>
        <v>100</v>
      </c>
      <c r="T19" s="771" t="s">
        <v>17</v>
      </c>
      <c r="U19" s="772">
        <f>H19</f>
        <v>100</v>
      </c>
      <c r="V19" s="771" t="s">
        <v>17</v>
      </c>
      <c r="W19" s="772">
        <f>J19</f>
        <v>100</v>
      </c>
      <c r="X19" s="1808"/>
      <c r="Y19" s="3265"/>
      <c r="Z19" s="1809" t="str">
        <f>Q19</f>
        <v>公共配套设施</v>
      </c>
      <c r="AA19" s="1806">
        <f t="shared" si="3"/>
        <v>1</v>
      </c>
      <c r="AB19" s="1806">
        <f t="shared" si="4"/>
        <v>1</v>
      </c>
      <c r="AC19" s="2667">
        <f t="shared" si="5"/>
        <v>1</v>
      </c>
    </row>
    <row r="20" spans="1:29" ht="15">
      <c r="A20" s="427"/>
      <c r="B20" s="629"/>
      <c r="C20" s="2604" t="s">
        <v>3096</v>
      </c>
      <c r="D20" s="447"/>
      <c r="E20" s="2597" t="s">
        <v>3096</v>
      </c>
      <c r="F20" s="447"/>
      <c r="G20" s="2598" t="s">
        <v>3096</v>
      </c>
      <c r="H20" s="447"/>
      <c r="I20" s="2598" t="s">
        <v>3096</v>
      </c>
      <c r="J20" s="447"/>
      <c r="K20" s="614"/>
      <c r="L20" s="1135"/>
      <c r="M20" s="1126"/>
      <c r="N20" s="1126"/>
      <c r="O20" s="1126"/>
      <c r="P20" s="3263"/>
      <c r="Q20" s="1805"/>
      <c r="R20" s="771"/>
      <c r="S20" s="772"/>
      <c r="T20" s="771"/>
      <c r="U20" s="772"/>
      <c r="V20" s="771"/>
      <c r="W20" s="772"/>
      <c r="X20" s="1808"/>
      <c r="Y20" s="3265"/>
      <c r="Z20" s="1809"/>
      <c r="AA20" s="1806">
        <v>1</v>
      </c>
      <c r="AB20" s="1806">
        <v>1</v>
      </c>
      <c r="AC20" s="2667">
        <v>1</v>
      </c>
    </row>
    <row r="21" spans="1:29" ht="15">
      <c r="A21" s="427"/>
      <c r="B21" s="630" t="s">
        <v>2676</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5"/>
      <c r="M21" s="1126"/>
      <c r="N21" s="1126"/>
      <c r="O21" s="1126"/>
      <c r="P21" s="3263"/>
      <c r="Q21" s="1805" t="str">
        <f>B21</f>
        <v>基础设施水平</v>
      </c>
      <c r="R21" s="771" t="s">
        <v>17</v>
      </c>
      <c r="S21" s="772">
        <f>F21</f>
        <v>100</v>
      </c>
      <c r="T21" s="771" t="s">
        <v>17</v>
      </c>
      <c r="U21" s="772">
        <f>H21</f>
        <v>100</v>
      </c>
      <c r="V21" s="771" t="s">
        <v>17</v>
      </c>
      <c r="W21" s="772">
        <f>J21</f>
        <v>100</v>
      </c>
      <c r="X21" s="1808"/>
      <c r="Y21" s="3265"/>
      <c r="Z21" s="1809" t="str">
        <f>Q21</f>
        <v>基础设施水平</v>
      </c>
      <c r="AA21" s="1806">
        <f t="shared" ref="AA21" si="8">D21/F21</f>
        <v>1</v>
      </c>
      <c r="AB21" s="1806">
        <f t="shared" ref="AB21" si="9">D21/H21</f>
        <v>1</v>
      </c>
      <c r="AC21" s="2667">
        <f t="shared" ref="AC21" si="10">D21/J21</f>
        <v>1</v>
      </c>
    </row>
    <row r="22" spans="1:29" ht="15">
      <c r="A22" s="427"/>
      <c r="B22" s="630"/>
      <c r="C22" s="2669" t="s">
        <v>3094</v>
      </c>
      <c r="D22" s="447"/>
      <c r="E22" s="2669" t="s">
        <v>3094</v>
      </c>
      <c r="F22" s="447"/>
      <c r="G22" s="2669" t="s">
        <v>3094</v>
      </c>
      <c r="H22" s="447"/>
      <c r="I22" s="2669" t="s">
        <v>3094</v>
      </c>
      <c r="J22" s="447"/>
      <c r="K22" s="1378"/>
      <c r="L22" s="1135"/>
      <c r="M22" s="1126"/>
      <c r="N22" s="1126"/>
      <c r="O22" s="1126"/>
      <c r="P22" s="3263"/>
      <c r="Q22" s="1805"/>
      <c r="R22" s="771"/>
      <c r="S22" s="772"/>
      <c r="T22" s="771"/>
      <c r="U22" s="772"/>
      <c r="V22" s="771"/>
      <c r="W22" s="772"/>
      <c r="X22" s="1808"/>
      <c r="Y22" s="3265"/>
      <c r="Z22" s="1809"/>
      <c r="AA22" s="1806">
        <v>1</v>
      </c>
      <c r="AB22" s="1806">
        <v>1</v>
      </c>
      <c r="AC22" s="2667">
        <v>1</v>
      </c>
    </row>
    <row r="23" spans="1:29" ht="15">
      <c r="A23" s="427"/>
      <c r="B23" s="628" t="s">
        <v>2677</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35"/>
      <c r="M23" s="1126"/>
      <c r="N23" s="1126"/>
      <c r="O23" s="1126"/>
      <c r="P23" s="3263"/>
      <c r="Q23" s="1805" t="str">
        <f>B23</f>
        <v>环境质量</v>
      </c>
      <c r="R23" s="771" t="s">
        <v>17</v>
      </c>
      <c r="S23" s="772">
        <f>F23</f>
        <v>100</v>
      </c>
      <c r="T23" s="771" t="s">
        <v>17</v>
      </c>
      <c r="U23" s="772">
        <f>H23</f>
        <v>100</v>
      </c>
      <c r="V23" s="771" t="s">
        <v>17</v>
      </c>
      <c r="W23" s="772">
        <f>J23</f>
        <v>100</v>
      </c>
      <c r="X23" s="1808"/>
      <c r="Y23" s="3265"/>
      <c r="Z23" s="1809" t="str">
        <f>Q23</f>
        <v>环境质量</v>
      </c>
      <c r="AA23" s="1806">
        <f t="shared" si="3"/>
        <v>1</v>
      </c>
      <c r="AB23" s="1806">
        <f t="shared" si="4"/>
        <v>1</v>
      </c>
      <c r="AC23" s="2667">
        <f t="shared" si="5"/>
        <v>1</v>
      </c>
    </row>
    <row r="24" spans="1:29" ht="15">
      <c r="A24" s="427"/>
      <c r="B24" s="630"/>
      <c r="C24" s="2604" t="s">
        <v>3095</v>
      </c>
      <c r="D24" s="447"/>
      <c r="E24" s="2597" t="s">
        <v>3095</v>
      </c>
      <c r="F24" s="447"/>
      <c r="G24" s="2598" t="s">
        <v>3095</v>
      </c>
      <c r="H24" s="447"/>
      <c r="I24" s="2598" t="s">
        <v>3095</v>
      </c>
      <c r="J24" s="447"/>
      <c r="K24" s="614"/>
      <c r="L24" s="1135"/>
      <c r="M24" s="1126"/>
      <c r="N24" s="1126"/>
      <c r="O24" s="1126"/>
      <c r="P24" s="3263"/>
      <c r="Q24" s="1805"/>
      <c r="R24" s="771"/>
      <c r="S24" s="772"/>
      <c r="T24" s="771"/>
      <c r="U24" s="772"/>
      <c r="V24" s="771"/>
      <c r="W24" s="772"/>
      <c r="X24" s="1808"/>
      <c r="Y24" s="3265"/>
      <c r="Z24" s="1809"/>
      <c r="AA24" s="1806">
        <v>1</v>
      </c>
      <c r="AB24" s="1806">
        <v>1</v>
      </c>
      <c r="AC24" s="2667">
        <v>1</v>
      </c>
    </row>
    <row r="25" spans="1:29" ht="27">
      <c r="A25" s="403"/>
      <c r="B25" s="628" t="s">
        <v>2678</v>
      </c>
      <c r="C25" s="2947" t="s">
        <v>3670</v>
      </c>
      <c r="D25" s="434">
        <v>100</v>
      </c>
      <c r="E25" s="2950" t="s">
        <v>3102</v>
      </c>
      <c r="F25" s="434">
        <f>SUMIF(87:87,E26,88:88)-SUMIF(87:87,C26,88:88)+100</f>
        <v>99</v>
      </c>
      <c r="G25" s="2947" t="s">
        <v>3664</v>
      </c>
      <c r="H25" s="434">
        <f>SUMIF(87:87,G26,88:88)-SUMIF(87:87,C26,88:88)+100</f>
        <v>100</v>
      </c>
      <c r="I25" s="2947" t="s">
        <v>3664</v>
      </c>
      <c r="J25" s="434">
        <f>SUMIF(87:87,I26,88:88)-SUMIF(87:87,C26,88:88)+100</f>
        <v>100</v>
      </c>
      <c r="K25" s="613">
        <v>1</v>
      </c>
      <c r="L25" s="1135"/>
      <c r="M25" s="1126"/>
      <c r="N25" s="1126"/>
      <c r="O25" s="1126"/>
      <c r="P25" s="3263"/>
      <c r="Q25" s="1805" t="str">
        <f>B25</f>
        <v>毗邻道路的类型与等级</v>
      </c>
      <c r="R25" s="771" t="s">
        <v>17</v>
      </c>
      <c r="S25" s="772">
        <f>F25</f>
        <v>99</v>
      </c>
      <c r="T25" s="771" t="s">
        <v>17</v>
      </c>
      <c r="U25" s="772">
        <f>H25</f>
        <v>100</v>
      </c>
      <c r="V25" s="771" t="s">
        <v>17</v>
      </c>
      <c r="W25" s="772">
        <f>J25</f>
        <v>100</v>
      </c>
      <c r="X25" s="1808"/>
      <c r="Y25" s="3265"/>
      <c r="Z25" s="1809" t="str">
        <f>Q25</f>
        <v>毗邻道路的类型与等级</v>
      </c>
      <c r="AA25" s="1806">
        <f t="shared" si="3"/>
        <v>1.0101010101010102</v>
      </c>
      <c r="AB25" s="1806">
        <f t="shared" si="4"/>
        <v>1</v>
      </c>
      <c r="AC25" s="2667">
        <f t="shared" si="5"/>
        <v>1</v>
      </c>
    </row>
    <row r="26" spans="1:29" ht="15">
      <c r="A26" s="403"/>
      <c r="B26" s="629"/>
      <c r="C26" s="631" t="s">
        <v>3663</v>
      </c>
      <c r="D26" s="434"/>
      <c r="E26" s="615" t="s">
        <v>3103</v>
      </c>
      <c r="F26" s="434"/>
      <c r="G26" s="631" t="s">
        <v>3663</v>
      </c>
      <c r="H26" s="434"/>
      <c r="I26" s="615" t="s">
        <v>3663</v>
      </c>
      <c r="J26" s="434"/>
      <c r="K26" s="614"/>
      <c r="L26" s="1135"/>
      <c r="M26" s="1126"/>
      <c r="N26" s="1126"/>
      <c r="O26" s="1126"/>
      <c r="P26" s="3263"/>
      <c r="Q26" s="1805"/>
      <c r="R26" s="771"/>
      <c r="S26" s="772"/>
      <c r="T26" s="771"/>
      <c r="U26" s="772"/>
      <c r="V26" s="771"/>
      <c r="W26" s="772"/>
      <c r="X26" s="1808"/>
      <c r="Y26" s="3265"/>
      <c r="Z26" s="1809"/>
      <c r="AA26" s="1806">
        <v>1</v>
      </c>
      <c r="AB26" s="1806">
        <v>1</v>
      </c>
      <c r="AC26" s="2667">
        <v>1</v>
      </c>
    </row>
    <row r="27" spans="1:29" ht="15">
      <c r="A27" s="427"/>
      <c r="B27" s="629" t="s">
        <v>2647</v>
      </c>
      <c r="C27" s="631"/>
      <c r="D27" s="434">
        <v>100</v>
      </c>
      <c r="E27" s="615"/>
      <c r="F27" s="434">
        <f>SUMIF(89:89,E27,90:90)-SUMIF(89:89,C27,90:90)+100</f>
        <v>100</v>
      </c>
      <c r="G27" s="631"/>
      <c r="H27" s="434">
        <f>SUMIF(89:89,G27,90:90)-SUMIF(89:89,C27,90:90)+100</f>
        <v>100</v>
      </c>
      <c r="I27" s="615"/>
      <c r="J27" s="434">
        <f>SUMIF(89:89,I27,90:90)-SUMIF(89:89,C27,90:90)+100</f>
        <v>100</v>
      </c>
      <c r="K27" s="611"/>
      <c r="L27" s="1135"/>
      <c r="M27" s="1126"/>
      <c r="N27" s="1126"/>
      <c r="O27" s="1126"/>
      <c r="P27" s="3263"/>
      <c r="Q27" s="1805" t="str">
        <f t="shared" ref="Q27:Q47" si="11">B27</f>
        <v>楼层</v>
      </c>
      <c r="R27" s="771" t="s">
        <v>17</v>
      </c>
      <c r="S27" s="772">
        <f>F27</f>
        <v>100</v>
      </c>
      <c r="T27" s="771" t="s">
        <v>17</v>
      </c>
      <c r="U27" s="772">
        <f>H27</f>
        <v>100</v>
      </c>
      <c r="V27" s="771" t="s">
        <v>17</v>
      </c>
      <c r="W27" s="772">
        <f>J27</f>
        <v>100</v>
      </c>
      <c r="X27" s="1808"/>
      <c r="Y27" s="3265"/>
      <c r="Z27" s="1809" t="str">
        <f>Q27</f>
        <v>楼层</v>
      </c>
      <c r="AA27" s="1806">
        <f t="shared" si="3"/>
        <v>1</v>
      </c>
      <c r="AB27" s="1806">
        <f t="shared" si="4"/>
        <v>1</v>
      </c>
      <c r="AC27" s="2667">
        <f t="shared" si="5"/>
        <v>1</v>
      </c>
    </row>
    <row r="28" spans="1:29" s="117" customFormat="1" ht="15.75" thickBot="1">
      <c r="A28" s="430"/>
      <c r="B28" s="628" t="s">
        <v>2679</v>
      </c>
      <c r="C28" s="2670"/>
      <c r="D28" s="461">
        <v>100</v>
      </c>
      <c r="E28" s="2658"/>
      <c r="F28" s="461">
        <f>SUMIF(91:91,E28,92:92)-SUMIF(91:91,C28,92:92)+100</f>
        <v>100</v>
      </c>
      <c r="G28" s="2670"/>
      <c r="H28" s="461">
        <f>SUMIF(91:91,G28,92:92)-SUMIF(91:91,C28,92:92)+100</f>
        <v>100</v>
      </c>
      <c r="I28" s="2658"/>
      <c r="J28" s="461">
        <f>SUMIF(91:91,I28,92:92)-SUMIF(91:91,C28,92:92)+100</f>
        <v>100</v>
      </c>
      <c r="K28" s="611"/>
      <c r="L28" s="1127"/>
      <c r="M28" s="1128"/>
      <c r="N28" s="1128"/>
      <c r="O28" s="1128"/>
      <c r="P28" s="3263"/>
      <c r="Q28" s="1790" t="str">
        <f t="shared" si="11"/>
        <v>朝向</v>
      </c>
      <c r="R28" s="767" t="s">
        <v>17</v>
      </c>
      <c r="S28" s="768">
        <f>F28</f>
        <v>100</v>
      </c>
      <c r="T28" s="767" t="s">
        <v>17</v>
      </c>
      <c r="U28" s="768">
        <f>H28</f>
        <v>100</v>
      </c>
      <c r="V28" s="767" t="s">
        <v>17</v>
      </c>
      <c r="W28" s="768">
        <f>J28</f>
        <v>100</v>
      </c>
      <c r="X28" s="769"/>
      <c r="Y28" s="3265"/>
      <c r="Z28" s="55" t="str">
        <f>Q28</f>
        <v>朝向</v>
      </c>
      <c r="AA28" s="1806">
        <f>D28/F28</f>
        <v>1</v>
      </c>
      <c r="AB28" s="1806">
        <f>D28/H28</f>
        <v>1</v>
      </c>
      <c r="AC28" s="2667">
        <f>D28/J28</f>
        <v>1</v>
      </c>
    </row>
    <row r="29" spans="1:29" ht="15" hidden="1">
      <c r="A29" s="427"/>
      <c r="B29" s="2671"/>
      <c r="C29" s="2608"/>
      <c r="D29" s="434">
        <v>100</v>
      </c>
      <c r="E29" s="431"/>
      <c r="F29" s="434">
        <f>SUMIF(93:93,E29,94:94)-SUMIF(93:93,C29,94:94)+100</f>
        <v>100</v>
      </c>
      <c r="G29" s="2665"/>
      <c r="H29" s="434">
        <f>SUMIF(93:93,G29,94:94)-SUMIF(93:93,C29,94:94)+100</f>
        <v>100</v>
      </c>
      <c r="I29" s="431"/>
      <c r="J29" s="434">
        <f>SUMIF(93:93,I29,94:94)-SUMIF(93:93,C29,94:94)+100</f>
        <v>100</v>
      </c>
      <c r="K29" s="612"/>
      <c r="L29" s="1135"/>
      <c r="M29" s="1126"/>
      <c r="N29" s="1126"/>
      <c r="O29" s="1126"/>
      <c r="P29" s="3263"/>
      <c r="Q29" s="1805">
        <f t="shared" si="11"/>
        <v>0</v>
      </c>
      <c r="R29" s="771" t="s">
        <v>17</v>
      </c>
      <c r="S29" s="772">
        <f t="shared" ref="S29:S47" si="12">F29</f>
        <v>100</v>
      </c>
      <c r="T29" s="771" t="s">
        <v>17</v>
      </c>
      <c r="U29" s="772">
        <f t="shared" ref="U29:U47" si="13">H29</f>
        <v>100</v>
      </c>
      <c r="V29" s="771" t="s">
        <v>17</v>
      </c>
      <c r="W29" s="772">
        <f t="shared" ref="W29:W47" si="14">J29</f>
        <v>100</v>
      </c>
      <c r="X29" s="1808"/>
      <c r="Y29" s="3265"/>
      <c r="Z29" s="1809">
        <f t="shared" ref="Z29:Z47" si="15">Q29</f>
        <v>0</v>
      </c>
      <c r="AA29" s="1806">
        <f t="shared" si="3"/>
        <v>1</v>
      </c>
      <c r="AB29" s="1806">
        <f t="shared" si="4"/>
        <v>1</v>
      </c>
      <c r="AC29" s="2667">
        <f t="shared" si="5"/>
        <v>1</v>
      </c>
    </row>
    <row r="30" spans="1:29" ht="15" hidden="1">
      <c r="A30" s="427"/>
      <c r="B30" s="2671"/>
      <c r="C30" s="2608"/>
      <c r="D30" s="434">
        <v>100</v>
      </c>
      <c r="E30" s="431"/>
      <c r="F30" s="434">
        <f>SUMIF(95:95,E30,96:96)-SUMIF(95:95,C30,96:96)+100</f>
        <v>100</v>
      </c>
      <c r="G30" s="2665"/>
      <c r="H30" s="434">
        <f>SUMIF(95:95,G30,96:96)-SUMIF(95:95,C30,96:96)+100</f>
        <v>100</v>
      </c>
      <c r="I30" s="431"/>
      <c r="J30" s="434">
        <f>SUMIF(95:95,I30,96:96)-SUMIF(95:95,C30,96:96)+100</f>
        <v>100</v>
      </c>
      <c r="K30" s="612"/>
      <c r="L30" s="1135"/>
      <c r="M30" s="1126"/>
      <c r="N30" s="1126"/>
      <c r="O30" s="1126"/>
      <c r="P30" s="3263"/>
      <c r="Q30" s="1805">
        <f t="shared" si="11"/>
        <v>0</v>
      </c>
      <c r="R30" s="771" t="s">
        <v>17</v>
      </c>
      <c r="S30" s="772">
        <f t="shared" si="12"/>
        <v>100</v>
      </c>
      <c r="T30" s="771" t="s">
        <v>17</v>
      </c>
      <c r="U30" s="772">
        <f t="shared" si="13"/>
        <v>100</v>
      </c>
      <c r="V30" s="771" t="s">
        <v>17</v>
      </c>
      <c r="W30" s="772">
        <f t="shared" si="14"/>
        <v>100</v>
      </c>
      <c r="X30" s="1808"/>
      <c r="Y30" s="3265"/>
      <c r="Z30" s="1809">
        <f t="shared" si="15"/>
        <v>0</v>
      </c>
      <c r="AA30" s="1806">
        <f t="shared" si="3"/>
        <v>1</v>
      </c>
      <c r="AB30" s="1806">
        <f t="shared" si="4"/>
        <v>1</v>
      </c>
      <c r="AC30" s="2667">
        <f t="shared" si="5"/>
        <v>1</v>
      </c>
    </row>
    <row r="31" spans="1:29" ht="15" hidden="1">
      <c r="A31" s="427"/>
      <c r="B31" s="2671"/>
      <c r="C31" s="2608"/>
      <c r="D31" s="434">
        <v>100</v>
      </c>
      <c r="E31" s="431"/>
      <c r="F31" s="434">
        <f>SUMIF(97:97,E31,98:98)-SUMIF(97:97,C31,98:98)+100</f>
        <v>100</v>
      </c>
      <c r="G31" s="2665"/>
      <c r="H31" s="434">
        <f>SUMIF(97:97,G31,98:98)-SUMIF(97:97,C31,98:98)+100</f>
        <v>100</v>
      </c>
      <c r="I31" s="431"/>
      <c r="J31" s="434">
        <f>SUMIF(97:97,I31,98:98)-SUMIF(97:97,C31,98:98)+100</f>
        <v>100</v>
      </c>
      <c r="K31" s="612"/>
      <c r="L31" s="1135"/>
      <c r="M31" s="1126"/>
      <c r="N31" s="1126"/>
      <c r="O31" s="1126"/>
      <c r="P31" s="3263"/>
      <c r="Q31" s="1805">
        <f t="shared" si="11"/>
        <v>0</v>
      </c>
      <c r="R31" s="771" t="s">
        <v>17</v>
      </c>
      <c r="S31" s="772">
        <f t="shared" si="12"/>
        <v>100</v>
      </c>
      <c r="T31" s="771" t="s">
        <v>17</v>
      </c>
      <c r="U31" s="772">
        <f t="shared" si="13"/>
        <v>100</v>
      </c>
      <c r="V31" s="771" t="s">
        <v>17</v>
      </c>
      <c r="W31" s="772">
        <f t="shared" si="14"/>
        <v>100</v>
      </c>
      <c r="X31" s="1808"/>
      <c r="Y31" s="3265"/>
      <c r="Z31" s="1809">
        <f t="shared" si="15"/>
        <v>0</v>
      </c>
      <c r="AA31" s="1806">
        <f t="shared" si="3"/>
        <v>1</v>
      </c>
      <c r="AB31" s="1806">
        <f t="shared" si="4"/>
        <v>1</v>
      </c>
      <c r="AC31" s="2667">
        <f t="shared" si="5"/>
        <v>1</v>
      </c>
    </row>
    <row r="32" spans="1:29" ht="15.75" hidden="1" thickBot="1">
      <c r="A32" s="435"/>
      <c r="B32" s="632"/>
      <c r="C32" s="2609"/>
      <c r="D32" s="437">
        <v>100</v>
      </c>
      <c r="E32" s="625"/>
      <c r="F32" s="437">
        <f>SUMIF(99:99,E32,100:100)-SUMIF(99:99,C32,100:100)+100</f>
        <v>100</v>
      </c>
      <c r="G32" s="2665"/>
      <c r="H32" s="437">
        <f>SUMIF(99:99,G32,100:100)-SUMIF(99:99,C32,100:100)+100</f>
        <v>100</v>
      </c>
      <c r="I32" s="431"/>
      <c r="J32" s="437">
        <f>SUMIF(99:99,I32,100:100)-SUMIF(99:99,C32,100:100)+100</f>
        <v>100</v>
      </c>
      <c r="K32" s="612"/>
      <c r="L32" s="1135"/>
      <c r="M32" s="1126"/>
      <c r="N32" s="1126"/>
      <c r="O32" s="1126"/>
      <c r="P32" s="3263"/>
      <c r="Q32" s="1805">
        <f t="shared" si="11"/>
        <v>0</v>
      </c>
      <c r="R32" s="771" t="s">
        <v>17</v>
      </c>
      <c r="S32" s="772">
        <f t="shared" si="12"/>
        <v>100</v>
      </c>
      <c r="T32" s="771" t="s">
        <v>17</v>
      </c>
      <c r="U32" s="772">
        <f t="shared" si="13"/>
        <v>100</v>
      </c>
      <c r="V32" s="771" t="s">
        <v>17</v>
      </c>
      <c r="W32" s="772">
        <f t="shared" si="14"/>
        <v>100</v>
      </c>
      <c r="X32" s="1808"/>
      <c r="Y32" s="3265"/>
      <c r="Z32" s="1809">
        <f t="shared" si="15"/>
        <v>0</v>
      </c>
      <c r="AA32" s="1806">
        <f t="shared" si="3"/>
        <v>1</v>
      </c>
      <c r="AB32" s="1806">
        <f t="shared" si="4"/>
        <v>1</v>
      </c>
      <c r="AC32" s="2667">
        <f t="shared" si="5"/>
        <v>1</v>
      </c>
    </row>
    <row r="33" spans="1:29" ht="15">
      <c r="A33" s="439" t="s">
        <v>2551</v>
      </c>
      <c r="B33" s="71" t="s">
        <v>2680</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5"/>
      <c r="M33" s="1126"/>
      <c r="N33" s="1126"/>
      <c r="O33" s="1126"/>
      <c r="P33" s="3266" t="s">
        <v>2553</v>
      </c>
      <c r="Q33" s="1805" t="str">
        <f t="shared" si="11"/>
        <v>建筑类型</v>
      </c>
      <c r="R33" s="771" t="s">
        <v>17</v>
      </c>
      <c r="S33" s="772">
        <f t="shared" si="12"/>
        <v>100</v>
      </c>
      <c r="T33" s="771" t="s">
        <v>17</v>
      </c>
      <c r="U33" s="772">
        <f t="shared" si="13"/>
        <v>100</v>
      </c>
      <c r="V33" s="771" t="s">
        <v>17</v>
      </c>
      <c r="W33" s="772">
        <f t="shared" si="14"/>
        <v>100</v>
      </c>
      <c r="X33" s="1808"/>
      <c r="Y33" s="3269" t="s">
        <v>2553</v>
      </c>
      <c r="Z33" s="1809" t="str">
        <f t="shared" si="15"/>
        <v>建筑类型</v>
      </c>
      <c r="AA33" s="1806">
        <f t="shared" si="3"/>
        <v>1</v>
      </c>
      <c r="AB33" s="1806">
        <f t="shared" si="4"/>
        <v>1</v>
      </c>
      <c r="AC33" s="2667">
        <f t="shared" si="5"/>
        <v>1</v>
      </c>
    </row>
    <row r="34" spans="1:29" s="470" customFormat="1" ht="15">
      <c r="A34" s="467"/>
      <c r="B34" s="421" t="s">
        <v>2554</v>
      </c>
      <c r="C34" s="468">
        <v>88197</v>
      </c>
      <c r="D34" s="136">
        <v>100</v>
      </c>
      <c r="E34" s="429">
        <v>84335</v>
      </c>
      <c r="F34" s="424">
        <f>LOOKUP(E34,104:104,105:105)-LOOKUP(C34,104:104,105:105)+100</f>
        <v>100</v>
      </c>
      <c r="G34" s="428">
        <f>I34</f>
        <v>58232</v>
      </c>
      <c r="H34" s="136">
        <f>LOOKUP(G34,104:104,105:105)-LOOKUP(C34,104:104,105:105)+100</f>
        <v>100</v>
      </c>
      <c r="I34" s="428">
        <v>58232</v>
      </c>
      <c r="J34" s="136">
        <f>LOOKUP(I34,104:104,105:105)-LOOKUP(C34,104:104,105:105)+100</f>
        <v>100</v>
      </c>
      <c r="K34" s="612"/>
      <c r="L34" s="1133"/>
      <c r="M34" s="1136"/>
      <c r="N34" s="1136"/>
      <c r="O34" s="1136"/>
      <c r="P34" s="3267"/>
      <c r="Q34" s="773" t="str">
        <f t="shared" si="11"/>
        <v>项目建筑规模</v>
      </c>
      <c r="R34" s="774" t="s">
        <v>17</v>
      </c>
      <c r="S34" s="775">
        <f t="shared" si="12"/>
        <v>100</v>
      </c>
      <c r="T34" s="774" t="s">
        <v>17</v>
      </c>
      <c r="U34" s="775">
        <f t="shared" si="13"/>
        <v>100</v>
      </c>
      <c r="V34" s="774" t="s">
        <v>17</v>
      </c>
      <c r="W34" s="775">
        <f t="shared" si="14"/>
        <v>100</v>
      </c>
      <c r="X34" s="776"/>
      <c r="Y34" s="3269"/>
      <c r="Z34" s="777" t="str">
        <f t="shared" si="15"/>
        <v>项目建筑规模</v>
      </c>
      <c r="AA34" s="1806">
        <f t="shared" si="3"/>
        <v>1</v>
      </c>
      <c r="AB34" s="1806">
        <f t="shared" si="4"/>
        <v>1</v>
      </c>
      <c r="AC34" s="2667">
        <f t="shared" si="5"/>
        <v>1</v>
      </c>
    </row>
    <row r="35" spans="1:29" ht="15">
      <c r="A35" s="471"/>
      <c r="B35" s="421" t="s">
        <v>2555</v>
      </c>
      <c r="C35" s="459" t="s">
        <v>3064</v>
      </c>
      <c r="D35" s="434">
        <v>100</v>
      </c>
      <c r="E35" s="459" t="s">
        <v>3064</v>
      </c>
      <c r="F35" s="460">
        <f>SUMIF(106:106,E35,107:107)-SUMIF(106:106,C35,107:107)+100</f>
        <v>100</v>
      </c>
      <c r="G35" s="459" t="s">
        <v>3064</v>
      </c>
      <c r="H35" s="434">
        <f>SUMIF(106:106,G35,107:107)-SUMIF(106:106,C35,107:107)+100</f>
        <v>100</v>
      </c>
      <c r="I35" s="459" t="s">
        <v>3064</v>
      </c>
      <c r="J35" s="434">
        <f>SUMIF(106:106,I35,107:107)-SUMIF(106:106,C35,107:107)+100</f>
        <v>100</v>
      </c>
      <c r="K35" s="611">
        <v>2</v>
      </c>
      <c r="L35" s="1135"/>
      <c r="M35" s="1126"/>
      <c r="N35" s="1126"/>
      <c r="O35" s="1126"/>
      <c r="P35" s="3267"/>
      <c r="Q35" s="1805" t="str">
        <f t="shared" si="11"/>
        <v>建筑结构</v>
      </c>
      <c r="R35" s="771" t="s">
        <v>17</v>
      </c>
      <c r="S35" s="772">
        <f t="shared" si="12"/>
        <v>100</v>
      </c>
      <c r="T35" s="771" t="s">
        <v>17</v>
      </c>
      <c r="U35" s="772">
        <f t="shared" si="13"/>
        <v>100</v>
      </c>
      <c r="V35" s="771" t="s">
        <v>17</v>
      </c>
      <c r="W35" s="772">
        <f t="shared" si="14"/>
        <v>100</v>
      </c>
      <c r="X35" s="1808"/>
      <c r="Y35" s="3269"/>
      <c r="Z35" s="1809" t="str">
        <f t="shared" si="15"/>
        <v>建筑结构</v>
      </c>
      <c r="AA35" s="1806">
        <f t="shared" si="3"/>
        <v>1</v>
      </c>
      <c r="AB35" s="1806">
        <f t="shared" si="4"/>
        <v>1</v>
      </c>
      <c r="AC35" s="2667">
        <f t="shared" si="5"/>
        <v>1</v>
      </c>
    </row>
    <row r="36" spans="1:29" ht="15">
      <c r="A36" s="471"/>
      <c r="B36" s="421" t="s">
        <v>2649</v>
      </c>
      <c r="C36" s="459" t="s">
        <v>3084</v>
      </c>
      <c r="D36" s="434">
        <v>100</v>
      </c>
      <c r="E36" s="459" t="s">
        <v>3084</v>
      </c>
      <c r="F36" s="460">
        <f>SUMIF(108:108,E36,109:109)-SUMIF(108:108,C36,109:109)+100</f>
        <v>100</v>
      </c>
      <c r="G36" s="459" t="s">
        <v>3084</v>
      </c>
      <c r="H36" s="434">
        <f>SUMIF(108:108,G36,109:109)-SUMIF(108:108,C36,109:109)+100</f>
        <v>100</v>
      </c>
      <c r="I36" s="459" t="s">
        <v>3084</v>
      </c>
      <c r="J36" s="434">
        <f>SUMIF(108:108,I36,109:109)-SUMIF(108:108,C36,109:109)+100</f>
        <v>100</v>
      </c>
      <c r="K36" s="611">
        <v>2</v>
      </c>
      <c r="L36" s="1135"/>
      <c r="M36" s="1126"/>
      <c r="N36" s="1126"/>
      <c r="O36" s="1126"/>
      <c r="P36" s="3267"/>
      <c r="Q36" s="1805" t="str">
        <f t="shared" si="11"/>
        <v>公共部分装修</v>
      </c>
      <c r="R36" s="771" t="s">
        <v>17</v>
      </c>
      <c r="S36" s="772">
        <f t="shared" si="12"/>
        <v>100</v>
      </c>
      <c r="T36" s="771" t="s">
        <v>17</v>
      </c>
      <c r="U36" s="772">
        <f t="shared" si="13"/>
        <v>100</v>
      </c>
      <c r="V36" s="771" t="s">
        <v>17</v>
      </c>
      <c r="W36" s="772">
        <f t="shared" si="14"/>
        <v>100</v>
      </c>
      <c r="X36" s="1808"/>
      <c r="Y36" s="3269"/>
      <c r="Z36" s="1809" t="str">
        <f t="shared" si="15"/>
        <v>公共部分装修</v>
      </c>
      <c r="AA36" s="1806">
        <f t="shared" si="3"/>
        <v>1</v>
      </c>
      <c r="AB36" s="1806">
        <f t="shared" si="4"/>
        <v>1</v>
      </c>
      <c r="AC36" s="2667">
        <f t="shared" si="5"/>
        <v>1</v>
      </c>
    </row>
    <row r="37" spans="1:29" ht="15">
      <c r="A37" s="471"/>
      <c r="B37" s="421" t="s">
        <v>2650</v>
      </c>
      <c r="C37" s="473">
        <f>'数据-取费表'!N6</f>
        <v>0.9</v>
      </c>
      <c r="D37" s="434">
        <v>100</v>
      </c>
      <c r="E37" s="2951">
        <v>0.9</v>
      </c>
      <c r="F37" s="460">
        <f>LOOKUP(E37,111:111,112:112)-LOOKUP(C37,111:111,112:112)+100</f>
        <v>100</v>
      </c>
      <c r="G37" s="2951">
        <v>0.9</v>
      </c>
      <c r="H37" s="460">
        <f>LOOKUP(G37,111:111,112:112)-LOOKUP(C37,111:111,112:112)+100</f>
        <v>100</v>
      </c>
      <c r="I37" s="473">
        <v>0.9</v>
      </c>
      <c r="J37" s="434">
        <f>LOOKUP(I37,111:111,112:112)-LOOKUP(C37,111:111,112:112)+100</f>
        <v>100</v>
      </c>
      <c r="K37" s="611">
        <v>2</v>
      </c>
      <c r="L37" s="1135"/>
      <c r="M37" s="1126"/>
      <c r="N37" s="1126"/>
      <c r="O37" s="1126"/>
      <c r="P37" s="3267"/>
      <c r="Q37" s="1805" t="str">
        <f t="shared" si="11"/>
        <v>成新度</v>
      </c>
      <c r="R37" s="771" t="s">
        <v>17</v>
      </c>
      <c r="S37" s="772">
        <f t="shared" si="12"/>
        <v>100</v>
      </c>
      <c r="T37" s="771" t="s">
        <v>17</v>
      </c>
      <c r="U37" s="772">
        <f t="shared" si="13"/>
        <v>100</v>
      </c>
      <c r="V37" s="771" t="s">
        <v>17</v>
      </c>
      <c r="W37" s="772">
        <f t="shared" si="14"/>
        <v>100</v>
      </c>
      <c r="X37" s="1808"/>
      <c r="Y37" s="3269"/>
      <c r="Z37" s="1809" t="str">
        <f t="shared" si="15"/>
        <v>成新度</v>
      </c>
      <c r="AA37" s="1806">
        <f t="shared" si="3"/>
        <v>1</v>
      </c>
      <c r="AB37" s="1806">
        <f t="shared" si="4"/>
        <v>1</v>
      </c>
      <c r="AC37" s="2667">
        <f t="shared" si="5"/>
        <v>1</v>
      </c>
    </row>
    <row r="38" spans="1:29" s="117" customFormat="1" ht="15">
      <c r="A38" s="472"/>
      <c r="B38" s="421" t="s">
        <v>2681</v>
      </c>
      <c r="C38" s="459" t="s">
        <v>3108</v>
      </c>
      <c r="D38" s="136">
        <v>100</v>
      </c>
      <c r="E38" s="459" t="s">
        <v>3108</v>
      </c>
      <c r="F38" s="460">
        <f>SUMIF(113:113,E38,114:114)-SUMIF(113:113,C38,114:114)+100</f>
        <v>100</v>
      </c>
      <c r="G38" s="459" t="s">
        <v>3106</v>
      </c>
      <c r="H38" s="434">
        <f>SUMIF(113:113,G38,114:114)-SUMIF(113:113,C38,114:114)+100</f>
        <v>105</v>
      </c>
      <c r="I38" s="459" t="s">
        <v>3106</v>
      </c>
      <c r="J38" s="434">
        <f>SUMIF(113:113,I38,114:114)-SUMIF(113:113,C38,114:114)+100</f>
        <v>105</v>
      </c>
      <c r="K38" s="611">
        <v>5</v>
      </c>
      <c r="L38" s="1127"/>
      <c r="M38" s="1128"/>
      <c r="N38" s="1128"/>
      <c r="O38" s="1128"/>
      <c r="P38" s="3267"/>
      <c r="Q38" s="1790" t="str">
        <f t="shared" si="11"/>
        <v>写字楼等级</v>
      </c>
      <c r="R38" s="767" t="s">
        <v>17</v>
      </c>
      <c r="S38" s="768">
        <f t="shared" si="12"/>
        <v>100</v>
      </c>
      <c r="T38" s="767" t="s">
        <v>17</v>
      </c>
      <c r="U38" s="768">
        <f t="shared" si="13"/>
        <v>105</v>
      </c>
      <c r="V38" s="767" t="s">
        <v>17</v>
      </c>
      <c r="W38" s="768">
        <f t="shared" si="14"/>
        <v>105</v>
      </c>
      <c r="X38" s="769"/>
      <c r="Y38" s="3269"/>
      <c r="Z38" s="55" t="str">
        <f t="shared" si="15"/>
        <v>写字楼等级</v>
      </c>
      <c r="AA38" s="770">
        <f t="shared" si="3"/>
        <v>1</v>
      </c>
      <c r="AB38" s="770">
        <f t="shared" si="4"/>
        <v>0.95238095238095233</v>
      </c>
      <c r="AC38" s="2664">
        <f t="shared" si="5"/>
        <v>0.95238095238095233</v>
      </c>
    </row>
    <row r="39" spans="1:29" ht="15">
      <c r="A39" s="471"/>
      <c r="B39" s="421" t="s">
        <v>2682</v>
      </c>
      <c r="C39" s="459" t="s">
        <v>3082</v>
      </c>
      <c r="D39" s="434">
        <v>100</v>
      </c>
      <c r="E39" s="459" t="s">
        <v>3082</v>
      </c>
      <c r="F39" s="460">
        <f>SUMIF(115:115,E39,116:116)-SUMIF(115:115,C39,116:116)+100</f>
        <v>100</v>
      </c>
      <c r="G39" s="459" t="s">
        <v>3082</v>
      </c>
      <c r="H39" s="434">
        <f>SUMIF(115:115,G39,116:116)-SUMIF(115:115,C39,116:116)+100</f>
        <v>100</v>
      </c>
      <c r="I39" s="459" t="s">
        <v>3082</v>
      </c>
      <c r="J39" s="434">
        <f>SUMIF(115:115,I39,116:116)-SUMIF(115:115,C39,116:116)+100</f>
        <v>100</v>
      </c>
      <c r="K39" s="611">
        <v>2</v>
      </c>
      <c r="L39" s="1135"/>
      <c r="M39" s="1126"/>
      <c r="N39" s="1126"/>
      <c r="O39" s="1126"/>
      <c r="P39" s="3267" t="s">
        <v>2553</v>
      </c>
      <c r="Q39" s="1805" t="str">
        <f t="shared" si="11"/>
        <v>物业管理</v>
      </c>
      <c r="R39" s="771" t="s">
        <v>17</v>
      </c>
      <c r="S39" s="772">
        <f t="shared" si="12"/>
        <v>100</v>
      </c>
      <c r="T39" s="771" t="s">
        <v>17</v>
      </c>
      <c r="U39" s="772">
        <f t="shared" si="13"/>
        <v>100</v>
      </c>
      <c r="V39" s="771" t="s">
        <v>17</v>
      </c>
      <c r="W39" s="772">
        <f t="shared" si="14"/>
        <v>100</v>
      </c>
      <c r="X39" s="1808"/>
      <c r="Y39" s="3269" t="s">
        <v>2553</v>
      </c>
      <c r="Z39" s="1809" t="str">
        <f t="shared" si="15"/>
        <v>物业管理</v>
      </c>
      <c r="AA39" s="1806">
        <f t="shared" si="3"/>
        <v>1</v>
      </c>
      <c r="AB39" s="1806">
        <f t="shared" si="4"/>
        <v>1</v>
      </c>
      <c r="AC39" s="2667">
        <f t="shared" si="5"/>
        <v>1</v>
      </c>
    </row>
    <row r="40" spans="1:29" ht="15">
      <c r="A40" s="471"/>
      <c r="B40" s="421" t="s">
        <v>2651</v>
      </c>
      <c r="C40" s="459" t="s">
        <v>3080</v>
      </c>
      <c r="D40" s="434">
        <v>100</v>
      </c>
      <c r="E40" s="459" t="s">
        <v>3080</v>
      </c>
      <c r="F40" s="460">
        <f>SUMIF(117:117,E40,118:118)-SUMIF(117:117,C40,118:118)+100</f>
        <v>100</v>
      </c>
      <c r="G40" s="459" t="s">
        <v>3080</v>
      </c>
      <c r="H40" s="434">
        <f>SUMIF(117:117,G40,118:118)-SUMIF(117:117,C40,118:118)+100</f>
        <v>100</v>
      </c>
      <c r="I40" s="459" t="s">
        <v>3080</v>
      </c>
      <c r="J40" s="434">
        <f>SUMIF(117:117,I40,118:118)-SUMIF(117:117,C40,118:118)+100</f>
        <v>100</v>
      </c>
      <c r="K40" s="611">
        <v>2</v>
      </c>
      <c r="L40" s="1135"/>
      <c r="M40" s="1126"/>
      <c r="N40" s="1126"/>
      <c r="O40" s="1126"/>
      <c r="P40" s="3267"/>
      <c r="Q40" s="1805" t="str">
        <f t="shared" si="11"/>
        <v>市政基础设施</v>
      </c>
      <c r="R40" s="771" t="s">
        <v>17</v>
      </c>
      <c r="S40" s="772">
        <f t="shared" si="12"/>
        <v>100</v>
      </c>
      <c r="T40" s="771" t="s">
        <v>17</v>
      </c>
      <c r="U40" s="772">
        <f t="shared" si="13"/>
        <v>100</v>
      </c>
      <c r="V40" s="771" t="s">
        <v>17</v>
      </c>
      <c r="W40" s="772">
        <f t="shared" si="14"/>
        <v>100</v>
      </c>
      <c r="X40" s="1808"/>
      <c r="Y40" s="3269"/>
      <c r="Z40" s="1809" t="str">
        <f t="shared" si="15"/>
        <v>市政基础设施</v>
      </c>
      <c r="AA40" s="1806">
        <f t="shared" si="3"/>
        <v>1</v>
      </c>
      <c r="AB40" s="1806">
        <f t="shared" si="4"/>
        <v>1</v>
      </c>
      <c r="AC40" s="2667">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v>2</v>
      </c>
      <c r="L41" s="1135"/>
      <c r="M41" s="1126"/>
      <c r="N41" s="1126"/>
      <c r="O41" s="1126"/>
      <c r="P41" s="3267"/>
      <c r="Q41" s="1805" t="str">
        <f t="shared" si="11"/>
        <v>层高</v>
      </c>
      <c r="R41" s="771" t="s">
        <v>17</v>
      </c>
      <c r="S41" s="772">
        <f t="shared" si="12"/>
        <v>100</v>
      </c>
      <c r="T41" s="771" t="s">
        <v>17</v>
      </c>
      <c r="U41" s="772">
        <f t="shared" si="13"/>
        <v>100</v>
      </c>
      <c r="V41" s="771" t="s">
        <v>17</v>
      </c>
      <c r="W41" s="772">
        <f t="shared" si="14"/>
        <v>100</v>
      </c>
      <c r="X41" s="1808"/>
      <c r="Y41" s="3269"/>
      <c r="Z41" s="1809" t="str">
        <f t="shared" si="15"/>
        <v>层高</v>
      </c>
      <c r="AA41" s="1806">
        <f t="shared" si="3"/>
        <v>1</v>
      </c>
      <c r="AB41" s="1806">
        <f t="shared" si="4"/>
        <v>1</v>
      </c>
      <c r="AC41" s="2667">
        <f t="shared" si="5"/>
        <v>1</v>
      </c>
    </row>
    <row r="42" spans="1:29" s="470" customFormat="1" ht="15">
      <c r="A42" s="467"/>
      <c r="B42" s="1807" t="s">
        <v>2683</v>
      </c>
      <c r="C42" s="433"/>
      <c r="D42" s="434">
        <v>100</v>
      </c>
      <c r="E42" s="433">
        <v>200</v>
      </c>
      <c r="F42" s="460">
        <f>SUMIF(121:121,E42,122:122)-SUMIF(121:121,C42,122:122)+100</f>
        <v>100</v>
      </c>
      <c r="G42" s="433">
        <v>230</v>
      </c>
      <c r="H42" s="434">
        <f>SUMIF(121:121,G42,122:122)-SUMIF(121:121,C42,122:122)+100</f>
        <v>100</v>
      </c>
      <c r="I42" s="433">
        <v>142</v>
      </c>
      <c r="J42" s="434">
        <f>SUMIF(121:121,I42,122:122)-SUMIF(121:121,C42,122:122)+100</f>
        <v>100</v>
      </c>
      <c r="K42" s="612"/>
      <c r="L42" s="1133"/>
      <c r="M42" s="1136"/>
      <c r="N42" s="1136"/>
      <c r="O42" s="1136"/>
      <c r="P42" s="3267"/>
      <c r="Q42" s="773" t="str">
        <f t="shared" si="11"/>
        <v>单套建筑面积</v>
      </c>
      <c r="R42" s="774" t="s">
        <v>17</v>
      </c>
      <c r="S42" s="775">
        <f t="shared" si="12"/>
        <v>100</v>
      </c>
      <c r="T42" s="774" t="s">
        <v>17</v>
      </c>
      <c r="U42" s="775">
        <f t="shared" si="13"/>
        <v>100</v>
      </c>
      <c r="V42" s="774" t="s">
        <v>17</v>
      </c>
      <c r="W42" s="775">
        <f t="shared" si="14"/>
        <v>100</v>
      </c>
      <c r="X42" s="776"/>
      <c r="Y42" s="3269"/>
      <c r="Z42" s="777" t="str">
        <f t="shared" si="15"/>
        <v>单套建筑面积</v>
      </c>
      <c r="AA42" s="1806">
        <f t="shared" si="3"/>
        <v>1</v>
      </c>
      <c r="AB42" s="1806">
        <f t="shared" si="4"/>
        <v>1</v>
      </c>
      <c r="AC42" s="2667">
        <f t="shared" si="5"/>
        <v>1</v>
      </c>
    </row>
    <row r="43" spans="1:29" ht="15">
      <c r="A43" s="471"/>
      <c r="B43" s="421" t="s">
        <v>2655</v>
      </c>
      <c r="C43" s="459" t="s">
        <v>3077</v>
      </c>
      <c r="D43" s="434">
        <v>100</v>
      </c>
      <c r="E43" s="459" t="s">
        <v>3077</v>
      </c>
      <c r="F43" s="460">
        <f>SUMIF(123:123,E43,124:124)-SUMIF(123:123,C43,124:124)+100</f>
        <v>100</v>
      </c>
      <c r="G43" s="459" t="s">
        <v>3077</v>
      </c>
      <c r="H43" s="434">
        <f>SUMIF(123:123,G43,124:124)-SUMIF(123:123,C43,124:124)+100</f>
        <v>100</v>
      </c>
      <c r="I43" s="459" t="s">
        <v>3077</v>
      </c>
      <c r="J43" s="434">
        <f>SUMIF(123:123,I43,124:124)-SUMIF(123:123,C43,124:124)+100</f>
        <v>100</v>
      </c>
      <c r="K43" s="611">
        <v>2</v>
      </c>
      <c r="L43" s="1135"/>
      <c r="M43" s="1126"/>
      <c r="N43" s="1126"/>
      <c r="O43" s="1126"/>
      <c r="P43" s="3267"/>
      <c r="Q43" s="1805" t="str">
        <f t="shared" si="11"/>
        <v>内部装修</v>
      </c>
      <c r="R43" s="771" t="s">
        <v>17</v>
      </c>
      <c r="S43" s="772">
        <f t="shared" si="12"/>
        <v>100</v>
      </c>
      <c r="T43" s="771" t="s">
        <v>17</v>
      </c>
      <c r="U43" s="772">
        <f t="shared" si="13"/>
        <v>100</v>
      </c>
      <c r="V43" s="771" t="s">
        <v>17</v>
      </c>
      <c r="W43" s="772">
        <f t="shared" si="14"/>
        <v>100</v>
      </c>
      <c r="X43" s="1808"/>
      <c r="Y43" s="3269"/>
      <c r="Z43" s="1809" t="str">
        <f t="shared" si="15"/>
        <v>内部装修</v>
      </c>
      <c r="AA43" s="1806">
        <f t="shared" si="3"/>
        <v>1</v>
      </c>
      <c r="AB43" s="1806">
        <f t="shared" si="4"/>
        <v>1</v>
      </c>
      <c r="AC43" s="2667">
        <f t="shared" si="5"/>
        <v>1</v>
      </c>
    </row>
    <row r="44" spans="1:29" ht="15.75" thickBot="1">
      <c r="A44" s="471"/>
      <c r="B44" s="421" t="s">
        <v>2564</v>
      </c>
      <c r="C44" s="459" t="s">
        <v>3096</v>
      </c>
      <c r="D44" s="434">
        <v>100</v>
      </c>
      <c r="E44" s="459" t="s">
        <v>3096</v>
      </c>
      <c r="F44" s="460">
        <f>SUMIF(125:125,E44,126:126)-SUMIF(125:125,C44,126:126)+100</f>
        <v>100</v>
      </c>
      <c r="G44" s="459" t="s">
        <v>3096</v>
      </c>
      <c r="H44" s="434">
        <f>SUMIF(125:125,G44,126:126)-SUMIF(125:125,C44,126:126)+100</f>
        <v>100</v>
      </c>
      <c r="I44" s="459" t="s">
        <v>3096</v>
      </c>
      <c r="J44" s="434">
        <f>SUMIF(125:125,I44,126:126)-SUMIF(125:125,C44,126:126)+100</f>
        <v>100</v>
      </c>
      <c r="K44" s="611">
        <v>2</v>
      </c>
      <c r="L44" s="1135"/>
      <c r="M44" s="1126"/>
      <c r="N44" s="1126"/>
      <c r="O44" s="1126"/>
      <c r="P44" s="3267"/>
      <c r="Q44" s="1805" t="str">
        <f t="shared" si="11"/>
        <v>内部装修维护情况</v>
      </c>
      <c r="R44" s="771" t="s">
        <v>17</v>
      </c>
      <c r="S44" s="772">
        <f t="shared" si="12"/>
        <v>100</v>
      </c>
      <c r="T44" s="771" t="s">
        <v>17</v>
      </c>
      <c r="U44" s="772">
        <f t="shared" si="13"/>
        <v>100</v>
      </c>
      <c r="V44" s="771" t="s">
        <v>17</v>
      </c>
      <c r="W44" s="772">
        <f t="shared" si="14"/>
        <v>100</v>
      </c>
      <c r="X44" s="1808"/>
      <c r="Y44" s="3269"/>
      <c r="Z44" s="1809" t="str">
        <f t="shared" si="15"/>
        <v>内部装修维护情况</v>
      </c>
      <c r="AA44" s="1806">
        <f t="shared" si="3"/>
        <v>1</v>
      </c>
      <c r="AB44" s="1806">
        <f t="shared" si="4"/>
        <v>1</v>
      </c>
      <c r="AC44" s="2667">
        <f t="shared" si="5"/>
        <v>1</v>
      </c>
    </row>
    <row r="45" spans="1:29" s="117" customFormat="1" ht="15" hidden="1">
      <c r="A45" s="472"/>
      <c r="B45" s="1381"/>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7"/>
      <c r="M45" s="1128"/>
      <c r="N45" s="1128"/>
      <c r="O45" s="1128"/>
      <c r="P45" s="3267"/>
      <c r="Q45" s="1790">
        <f t="shared" si="11"/>
        <v>0</v>
      </c>
      <c r="R45" s="767" t="s">
        <v>17</v>
      </c>
      <c r="S45" s="768">
        <f t="shared" si="12"/>
        <v>100</v>
      </c>
      <c r="T45" s="767" t="s">
        <v>17</v>
      </c>
      <c r="U45" s="768">
        <f t="shared" si="13"/>
        <v>100</v>
      </c>
      <c r="V45" s="767" t="s">
        <v>17</v>
      </c>
      <c r="W45" s="768">
        <f t="shared" si="14"/>
        <v>100</v>
      </c>
      <c r="X45" s="769"/>
      <c r="Y45" s="3269"/>
      <c r="Z45" s="55">
        <f t="shared" si="15"/>
        <v>0</v>
      </c>
      <c r="AA45" s="770">
        <f t="shared" si="3"/>
        <v>1</v>
      </c>
      <c r="AB45" s="770">
        <f t="shared" si="4"/>
        <v>1</v>
      </c>
      <c r="AC45" s="2664">
        <f t="shared" si="5"/>
        <v>1</v>
      </c>
    </row>
    <row r="46" spans="1:29" ht="15" hidden="1">
      <c r="A46" s="471"/>
      <c r="B46" s="1381"/>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67"/>
      <c r="Q46" s="1805">
        <f t="shared" si="11"/>
        <v>0</v>
      </c>
      <c r="R46" s="771" t="s">
        <v>17</v>
      </c>
      <c r="S46" s="772">
        <f t="shared" si="12"/>
        <v>100</v>
      </c>
      <c r="T46" s="771" t="s">
        <v>17</v>
      </c>
      <c r="U46" s="772">
        <f t="shared" si="13"/>
        <v>100</v>
      </c>
      <c r="V46" s="771" t="s">
        <v>17</v>
      </c>
      <c r="W46" s="772">
        <f t="shared" si="14"/>
        <v>100</v>
      </c>
      <c r="X46" s="1808"/>
      <c r="Y46" s="3269"/>
      <c r="Z46" s="1809">
        <f t="shared" si="15"/>
        <v>0</v>
      </c>
      <c r="AA46" s="1806">
        <f t="shared" si="3"/>
        <v>1</v>
      </c>
      <c r="AB46" s="1806">
        <f t="shared" si="4"/>
        <v>1</v>
      </c>
      <c r="AC46" s="2667">
        <f t="shared" si="5"/>
        <v>1</v>
      </c>
    </row>
    <row r="47" spans="1:29" ht="15.75" hidden="1" thickBot="1">
      <c r="A47" s="477"/>
      <c r="B47" s="2595"/>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68"/>
      <c r="Q47" s="1805">
        <f t="shared" si="11"/>
        <v>0</v>
      </c>
      <c r="R47" s="771" t="s">
        <v>17</v>
      </c>
      <c r="S47" s="772">
        <f t="shared" si="12"/>
        <v>100</v>
      </c>
      <c r="T47" s="771" t="s">
        <v>17</v>
      </c>
      <c r="U47" s="772">
        <f t="shared" si="13"/>
        <v>100</v>
      </c>
      <c r="V47" s="771" t="s">
        <v>17</v>
      </c>
      <c r="W47" s="772">
        <f t="shared" si="14"/>
        <v>100</v>
      </c>
      <c r="X47" s="1808"/>
      <c r="Y47" s="3270"/>
      <c r="Z47" s="1809">
        <f t="shared" si="15"/>
        <v>0</v>
      </c>
      <c r="AA47" s="1806">
        <f t="shared" si="3"/>
        <v>1</v>
      </c>
      <c r="AB47" s="1806">
        <f t="shared" si="4"/>
        <v>1</v>
      </c>
      <c r="AC47" s="2667">
        <f t="shared" si="5"/>
        <v>1</v>
      </c>
    </row>
    <row r="48" spans="1:29" ht="15">
      <c r="A48" s="478" t="s">
        <v>2565</v>
      </c>
      <c r="B48" s="479"/>
      <c r="C48" s="1402" t="s">
        <v>1</v>
      </c>
      <c r="D48" s="1403"/>
      <c r="E48" s="1404">
        <f>ROUND(790/200*10000,0)</f>
        <v>39500</v>
      </c>
      <c r="F48" s="1405"/>
      <c r="G48" s="1406">
        <f>44000</f>
        <v>44000</v>
      </c>
      <c r="H48" s="1407"/>
      <c r="I48" s="1404">
        <f>43000</f>
        <v>43000</v>
      </c>
      <c r="J48" s="484"/>
      <c r="K48" s="780"/>
      <c r="L48" s="1138"/>
      <c r="M48" s="1126"/>
      <c r="N48" s="1126"/>
      <c r="O48" s="1126"/>
      <c r="P48" s="3242" t="str">
        <f>A48</f>
        <v>成交单价（元/平方米）</v>
      </c>
      <c r="Q48" s="3271"/>
      <c r="R48" s="3272">
        <f>E48</f>
        <v>39500</v>
      </c>
      <c r="S48" s="3272"/>
      <c r="T48" s="3272">
        <f>G48</f>
        <v>44000</v>
      </c>
      <c r="U48" s="3272"/>
      <c r="V48" s="3272">
        <f>I48</f>
        <v>43000</v>
      </c>
      <c r="W48" s="3272"/>
      <c r="X48" s="445"/>
      <c r="Y48" s="778"/>
      <c r="Z48" s="445"/>
      <c r="AA48" s="445"/>
      <c r="AB48" s="445"/>
      <c r="AC48" s="627"/>
    </row>
    <row r="49" spans="1:29" ht="15.75" thickBot="1">
      <c r="A49" s="485" t="s">
        <v>2656</v>
      </c>
      <c r="B49" s="486"/>
      <c r="C49" s="1408">
        <f>R50</f>
        <v>41332</v>
      </c>
      <c r="D49" s="1409"/>
      <c r="E49" s="1410">
        <f>R49</f>
        <v>40302</v>
      </c>
      <c r="F49" s="1410"/>
      <c r="G49" s="1408">
        <f>T49</f>
        <v>42328</v>
      </c>
      <c r="H49" s="1409"/>
      <c r="I49" s="1410">
        <f>V49</f>
        <v>41366</v>
      </c>
      <c r="J49" s="488"/>
      <c r="K49" s="781"/>
      <c r="L49" s="1138"/>
      <c r="M49" s="1126"/>
      <c r="N49" s="1126"/>
      <c r="O49" s="1126"/>
      <c r="P49" s="3242" t="str">
        <f>A49</f>
        <v>比较价值（元/平方米）</v>
      </c>
      <c r="Q49" s="3271"/>
      <c r="R49" s="3272">
        <f>IF(F1="售价",ROUND(PRODUCT(R48,AA7:AA47),0),ROUND(PRODUCT(R48,AA7:AA47),1))</f>
        <v>40302</v>
      </c>
      <c r="S49" s="3272"/>
      <c r="T49" s="3272">
        <f>IF(F1="售价",ROUND(PRODUCT(T48,AB7:AB47),0),ROUND(PRODUCT(T48,AB7:AB47),1))</f>
        <v>42328</v>
      </c>
      <c r="U49" s="3272"/>
      <c r="V49" s="3272">
        <f>IF(F1="售价",ROUND(PRODUCT(V48,AC7:AC47),0),ROUND(PRODUCT(V48,AC7:AC47),1))</f>
        <v>41366</v>
      </c>
      <c r="W49" s="3272"/>
      <c r="X49" s="445"/>
      <c r="Y49" s="445"/>
      <c r="Z49" s="445"/>
      <c r="AA49" s="445"/>
      <c r="AB49" s="445"/>
      <c r="AC49" s="627"/>
    </row>
    <row r="50" spans="1:29" ht="15.75" thickBot="1">
      <c r="A50" s="491" t="s">
        <v>3114</v>
      </c>
      <c r="B50" s="492"/>
      <c r="C50" s="1412">
        <f>R50</f>
        <v>41332</v>
      </c>
      <c r="D50" s="1412"/>
      <c r="E50" s="1412"/>
      <c r="F50" s="1412"/>
      <c r="G50" s="1412"/>
      <c r="H50" s="1412"/>
      <c r="I50" s="1412"/>
      <c r="J50" s="493"/>
      <c r="K50" s="782"/>
      <c r="L50" s="1138"/>
      <c r="M50" s="1126"/>
      <c r="N50" s="1126"/>
      <c r="O50" s="1126"/>
      <c r="P50" s="3273" t="str">
        <f>A50</f>
        <v>估价对象办公用房的比较价值（楼面单价，元/平方米）</v>
      </c>
      <c r="Q50" s="3274"/>
      <c r="R50" s="3275">
        <f>IF(F1="售价",ROUND(AVERAGE(R49:V49),0),ROUND(AVERAGE(R49:V49),1))</f>
        <v>41332</v>
      </c>
      <c r="S50" s="3275"/>
      <c r="T50" s="3275"/>
      <c r="U50" s="3275"/>
      <c r="V50" s="3275"/>
      <c r="W50" s="3275"/>
      <c r="X50" s="2647"/>
      <c r="Y50" s="2647"/>
      <c r="Z50" s="2647"/>
      <c r="AA50" s="2647"/>
      <c r="AB50" s="2647"/>
      <c r="AC50" s="2648"/>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2658</v>
      </c>
      <c r="D53" s="497"/>
      <c r="E53" s="498">
        <f>IF(E48&lt;E49,E49/E48-1,E48/E49-1)</f>
        <v>2.0303797468354423E-2</v>
      </c>
      <c r="F53" s="499" t="str">
        <f>IF(OR(E53&gt;=0.3,E53&lt;=-0.3),"超过30%","")</f>
        <v/>
      </c>
      <c r="G53" s="498">
        <f>IF(G48&lt;G49,G49/G48-1,G48/G49-1)</f>
        <v>3.9501039501039559E-2</v>
      </c>
      <c r="H53" s="499" t="str">
        <f>IF(OR(G53&gt;=0.3,G53&lt;=-0.3),"超过30%","")</f>
        <v/>
      </c>
      <c r="I53" s="498">
        <f>IF(I48&lt;I49,I49/I48-1,I48/I49-1)</f>
        <v>3.9501039501039559E-2</v>
      </c>
      <c r="J53" s="499" t="str">
        <f>IF(OR(I53&gt;=0.3,I53&lt;=-0.3),"超过30%","")</f>
        <v/>
      </c>
      <c r="K53" s="1100"/>
      <c r="L53" s="1101"/>
      <c r="M53" s="1139"/>
      <c r="N53" s="1139"/>
      <c r="O53" s="1139"/>
    </row>
    <row r="54" spans="1:29" ht="13.5" customHeight="1">
      <c r="A54" s="1139"/>
      <c r="B54" s="1139"/>
      <c r="C54" s="496" t="s">
        <v>2659</v>
      </c>
      <c r="D54" s="500"/>
      <c r="E54" s="498">
        <f>IF(E49&lt;G49,G49/E49-1,E49/G49-1)</f>
        <v>5.0270458041784538E-2</v>
      </c>
      <c r="F54" s="499" t="str">
        <f>IF(OR(E54&gt;=0.2,E54&lt;=-0.2),"超过20%","")</f>
        <v/>
      </c>
      <c r="G54" s="498">
        <f>IF(G49&lt;I49,I49/G49-1,G49/I49-1)</f>
        <v>2.3255813953488413E-2</v>
      </c>
      <c r="H54" s="499" t="str">
        <f>IF(OR(G54&gt;=0.2,G54&lt;=-0.2),"超过20%","")</f>
        <v/>
      </c>
      <c r="I54" s="498">
        <f>IF(I49&lt;E49,E49/I49-1,I49/E49-1)</f>
        <v>2.6400674904471177E-2</v>
      </c>
      <c r="J54" s="499" t="str">
        <f>IF(OR(I54&gt;=0.2,I54&lt;=-0.2),"超过20%","")</f>
        <v/>
      </c>
      <c r="K54" s="1100"/>
      <c r="L54" s="1101"/>
      <c r="M54" s="1139"/>
      <c r="N54" s="1139"/>
      <c r="O54" s="1139"/>
    </row>
    <row r="55" spans="1:29" s="501" customFormat="1" ht="13.5" customHeight="1">
      <c r="A55" s="1140"/>
      <c r="B55" s="1140"/>
      <c r="C55" s="496" t="s">
        <v>2660</v>
      </c>
      <c r="D55" s="500"/>
      <c r="E55" s="498">
        <f>IF(E48&lt;G48,G48/E48-1,E48/G48-1)</f>
        <v>0.11392405063291133</v>
      </c>
      <c r="F55" s="499" t="str">
        <f>IF(OR(E55&gt;=0.3,E55&lt;=-0.3),"超过30%","")</f>
        <v/>
      </c>
      <c r="G55" s="498">
        <f>IF(G48&lt;I48,I48/G48-1,G48/I48-1)</f>
        <v>2.3255813953488413E-2</v>
      </c>
      <c r="H55" s="499" t="str">
        <f>IF(OR(G55&gt;=0.3,G55&lt;=-0.3),"超过30%","")</f>
        <v/>
      </c>
      <c r="I55" s="498">
        <f>IF(I48&lt;E48,E48/I48-1,I48/E48-1)</f>
        <v>8.8607594936708889E-2</v>
      </c>
      <c r="J55" s="499" t="str">
        <f>IF(OR(I55&gt;=0.3,I55&lt;=-0.3),"超过30%","")</f>
        <v/>
      </c>
      <c r="K55" s="1143"/>
      <c r="L55" s="1144"/>
      <c r="M55" s="1140"/>
      <c r="N55" s="1140"/>
      <c r="O55" s="1140"/>
      <c r="P55" s="2673"/>
    </row>
    <row r="56" spans="1:29" s="501" customFormat="1">
      <c r="A56" s="1140"/>
      <c r="B56" s="1141"/>
      <c r="C56" s="1145"/>
      <c r="D56" s="1140"/>
      <c r="E56" s="1140"/>
      <c r="F56" s="1140"/>
      <c r="G56" s="1140"/>
      <c r="H56" s="1140"/>
      <c r="I56" s="1140"/>
      <c r="J56" s="1140"/>
      <c r="K56" s="1143"/>
      <c r="L56" s="1144"/>
      <c r="M56" s="1140"/>
      <c r="N56" s="1140"/>
      <c r="O56" s="1140"/>
      <c r="P56" s="2673"/>
    </row>
    <row r="57" spans="1:29">
      <c r="A57" s="1139"/>
      <c r="B57" s="1141"/>
      <c r="C57" s="1145"/>
      <c r="D57" s="1139"/>
      <c r="E57" s="1139"/>
      <c r="F57" s="1139"/>
      <c r="G57" s="1139"/>
      <c r="H57" s="1139"/>
      <c r="I57" s="1139"/>
      <c r="J57" s="1139"/>
      <c r="K57" s="1100"/>
      <c r="L57" s="1101"/>
      <c r="M57" s="1139"/>
      <c r="N57" s="1139"/>
      <c r="O57" s="1139"/>
    </row>
    <row r="58" spans="1:29" ht="21.75" thickBot="1">
      <c r="A58" s="760" t="s">
        <v>2661</v>
      </c>
      <c r="B58" s="756"/>
      <c r="C58" s="761"/>
      <c r="D58" s="761"/>
      <c r="E58" s="761"/>
      <c r="F58" s="762"/>
      <c r="G58" s="762"/>
      <c r="H58" s="761"/>
      <c r="I58" s="761"/>
      <c r="J58" s="761"/>
      <c r="K58" s="763"/>
      <c r="L58" s="1156"/>
      <c r="M58" s="1154"/>
      <c r="N58" s="1154"/>
      <c r="O58" s="1154"/>
      <c r="P58" s="2674"/>
      <c r="Q58" s="503"/>
    </row>
    <row r="59" spans="1:29" s="507" customFormat="1" ht="15">
      <c r="A59" s="504" t="s">
        <v>2536</v>
      </c>
      <c r="B59" s="505"/>
      <c r="C59" s="1569" t="str">
        <f>YEAR(C7)&amp;"-"&amp;MONTH(C7)</f>
        <v>2018-3</v>
      </c>
      <c r="D59" s="1570">
        <f>EDATE(C59,-1)</f>
        <v>43132</v>
      </c>
      <c r="E59" s="1570">
        <f>EDATE(D59,-1)</f>
        <v>43101</v>
      </c>
      <c r="F59" s="1570">
        <f t="shared" ref="F59:O59" si="16">EDATE(E59,-1)</f>
        <v>43070</v>
      </c>
      <c r="G59" s="1570">
        <f t="shared" si="16"/>
        <v>43040</v>
      </c>
      <c r="H59" s="1570">
        <f t="shared" si="16"/>
        <v>43009</v>
      </c>
      <c r="I59" s="1570">
        <f t="shared" si="16"/>
        <v>42979</v>
      </c>
      <c r="J59" s="1570">
        <f t="shared" si="16"/>
        <v>42948</v>
      </c>
      <c r="K59" s="1570">
        <f t="shared" si="16"/>
        <v>42917</v>
      </c>
      <c r="L59" s="1570">
        <f t="shared" si="16"/>
        <v>42887</v>
      </c>
      <c r="M59" s="1570">
        <f t="shared" si="16"/>
        <v>42856</v>
      </c>
      <c r="N59" s="1570">
        <f t="shared" si="16"/>
        <v>42826</v>
      </c>
      <c r="O59" s="1570">
        <f t="shared" si="16"/>
        <v>42795</v>
      </c>
      <c r="P59" s="1566"/>
    </row>
    <row r="60" spans="1:29" s="117" customFormat="1" ht="15">
      <c r="A60" s="508"/>
      <c r="B60" s="509"/>
      <c r="C60" s="1568">
        <v>100</v>
      </c>
      <c r="D60" s="511"/>
      <c r="E60" s="511"/>
      <c r="F60" s="511"/>
      <c r="G60" s="511"/>
      <c r="H60" s="511"/>
      <c r="I60" s="511"/>
      <c r="J60" s="511"/>
      <c r="K60" s="511"/>
      <c r="L60" s="511"/>
      <c r="M60" s="512"/>
      <c r="N60" s="511"/>
      <c r="O60" s="512"/>
      <c r="P60" s="2675"/>
    </row>
    <row r="61" spans="1:29" s="117" customFormat="1" ht="15.75" thickBot="1">
      <c r="A61" s="514" t="s">
        <v>2573</v>
      </c>
      <c r="B61" s="515"/>
      <c r="C61" s="516"/>
      <c r="D61" s="517"/>
      <c r="E61" s="517"/>
      <c r="F61" s="517"/>
      <c r="G61" s="517"/>
      <c r="H61" s="517"/>
      <c r="I61" s="517"/>
      <c r="J61" s="517"/>
      <c r="K61" s="517"/>
      <c r="L61" s="517"/>
      <c r="M61" s="518"/>
      <c r="N61" s="517"/>
      <c r="O61" s="518"/>
      <c r="P61" s="2675"/>
      <c r="Q61" s="503"/>
    </row>
    <row r="62" spans="1:29" s="117" customFormat="1" ht="15">
      <c r="A62" s="520" t="s">
        <v>2538</v>
      </c>
      <c r="B62" s="509"/>
      <c r="C62" s="521" t="s">
        <v>2640</v>
      </c>
      <c r="D62" s="522"/>
      <c r="E62" s="522"/>
      <c r="F62" s="522"/>
      <c r="G62" s="522"/>
      <c r="H62" s="522"/>
      <c r="I62" s="522"/>
      <c r="J62" s="522"/>
      <c r="K62" s="522"/>
      <c r="L62" s="523"/>
      <c r="M62" s="524"/>
      <c r="N62" s="1146"/>
      <c r="O62" s="1146"/>
      <c r="P62" s="2676"/>
      <c r="Q62" s="503"/>
    </row>
    <row r="63" spans="1:29" s="117" customFormat="1" ht="15.75" thickBot="1">
      <c r="A63" s="520"/>
      <c r="B63" s="509"/>
      <c r="C63" s="510">
        <v>100</v>
      </c>
      <c r="D63" s="511"/>
      <c r="E63" s="511"/>
      <c r="F63" s="511"/>
      <c r="G63" s="511"/>
      <c r="H63" s="511"/>
      <c r="I63" s="511"/>
      <c r="J63" s="511"/>
      <c r="K63" s="511"/>
      <c r="L63" s="511"/>
      <c r="M63" s="513"/>
      <c r="N63" s="1146"/>
      <c r="O63" s="1146"/>
      <c r="P63" s="2675"/>
      <c r="Q63" s="503"/>
    </row>
    <row r="64" spans="1:29">
      <c r="A64" s="526" t="s">
        <v>2576</v>
      </c>
      <c r="B64" s="527" t="s">
        <v>2542</v>
      </c>
      <c r="C64" s="528" t="str">
        <f>C9</f>
        <v>办公</v>
      </c>
      <c r="D64" s="529"/>
      <c r="E64" s="529"/>
      <c r="F64" s="529"/>
      <c r="G64" s="529"/>
      <c r="H64" s="529"/>
      <c r="I64" s="529"/>
      <c r="J64" s="529"/>
      <c r="K64" s="530"/>
      <c r="L64" s="531"/>
      <c r="M64" s="532"/>
      <c r="N64" s="1147"/>
      <c r="O64" s="1147"/>
      <c r="P64" s="2677"/>
      <c r="Q64" s="503"/>
    </row>
    <row r="65" spans="1:17" ht="15.75" thickBot="1">
      <c r="A65" s="533"/>
      <c r="B65" s="534"/>
      <c r="C65" s="535">
        <v>100</v>
      </c>
      <c r="D65" s="535"/>
      <c r="E65" s="535"/>
      <c r="F65" s="535"/>
      <c r="G65" s="535"/>
      <c r="H65" s="535"/>
      <c r="I65" s="535"/>
      <c r="J65" s="535"/>
      <c r="K65" s="535"/>
      <c r="L65" s="535"/>
      <c r="M65" s="536"/>
      <c r="N65" s="1148"/>
      <c r="O65" s="1148"/>
      <c r="P65" s="2677"/>
      <c r="Q65" s="503"/>
    </row>
    <row r="66" spans="1:17" ht="28.5" thickTop="1">
      <c r="A66" s="533"/>
      <c r="B66" s="537" t="s">
        <v>2545</v>
      </c>
      <c r="C66" s="538" t="s">
        <v>2577</v>
      </c>
      <c r="D66" s="538" t="s">
        <v>2578</v>
      </c>
      <c r="E66" s="538" t="s">
        <v>2579</v>
      </c>
      <c r="F66" s="538" t="s">
        <v>2580</v>
      </c>
      <c r="G66" s="538" t="s">
        <v>2581</v>
      </c>
      <c r="H66" s="538" t="s">
        <v>2582</v>
      </c>
      <c r="I66" s="538" t="s">
        <v>2583</v>
      </c>
      <c r="J66" s="538"/>
      <c r="K66" s="539"/>
      <c r="L66" s="540"/>
      <c r="M66" s="541"/>
      <c r="N66" s="1147"/>
      <c r="O66" s="1147"/>
      <c r="P66" s="267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48"/>
      <c r="O67" s="1148"/>
      <c r="P67" s="2677"/>
      <c r="Q67" s="503"/>
    </row>
    <row r="68" spans="1:17" ht="15.75" thickTop="1">
      <c r="A68" s="533"/>
      <c r="B68" s="545" t="s">
        <v>2546</v>
      </c>
      <c r="C68" s="546" t="str">
        <f>C69&amp;"（含）"&amp;"-"&amp;D69</f>
        <v>0（含）-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7"/>
      <c r="Q68" s="503"/>
    </row>
    <row r="69" spans="1:17" ht="15">
      <c r="A69" s="533"/>
      <c r="B69" s="547"/>
      <c r="C69" s="548">
        <v>0</v>
      </c>
      <c r="D69" s="548"/>
      <c r="E69" s="548"/>
      <c r="F69" s="548"/>
      <c r="G69" s="548"/>
      <c r="H69" s="548"/>
      <c r="I69" s="548"/>
      <c r="J69" s="548"/>
      <c r="K69" s="549"/>
      <c r="L69" s="550"/>
      <c r="M69" s="551"/>
      <c r="N69" s="1147"/>
      <c r="O69" s="1147"/>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77"/>
      <c r="Q70" s="503"/>
    </row>
    <row r="71" spans="1:17" s="470" customFormat="1" ht="15.75" hidden="1" thickTop="1">
      <c r="A71" s="552"/>
      <c r="B71" s="537" t="str">
        <f>B12</f>
        <v>建成年代</v>
      </c>
      <c r="C71" s="553"/>
      <c r="D71" s="553"/>
      <c r="E71" s="553"/>
      <c r="F71" s="553"/>
      <c r="G71" s="553"/>
      <c r="H71" s="554"/>
      <c r="I71" s="554"/>
      <c r="J71" s="554"/>
      <c r="K71" s="554"/>
      <c r="L71" s="555"/>
      <c r="M71" s="556"/>
      <c r="N71" s="1149"/>
      <c r="O71" s="1149"/>
      <c r="P71" s="2678"/>
      <c r="Q71" s="558"/>
    </row>
    <row r="72" spans="1:17" s="470" customFormat="1" ht="15.75" hidden="1" thickBot="1">
      <c r="A72" s="552"/>
      <c r="B72" s="542"/>
      <c r="C72" s="559"/>
      <c r="D72" s="535"/>
      <c r="E72" s="535"/>
      <c r="F72" s="535"/>
      <c r="G72" s="535"/>
      <c r="H72" s="535"/>
      <c r="I72" s="535"/>
      <c r="J72" s="535"/>
      <c r="K72" s="535"/>
      <c r="L72" s="535"/>
      <c r="M72" s="536"/>
      <c r="N72" s="1148"/>
      <c r="O72" s="1148"/>
      <c r="P72" s="2678"/>
      <c r="Q72" s="558"/>
    </row>
    <row r="73" spans="1:17" s="470" customFormat="1" ht="15.75" hidden="1" thickTop="1">
      <c r="A73" s="552"/>
      <c r="B73" s="537">
        <f>B13</f>
        <v>0</v>
      </c>
      <c r="C73" s="553"/>
      <c r="D73" s="553"/>
      <c r="E73" s="553"/>
      <c r="F73" s="553"/>
      <c r="G73" s="553"/>
      <c r="H73" s="554"/>
      <c r="I73" s="554"/>
      <c r="J73" s="554"/>
      <c r="K73" s="554"/>
      <c r="L73" s="555"/>
      <c r="M73" s="556"/>
      <c r="N73" s="1149"/>
      <c r="O73" s="1149"/>
      <c r="P73" s="2679"/>
      <c r="Q73" s="560"/>
    </row>
    <row r="74" spans="1:17" s="470" customFormat="1" ht="15.75" hidden="1" thickBot="1">
      <c r="A74" s="552"/>
      <c r="B74" s="542"/>
      <c r="C74" s="559"/>
      <c r="D74" s="559"/>
      <c r="E74" s="559"/>
      <c r="F74" s="559"/>
      <c r="G74" s="559"/>
      <c r="H74" s="561"/>
      <c r="I74" s="561"/>
      <c r="J74" s="561"/>
      <c r="K74" s="561"/>
      <c r="L74" s="561"/>
      <c r="M74" s="562"/>
      <c r="N74" s="1149"/>
      <c r="O74" s="1149"/>
      <c r="P74" s="2678"/>
      <c r="Q74" s="558"/>
    </row>
    <row r="75" spans="1:17" s="470" customFormat="1" ht="15.75" hidden="1" thickTop="1">
      <c r="A75" s="552"/>
      <c r="B75" s="545">
        <f>B14</f>
        <v>0</v>
      </c>
      <c r="C75" s="522"/>
      <c r="D75" s="522"/>
      <c r="E75" s="522"/>
      <c r="F75" s="522"/>
      <c r="G75" s="522"/>
      <c r="H75" s="563"/>
      <c r="I75" s="563"/>
      <c r="J75" s="563"/>
      <c r="K75" s="563"/>
      <c r="L75" s="564"/>
      <c r="M75" s="565"/>
      <c r="N75" s="1149"/>
      <c r="O75" s="1149"/>
      <c r="P75" s="2680"/>
      <c r="Q75" s="558"/>
    </row>
    <row r="76" spans="1:17" s="470" customFormat="1" ht="15.75" hidden="1" thickBot="1">
      <c r="A76" s="567"/>
      <c r="B76" s="568"/>
      <c r="C76" s="569"/>
      <c r="D76" s="569"/>
      <c r="E76" s="569"/>
      <c r="F76" s="569"/>
      <c r="G76" s="569"/>
      <c r="H76" s="570"/>
      <c r="I76" s="570"/>
      <c r="J76" s="570"/>
      <c r="K76" s="570"/>
      <c r="L76" s="570"/>
      <c r="M76" s="571"/>
      <c r="N76" s="1149"/>
      <c r="O76" s="1149"/>
      <c r="P76" s="2678"/>
      <c r="Q76" s="558"/>
    </row>
    <row r="77" spans="1:17" ht="15" thickTop="1">
      <c r="A77" s="526" t="s">
        <v>2547</v>
      </c>
      <c r="B77" s="527" t="s">
        <v>2684</v>
      </c>
      <c r="C77" s="572" t="s">
        <v>2585</v>
      </c>
      <c r="D77" s="572" t="s">
        <v>2586</v>
      </c>
      <c r="E77" s="572" t="s">
        <v>2587</v>
      </c>
      <c r="F77" s="572" t="s">
        <v>2588</v>
      </c>
      <c r="G77" s="572" t="s">
        <v>2589</v>
      </c>
      <c r="H77" s="528"/>
      <c r="I77" s="528"/>
      <c r="J77" s="528"/>
      <c r="K77" s="573"/>
      <c r="L77" s="574"/>
      <c r="M77" s="575"/>
      <c r="N77" s="1147"/>
      <c r="O77" s="1147"/>
      <c r="P77" s="268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48"/>
      <c r="O78" s="1148"/>
      <c r="P78" s="267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7"/>
      <c r="O79" s="1147"/>
      <c r="P79" s="2677"/>
      <c r="Q79" s="503"/>
    </row>
    <row r="80" spans="1:17" ht="15.75" thickBot="1">
      <c r="A80" s="533"/>
      <c r="B80" s="542"/>
      <c r="C80" s="543">
        <v>100</v>
      </c>
      <c r="D80" s="543">
        <f>C80-$K17</f>
        <v>95</v>
      </c>
      <c r="E80" s="543">
        <f>D80-$K17</f>
        <v>90</v>
      </c>
      <c r="F80" s="543">
        <f>E80-$K17</f>
        <v>85</v>
      </c>
      <c r="G80" s="543">
        <f>F80-$K17</f>
        <v>80</v>
      </c>
      <c r="H80" s="543"/>
      <c r="I80" s="543"/>
      <c r="J80" s="543"/>
      <c r="K80" s="543"/>
      <c r="L80" s="543"/>
      <c r="M80" s="544"/>
      <c r="N80" s="1148"/>
      <c r="O80" s="1148"/>
      <c r="P80" s="267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7"/>
      <c r="O81" s="1147"/>
      <c r="P81" s="2677"/>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8"/>
      <c r="O82" s="1148"/>
      <c r="P82" s="2677"/>
      <c r="Q82" s="503"/>
    </row>
    <row r="83" spans="1:17" ht="15.75" thickTop="1">
      <c r="A83" s="533"/>
      <c r="B83" s="545" t="s">
        <v>2676</v>
      </c>
      <c r="C83" s="657" t="s">
        <v>2662</v>
      </c>
      <c r="D83" s="657" t="s">
        <v>2663</v>
      </c>
      <c r="E83" s="657" t="s">
        <v>2664</v>
      </c>
      <c r="F83" s="657" t="s">
        <v>2665</v>
      </c>
      <c r="G83" s="657" t="s">
        <v>2666</v>
      </c>
      <c r="H83" s="538"/>
      <c r="I83" s="538"/>
      <c r="J83" s="538"/>
      <c r="K83" s="538"/>
      <c r="L83" s="538"/>
      <c r="M83" s="1377"/>
      <c r="N83" s="1148"/>
      <c r="O83" s="1148"/>
      <c r="P83" s="2677"/>
      <c r="Q83" s="503"/>
    </row>
    <row r="84" spans="1:17" ht="15.75" thickBot="1">
      <c r="A84" s="533"/>
      <c r="B84" s="545"/>
      <c r="C84" s="543">
        <v>100</v>
      </c>
      <c r="D84" s="543">
        <f>C84-$K21</f>
        <v>98</v>
      </c>
      <c r="E84" s="543">
        <f>D84-$K21</f>
        <v>96</v>
      </c>
      <c r="F84" s="543">
        <f>E84-$K21</f>
        <v>94</v>
      </c>
      <c r="G84" s="543">
        <f>F84-$K21</f>
        <v>92</v>
      </c>
      <c r="H84" s="657"/>
      <c r="I84" s="657"/>
      <c r="J84" s="657"/>
      <c r="K84" s="657"/>
      <c r="L84" s="657"/>
      <c r="M84" s="449"/>
      <c r="N84" s="1148"/>
      <c r="O84" s="1148"/>
      <c r="P84" s="2677"/>
      <c r="Q84" s="503"/>
    </row>
    <row r="85" spans="1:17" ht="15.75" thickTop="1">
      <c r="A85" s="533"/>
      <c r="B85" s="537" t="s">
        <v>2685</v>
      </c>
      <c r="C85" s="577" t="s">
        <v>2585</v>
      </c>
      <c r="D85" s="577" t="s">
        <v>2586</v>
      </c>
      <c r="E85" s="577" t="s">
        <v>2587</v>
      </c>
      <c r="F85" s="577" t="s">
        <v>2588</v>
      </c>
      <c r="G85" s="577" t="s">
        <v>2589</v>
      </c>
      <c r="H85" s="538"/>
      <c r="I85" s="538"/>
      <c r="J85" s="538"/>
      <c r="K85" s="539"/>
      <c r="L85" s="540"/>
      <c r="M85" s="541"/>
      <c r="N85" s="1147"/>
      <c r="O85" s="1147"/>
      <c r="P85" s="267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8"/>
      <c r="O86" s="1148"/>
      <c r="P86" s="2677"/>
      <c r="Q86" s="503"/>
    </row>
    <row r="87" spans="1:17" s="117" customFormat="1" ht="27.75" thickTop="1">
      <c r="A87" s="578"/>
      <c r="B87" s="537" t="s">
        <v>2686</v>
      </c>
      <c r="C87" s="2948" t="s">
        <v>3087</v>
      </c>
      <c r="D87" s="2948" t="s">
        <v>3088</v>
      </c>
      <c r="E87" s="2948" t="s">
        <v>3089</v>
      </c>
      <c r="F87" s="2948" t="s">
        <v>3090</v>
      </c>
      <c r="G87" s="553"/>
      <c r="H87" s="553"/>
      <c r="I87" s="553"/>
      <c r="J87" s="553"/>
      <c r="K87" s="553"/>
      <c r="L87" s="579"/>
      <c r="M87" s="580"/>
      <c r="N87" s="1146"/>
      <c r="O87" s="1146"/>
      <c r="P87" s="267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8"/>
      <c r="O88" s="1148"/>
      <c r="P88" s="2677"/>
      <c r="Q88" s="503"/>
    </row>
    <row r="89" spans="1:17" s="117" customFormat="1" ht="15.75" thickTop="1">
      <c r="A89" s="578"/>
      <c r="B89" s="537" t="str">
        <f>B27</f>
        <v>楼层</v>
      </c>
      <c r="C89" s="553"/>
      <c r="D89" s="553"/>
      <c r="E89" s="553"/>
      <c r="F89" s="2628"/>
      <c r="G89" s="553"/>
      <c r="H89" s="553"/>
      <c r="I89" s="553"/>
      <c r="J89" s="553"/>
      <c r="K89" s="553"/>
      <c r="L89" s="553"/>
      <c r="M89" s="580"/>
      <c r="N89" s="1146"/>
      <c r="O89" s="1146"/>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7"/>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8"/>
      <c r="Q92" s="558"/>
    </row>
    <row r="93" spans="1:17" ht="15.75" hidden="1" thickTop="1">
      <c r="A93" s="533"/>
      <c r="B93" s="537">
        <f>B29</f>
        <v>0</v>
      </c>
      <c r="C93" s="553"/>
      <c r="D93" s="553"/>
      <c r="E93" s="553"/>
      <c r="F93" s="553"/>
      <c r="G93" s="553"/>
      <c r="H93" s="553"/>
      <c r="I93" s="553"/>
      <c r="J93" s="553"/>
      <c r="K93" s="553"/>
      <c r="L93" s="579"/>
      <c r="M93" s="580"/>
      <c r="N93" s="1147"/>
      <c r="O93" s="1147"/>
      <c r="P93" s="2677"/>
      <c r="Q93" s="503"/>
    </row>
    <row r="94" spans="1:17" ht="15.75" hidden="1" thickBot="1">
      <c r="A94" s="533"/>
      <c r="B94" s="542"/>
      <c r="C94" s="559"/>
      <c r="D94" s="535"/>
      <c r="E94" s="535"/>
      <c r="F94" s="535"/>
      <c r="G94" s="535"/>
      <c r="H94" s="535"/>
      <c r="I94" s="535"/>
      <c r="J94" s="535"/>
      <c r="K94" s="535"/>
      <c r="L94" s="535"/>
      <c r="M94" s="536"/>
      <c r="N94" s="1148"/>
      <c r="O94" s="1148"/>
      <c r="P94" s="2677"/>
      <c r="Q94" s="503"/>
    </row>
    <row r="95" spans="1:17" ht="15.75" hidden="1" thickTop="1">
      <c r="A95" s="533"/>
      <c r="B95" s="537">
        <f>B30</f>
        <v>0</v>
      </c>
      <c r="C95" s="553"/>
      <c r="D95" s="553"/>
      <c r="E95" s="553"/>
      <c r="F95" s="553"/>
      <c r="G95" s="582"/>
      <c r="H95" s="582"/>
      <c r="I95" s="582"/>
      <c r="J95" s="582"/>
      <c r="K95" s="583"/>
      <c r="L95" s="584"/>
      <c r="M95" s="585"/>
      <c r="N95" s="1147"/>
      <c r="O95" s="1147"/>
      <c r="P95" s="2677"/>
      <c r="Q95" s="503"/>
    </row>
    <row r="96" spans="1:17" ht="15.75" hidden="1" thickBot="1">
      <c r="A96" s="533"/>
      <c r="B96" s="542"/>
      <c r="C96" s="559"/>
      <c r="D96" s="559"/>
      <c r="E96" s="559"/>
      <c r="F96" s="559"/>
      <c r="G96" s="535"/>
      <c r="H96" s="535"/>
      <c r="I96" s="535"/>
      <c r="J96" s="535"/>
      <c r="K96" s="535"/>
      <c r="L96" s="535"/>
      <c r="M96" s="536"/>
      <c r="N96" s="1148"/>
      <c r="O96" s="1148"/>
      <c r="P96" s="2677"/>
      <c r="Q96" s="503"/>
    </row>
    <row r="97" spans="1:17" ht="15.75" hidden="1" thickTop="1">
      <c r="A97" s="533"/>
      <c r="B97" s="537">
        <f>B31</f>
        <v>0</v>
      </c>
      <c r="C97" s="553"/>
      <c r="D97" s="553"/>
      <c r="E97" s="553"/>
      <c r="F97" s="553"/>
      <c r="G97" s="582"/>
      <c r="H97" s="582"/>
      <c r="I97" s="582"/>
      <c r="J97" s="582"/>
      <c r="K97" s="583"/>
      <c r="L97" s="584"/>
      <c r="M97" s="585"/>
      <c r="N97" s="1147"/>
      <c r="O97" s="1147"/>
      <c r="P97" s="2677"/>
      <c r="Q97" s="503"/>
    </row>
    <row r="98" spans="1:17" ht="15.75" hidden="1" thickBot="1">
      <c r="A98" s="533"/>
      <c r="B98" s="542"/>
      <c r="C98" s="559"/>
      <c r="D98" s="535"/>
      <c r="E98" s="535"/>
      <c r="F98" s="535"/>
      <c r="G98" s="535"/>
      <c r="H98" s="535"/>
      <c r="I98" s="535"/>
      <c r="J98" s="535"/>
      <c r="K98" s="535"/>
      <c r="L98" s="535"/>
      <c r="M98" s="536"/>
      <c r="N98" s="1148"/>
      <c r="O98" s="1148"/>
      <c r="P98" s="2677"/>
      <c r="Q98" s="503"/>
    </row>
    <row r="99" spans="1:17" ht="15.75" hidden="1" thickTop="1">
      <c r="A99" s="533"/>
      <c r="B99" s="545">
        <f>B32</f>
        <v>0</v>
      </c>
      <c r="C99" s="522"/>
      <c r="D99" s="522"/>
      <c r="E99" s="522"/>
      <c r="F99" s="522"/>
      <c r="G99" s="586"/>
      <c r="H99" s="586"/>
      <c r="I99" s="586"/>
      <c r="J99" s="586"/>
      <c r="K99" s="587"/>
      <c r="L99" s="588"/>
      <c r="M99" s="589"/>
      <c r="N99" s="1147"/>
      <c r="O99" s="1147"/>
      <c r="P99" s="2677"/>
      <c r="Q99" s="503"/>
    </row>
    <row r="100" spans="1:17" ht="15.75" hidden="1" thickBot="1">
      <c r="A100" s="2629"/>
      <c r="B100" s="568"/>
      <c r="C100" s="569"/>
      <c r="D100" s="569"/>
      <c r="E100" s="569"/>
      <c r="F100" s="569"/>
      <c r="G100" s="590"/>
      <c r="H100" s="590"/>
      <c r="I100" s="590"/>
      <c r="J100" s="590"/>
      <c r="K100" s="590"/>
      <c r="L100" s="590"/>
      <c r="M100" s="591"/>
      <c r="N100" s="1148"/>
      <c r="O100" s="1148"/>
      <c r="P100" s="2677"/>
      <c r="Q100" s="503"/>
    </row>
    <row r="101" spans="1:17" ht="15" thickTop="1">
      <c r="A101" s="526" t="s">
        <v>2551</v>
      </c>
      <c r="B101" s="527" t="s">
        <v>2600</v>
      </c>
      <c r="C101" s="529"/>
      <c r="D101" s="529"/>
      <c r="E101" s="529"/>
      <c r="F101" s="529"/>
      <c r="G101" s="529"/>
      <c r="H101" s="529"/>
      <c r="I101" s="529"/>
      <c r="J101" s="529"/>
      <c r="K101" s="530"/>
      <c r="L101" s="531"/>
      <c r="M101" s="532"/>
      <c r="N101" s="1147"/>
      <c r="O101" s="1147"/>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7"/>
      <c r="Q102" s="503"/>
    </row>
    <row r="103" spans="1:17" ht="29.25" thickTop="1">
      <c r="A103" s="533"/>
      <c r="B103" s="537" t="s">
        <v>2601</v>
      </c>
      <c r="C103" s="577" t="str">
        <f>C104&amp;"(含)"&amp;"-"&amp;D104</f>
        <v>0(含)-100000</v>
      </c>
      <c r="D103" s="577" t="str">
        <f t="shared" ref="D103:L103" si="23">D104&amp;"(含)"&amp;"-"&amp;E104</f>
        <v>100000(含)-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46"/>
      <c r="O103" s="1146"/>
      <c r="P103" s="2677"/>
      <c r="Q103" s="503"/>
    </row>
    <row r="104" spans="1:17" s="470" customFormat="1">
      <c r="A104" s="592"/>
      <c r="B104" s="593"/>
      <c r="C104" s="594">
        <v>0</v>
      </c>
      <c r="D104" s="594">
        <v>100000</v>
      </c>
      <c r="E104" s="594"/>
      <c r="F104" s="594"/>
      <c r="G104" s="594"/>
      <c r="H104" s="594"/>
      <c r="I104" s="594"/>
      <c r="J104" s="595"/>
      <c r="K104" s="595"/>
      <c r="L104" s="596"/>
      <c r="M104" s="597"/>
      <c r="N104" s="1149"/>
      <c r="O104" s="1149"/>
      <c r="P104" s="2678"/>
      <c r="Q104" s="558"/>
    </row>
    <row r="105" spans="1:17" s="470" customFormat="1" ht="15.75" thickBot="1">
      <c r="A105" s="552"/>
      <c r="B105" s="542"/>
      <c r="C105" s="559">
        <v>100</v>
      </c>
      <c r="D105" s="535">
        <v>101</v>
      </c>
      <c r="E105" s="535"/>
      <c r="F105" s="535"/>
      <c r="G105" s="535"/>
      <c r="H105" s="535"/>
      <c r="I105" s="535"/>
      <c r="J105" s="535"/>
      <c r="K105" s="535"/>
      <c r="L105" s="535"/>
      <c r="M105" s="536"/>
      <c r="N105" s="1148"/>
      <c r="O105" s="1148"/>
      <c r="P105" s="2678"/>
      <c r="Q105" s="558"/>
    </row>
    <row r="106" spans="1:17" ht="15" thickTop="1">
      <c r="A106" s="598"/>
      <c r="B106" s="537" t="s">
        <v>2602</v>
      </c>
      <c r="C106" s="2948" t="s">
        <v>3086</v>
      </c>
      <c r="D106" s="553"/>
      <c r="E106" s="582"/>
      <c r="F106" s="582"/>
      <c r="G106" s="582"/>
      <c r="H106" s="582"/>
      <c r="I106" s="582"/>
      <c r="J106" s="582"/>
      <c r="K106" s="583"/>
      <c r="L106" s="584"/>
      <c r="M106" s="585"/>
      <c r="N106" s="1147"/>
      <c r="O106" s="1147"/>
      <c r="P106" s="267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8"/>
      <c r="O107" s="1148"/>
      <c r="P107" s="2677"/>
      <c r="Q107" s="503"/>
    </row>
    <row r="108" spans="1:17" ht="15" thickTop="1">
      <c r="A108" s="598"/>
      <c r="B108" s="537" t="s">
        <v>2604</v>
      </c>
      <c r="C108" s="2948" t="s">
        <v>3085</v>
      </c>
      <c r="D108" s="553"/>
      <c r="E108" s="553"/>
      <c r="F108" s="582"/>
      <c r="G108" s="582"/>
      <c r="H108" s="582"/>
      <c r="I108" s="582"/>
      <c r="J108" s="582"/>
      <c r="K108" s="583"/>
      <c r="L108" s="584"/>
      <c r="M108" s="585"/>
      <c r="N108" s="1147"/>
      <c r="O108" s="1147"/>
      <c r="P108" s="267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77"/>
      <c r="Q109" s="503"/>
    </row>
    <row r="110" spans="1:17" ht="29.2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7"/>
      <c r="Q110" s="503"/>
    </row>
    <row r="111" spans="1:17">
      <c r="A111" s="598"/>
      <c r="B111" s="545"/>
      <c r="C111" s="602">
        <v>0.5</v>
      </c>
      <c r="D111" s="602">
        <v>0.6</v>
      </c>
      <c r="E111" s="602">
        <v>0.7</v>
      </c>
      <c r="F111" s="602">
        <v>0.8</v>
      </c>
      <c r="G111" s="602">
        <v>0.9</v>
      </c>
      <c r="H111" s="602">
        <v>1.0001</v>
      </c>
      <c r="I111" s="620"/>
      <c r="J111" s="620"/>
      <c r="K111" s="621"/>
      <c r="L111" s="622"/>
      <c r="M111" s="623"/>
      <c r="N111" s="1147"/>
      <c r="O111" s="1147"/>
      <c r="P111" s="2677"/>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8"/>
      <c r="O112" s="1148"/>
      <c r="P112" s="2677"/>
      <c r="Q112" s="503"/>
    </row>
    <row r="113" spans="1:17" s="470" customFormat="1" ht="15" thickTop="1">
      <c r="A113" s="592"/>
      <c r="B113" s="537" t="s">
        <v>2687</v>
      </c>
      <c r="C113" s="2948" t="s">
        <v>3107</v>
      </c>
      <c r="D113" s="2948" t="s">
        <v>3109</v>
      </c>
      <c r="E113" s="2948" t="s">
        <v>3110</v>
      </c>
      <c r="F113" s="553"/>
      <c r="G113" s="553"/>
      <c r="H113" s="582"/>
      <c r="I113" s="582"/>
      <c r="J113" s="582"/>
      <c r="K113" s="583"/>
      <c r="L113" s="584"/>
      <c r="M113" s="585"/>
      <c r="N113" s="1149"/>
      <c r="O113" s="1149"/>
      <c r="P113" s="2678"/>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49"/>
      <c r="O114" s="1149"/>
      <c r="P114" s="2678"/>
      <c r="Q114" s="558"/>
    </row>
    <row r="115" spans="1:17" ht="15" thickTop="1">
      <c r="A115" s="598"/>
      <c r="B115" s="537" t="s">
        <v>2605</v>
      </c>
      <c r="C115" s="2948" t="s">
        <v>3083</v>
      </c>
      <c r="D115" s="553"/>
      <c r="E115" s="582"/>
      <c r="F115" s="582"/>
      <c r="G115" s="582"/>
      <c r="H115" s="582"/>
      <c r="I115" s="582"/>
      <c r="J115" s="582"/>
      <c r="K115" s="583"/>
      <c r="L115" s="584"/>
      <c r="M115" s="585"/>
      <c r="N115" s="1147"/>
      <c r="O115" s="1147"/>
      <c r="P115" s="267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8"/>
      <c r="O116" s="1148"/>
      <c r="P116" s="2677"/>
      <c r="Q116" s="503"/>
    </row>
    <row r="117" spans="1:17" ht="15" thickTop="1">
      <c r="A117" s="598"/>
      <c r="B117" s="537" t="s">
        <v>2606</v>
      </c>
      <c r="C117" s="2948" t="s">
        <v>3081</v>
      </c>
      <c r="D117" s="553"/>
      <c r="E117" s="553"/>
      <c r="F117" s="553"/>
      <c r="G117" s="553"/>
      <c r="H117" s="582"/>
      <c r="I117" s="582"/>
      <c r="J117" s="582"/>
      <c r="K117" s="583"/>
      <c r="L117" s="584"/>
      <c r="M117" s="585"/>
      <c r="N117" s="1147"/>
      <c r="O117" s="1147"/>
      <c r="P117" s="2677"/>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48"/>
      <c r="O118" s="1148"/>
      <c r="P118" s="2677"/>
      <c r="Q118" s="503"/>
    </row>
    <row r="119" spans="1:17" ht="15" thickTop="1">
      <c r="A119" s="598"/>
      <c r="B119" s="633" t="s">
        <v>2688</v>
      </c>
      <c r="C119" s="582"/>
      <c r="D119" s="582"/>
      <c r="E119" s="582"/>
      <c r="F119" s="582"/>
      <c r="G119" s="582"/>
      <c r="H119" s="582"/>
      <c r="I119" s="582"/>
      <c r="J119" s="582"/>
      <c r="K119" s="582"/>
      <c r="L119" s="2682"/>
      <c r="M119" s="2683"/>
      <c r="N119" s="1148"/>
      <c r="O119" s="1148"/>
      <c r="P119" s="2684"/>
      <c r="Q119" s="635"/>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8"/>
      <c r="O120" s="1148"/>
      <c r="P120" s="2677"/>
      <c r="Q120" s="503"/>
    </row>
    <row r="121" spans="1:17" s="470" customFormat="1" ht="15" thickTop="1">
      <c r="A121" s="592"/>
      <c r="B121" s="537" t="s">
        <v>2671</v>
      </c>
      <c r="C121" s="553"/>
      <c r="D121" s="553"/>
      <c r="E121" s="553"/>
      <c r="F121" s="582"/>
      <c r="G121" s="554"/>
      <c r="H121" s="554"/>
      <c r="I121" s="554"/>
      <c r="J121" s="554"/>
      <c r="K121" s="554"/>
      <c r="L121" s="555"/>
      <c r="M121" s="556"/>
      <c r="N121" s="1149"/>
      <c r="O121" s="1149"/>
      <c r="P121" s="2678"/>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8"/>
      <c r="Q122" s="558"/>
    </row>
    <row r="123" spans="1:17" ht="15" thickTop="1">
      <c r="A123" s="598"/>
      <c r="B123" s="537" t="s">
        <v>2608</v>
      </c>
      <c r="C123" s="2948" t="s">
        <v>3078</v>
      </c>
      <c r="D123" s="2948" t="s">
        <v>3079</v>
      </c>
      <c r="E123" s="553"/>
      <c r="F123" s="582"/>
      <c r="G123" s="582"/>
      <c r="H123" s="582"/>
      <c r="I123" s="582"/>
      <c r="J123" s="582"/>
      <c r="K123" s="583"/>
      <c r="L123" s="584"/>
      <c r="M123" s="585"/>
      <c r="N123" s="1147"/>
      <c r="O123" s="1147"/>
      <c r="P123" s="267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7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7"/>
      <c r="O125" s="1147"/>
      <c r="P125" s="267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77"/>
      <c r="Q126" s="503"/>
    </row>
    <row r="127" spans="1:17" s="470" customFormat="1" ht="15" hidden="1" thickTop="1">
      <c r="A127" s="592"/>
      <c r="B127" s="537">
        <f>B45</f>
        <v>0</v>
      </c>
      <c r="C127" s="553"/>
      <c r="D127" s="553"/>
      <c r="E127" s="553"/>
      <c r="F127" s="553"/>
      <c r="G127" s="553"/>
      <c r="H127" s="554"/>
      <c r="I127" s="554"/>
      <c r="J127" s="554"/>
      <c r="K127" s="554"/>
      <c r="L127" s="555"/>
      <c r="M127" s="556"/>
      <c r="N127" s="1149"/>
      <c r="O127" s="1149"/>
      <c r="P127" s="2678"/>
      <c r="Q127" s="558"/>
    </row>
    <row r="128" spans="1:17" s="470" customFormat="1" ht="15.75" hidden="1" thickBot="1">
      <c r="A128" s="552"/>
      <c r="B128" s="542"/>
      <c r="C128" s="559"/>
      <c r="D128" s="535"/>
      <c r="E128" s="535"/>
      <c r="F128" s="535"/>
      <c r="G128" s="559"/>
      <c r="H128" s="561"/>
      <c r="I128" s="561"/>
      <c r="J128" s="561"/>
      <c r="K128" s="561"/>
      <c r="L128" s="561"/>
      <c r="M128" s="562"/>
      <c r="N128" s="1149"/>
      <c r="O128" s="1149"/>
      <c r="P128" s="2678"/>
      <c r="Q128" s="558"/>
    </row>
    <row r="129" spans="1:17" ht="15" hidden="1" thickTop="1">
      <c r="A129" s="598"/>
      <c r="B129" s="537">
        <f>B46</f>
        <v>0</v>
      </c>
      <c r="C129" s="553"/>
      <c r="D129" s="553"/>
      <c r="E129" s="553"/>
      <c r="F129" s="553"/>
      <c r="G129" s="582"/>
      <c r="H129" s="582"/>
      <c r="I129" s="582"/>
      <c r="J129" s="582"/>
      <c r="K129" s="583"/>
      <c r="L129" s="584"/>
      <c r="M129" s="585"/>
      <c r="N129" s="1147"/>
      <c r="O129" s="1147"/>
      <c r="P129" s="2677"/>
      <c r="Q129" s="503"/>
    </row>
    <row r="130" spans="1:17" ht="15.75" hidden="1" thickBot="1">
      <c r="A130" s="533"/>
      <c r="B130" s="542"/>
      <c r="C130" s="559"/>
      <c r="D130" s="559"/>
      <c r="E130" s="559"/>
      <c r="F130" s="559"/>
      <c r="G130" s="535"/>
      <c r="H130" s="535"/>
      <c r="I130" s="535"/>
      <c r="J130" s="535"/>
      <c r="K130" s="535"/>
      <c r="L130" s="535"/>
      <c r="M130" s="536"/>
      <c r="N130" s="1148"/>
      <c r="O130" s="1148"/>
      <c r="P130" s="2677"/>
      <c r="Q130" s="503"/>
    </row>
    <row r="131" spans="1:17" ht="15" hidden="1" thickTop="1">
      <c r="A131" s="598"/>
      <c r="B131" s="545">
        <f>B47</f>
        <v>0</v>
      </c>
      <c r="C131" s="522"/>
      <c r="D131" s="522"/>
      <c r="E131" s="522"/>
      <c r="F131" s="522"/>
      <c r="G131" s="586"/>
      <c r="H131" s="586"/>
      <c r="I131" s="586"/>
      <c r="J131" s="586"/>
      <c r="K131" s="522"/>
      <c r="L131" s="523"/>
      <c r="M131" s="589"/>
      <c r="N131" s="1147"/>
      <c r="O131" s="1147"/>
      <c r="P131" s="2677"/>
      <c r="Q131" s="503"/>
    </row>
    <row r="132" spans="1:17" ht="15.75" hidden="1" thickBot="1">
      <c r="A132" s="2629"/>
      <c r="B132" s="568"/>
      <c r="C132" s="569"/>
      <c r="D132" s="569"/>
      <c r="E132" s="569"/>
      <c r="F132" s="569"/>
      <c r="G132" s="590"/>
      <c r="H132" s="590"/>
      <c r="I132" s="590"/>
      <c r="J132" s="590"/>
      <c r="K132" s="590"/>
      <c r="L132" s="590"/>
      <c r="M132" s="591"/>
      <c r="N132" s="1148"/>
      <c r="O132" s="1148"/>
      <c r="P132" s="2677"/>
      <c r="Q132" s="503"/>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zoomScale="80" zoomScaleNormal="80" zoomScalePageLayoutView="90" workbookViewId="0">
      <selection activeCell="D38" sqref="D38"/>
    </sheetView>
  </sheetViews>
  <sheetFormatPr defaultColWidth="8.875" defaultRowHeight="14.25"/>
  <cols>
    <col min="1" max="1" width="10.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2617"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575" t="s">
        <v>2630</v>
      </c>
      <c r="C1" s="1629" t="s">
        <v>2518</v>
      </c>
      <c r="D1" s="1616" t="s">
        <v>1377</v>
      </c>
      <c r="E1" s="2650"/>
      <c r="F1" s="2577" t="s">
        <v>3055</v>
      </c>
      <c r="G1" s="1626" t="s">
        <v>2631</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7" customFormat="1" ht="28.5" customHeight="1" thickTop="1">
      <c r="A2" s="1612" t="s">
        <v>2315</v>
      </c>
      <c r="B2" s="1413">
        <f>IF(C2="——",ROUND(C49*D3/10000,0),ROUND(C49*D3/10000,0)-D2)</f>
        <v>9585</v>
      </c>
      <c r="C2" s="2579" t="s">
        <v>70</v>
      </c>
      <c r="D2" s="1360" t="e">
        <f ca="1">SUMIF(INDIRECT("'"&amp;F2&amp;"'"&amp;"!A:A"),"承租人权益价值",INDIRECT("'"&amp;F2&amp;"'"&amp;"!c:c"))</f>
        <v>#REF!</v>
      </c>
      <c r="E2" s="2580" t="s">
        <v>2316</v>
      </c>
      <c r="F2" s="2581"/>
      <c r="G2" s="1120"/>
      <c r="H2" s="1120"/>
      <c r="I2" s="1120"/>
      <c r="J2" s="1120"/>
      <c r="K2" s="1120"/>
      <c r="L2" s="1123"/>
      <c r="M2" s="1124"/>
      <c r="N2" s="1124"/>
      <c r="O2" s="1124"/>
      <c r="P2" s="2654"/>
      <c r="Q2" s="1124"/>
      <c r="R2" s="1124"/>
      <c r="S2" s="1124"/>
      <c r="T2" s="1124"/>
      <c r="U2" s="1124"/>
      <c r="V2" s="1124"/>
      <c r="W2" s="1124"/>
      <c r="X2" s="1124"/>
      <c r="Y2" s="1124"/>
      <c r="Z2" s="1124"/>
      <c r="AA2" s="1124"/>
      <c r="AB2" s="1124"/>
      <c r="AC2" s="2655"/>
    </row>
    <row r="3" spans="1:29" s="397" customFormat="1" ht="28.5" customHeight="1" thickBot="1">
      <c r="A3" s="246" t="s">
        <v>2317</v>
      </c>
      <c r="B3" s="608">
        <f>IF(C2="——",C49,ROUND(B2*10000/D3,0))</f>
        <v>45548</v>
      </c>
      <c r="C3" s="399" t="s">
        <v>2632</v>
      </c>
      <c r="D3" s="398">
        <f>IF(D1="",'数据-汇总表'!E3,SUMIF('数据-汇总表'!$C19:$C33,D1,'数据-汇总表'!$E19:$E33))</f>
        <v>2104.29</v>
      </c>
      <c r="E3" s="2656"/>
      <c r="F3" s="1121"/>
      <c r="G3" s="1120"/>
      <c r="H3" s="1120"/>
      <c r="I3" s="1120"/>
      <c r="J3" s="1120"/>
      <c r="K3" s="1122"/>
      <c r="L3" s="1123"/>
      <c r="M3" s="1124"/>
      <c r="N3" s="1124"/>
      <c r="O3" s="1124"/>
      <c r="P3" s="2654"/>
      <c r="Q3" s="1124"/>
      <c r="R3" s="1124"/>
      <c r="S3" s="1124"/>
      <c r="T3" s="1124"/>
      <c r="U3" s="1124"/>
      <c r="V3" s="1124"/>
      <c r="W3" s="1124"/>
      <c r="X3" s="1124"/>
      <c r="Y3" s="1124"/>
      <c r="Z3" s="1124"/>
      <c r="AA3" s="1124"/>
      <c r="AB3" s="1124"/>
      <c r="AC3" s="2656"/>
    </row>
    <row r="4" spans="1:29" ht="15.75" thickBot="1">
      <c r="A4" s="400" t="s">
        <v>2633</v>
      </c>
      <c r="B4" s="401"/>
      <c r="C4" s="3246" t="s">
        <v>2634</v>
      </c>
      <c r="D4" s="3247"/>
      <c r="E4" s="3248" t="s">
        <v>2635</v>
      </c>
      <c r="F4" s="3249"/>
      <c r="G4" s="3280" t="s">
        <v>2636</v>
      </c>
      <c r="H4" s="3281"/>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59" t="s">
        <v>2636</v>
      </c>
      <c r="AC4" s="3276" t="s">
        <v>2637</v>
      </c>
    </row>
    <row r="5" spans="1:29" ht="15">
      <c r="A5" s="403"/>
      <c r="B5" s="404"/>
      <c r="C5" s="3234" t="s">
        <v>2530</v>
      </c>
      <c r="D5" s="3235"/>
      <c r="E5" s="3232" t="s">
        <v>3682</v>
      </c>
      <c r="F5" s="3233"/>
      <c r="G5" s="3286" t="s">
        <v>3676</v>
      </c>
      <c r="H5" s="3287"/>
      <c r="I5" s="3238" t="s">
        <v>3681</v>
      </c>
      <c r="J5" s="3235"/>
      <c r="K5" s="609"/>
      <c r="L5" s="1125"/>
      <c r="M5" s="1126"/>
      <c r="N5" s="1126"/>
      <c r="O5" s="1126"/>
      <c r="P5" s="3284"/>
      <c r="Q5" s="3253"/>
      <c r="R5" s="3230"/>
      <c r="S5" s="3231"/>
      <c r="T5" s="3230"/>
      <c r="U5" s="3231"/>
      <c r="V5" s="3259"/>
      <c r="W5" s="3259"/>
      <c r="X5" s="1808"/>
      <c r="Y5" s="3230"/>
      <c r="Z5" s="3231"/>
      <c r="AA5" s="3224"/>
      <c r="AB5" s="3259"/>
      <c r="AC5" s="3224"/>
    </row>
    <row r="6" spans="1:29" ht="15.75" thickBot="1">
      <c r="A6" s="405"/>
      <c r="B6" s="406"/>
      <c r="C6" s="3236" t="s">
        <v>2534</v>
      </c>
      <c r="D6" s="3237"/>
      <c r="E6" s="3279" t="s">
        <v>2534</v>
      </c>
      <c r="F6" s="3240"/>
      <c r="G6" s="3236" t="s">
        <v>2534</v>
      </c>
      <c r="H6" s="3237"/>
      <c r="I6" s="3236" t="s">
        <v>2534</v>
      </c>
      <c r="J6" s="3237"/>
      <c r="K6" s="609" t="s">
        <v>2535</v>
      </c>
      <c r="L6" s="1125"/>
      <c r="M6" s="1126"/>
      <c r="N6" s="1126"/>
      <c r="O6" s="1126"/>
      <c r="P6" s="3285"/>
      <c r="Q6" s="3255"/>
      <c r="R6" s="3230"/>
      <c r="S6" s="3231"/>
      <c r="T6" s="3256"/>
      <c r="U6" s="3257"/>
      <c r="V6" s="3259"/>
      <c r="W6" s="3259"/>
      <c r="X6" s="1808"/>
      <c r="Y6" s="3256"/>
      <c r="Z6" s="3257"/>
      <c r="AA6" s="3225"/>
      <c r="AB6" s="3259"/>
      <c r="AC6" s="3225"/>
    </row>
    <row r="7" spans="1:29" s="117" customFormat="1" ht="15.75" thickBot="1">
      <c r="A7" s="407" t="s">
        <v>2536</v>
      </c>
      <c r="B7" s="408"/>
      <c r="C7" s="409">
        <f>'数据-取费表'!B2</f>
        <v>43185</v>
      </c>
      <c r="D7" s="410">
        <v>100</v>
      </c>
      <c r="E7" s="411">
        <v>43160</v>
      </c>
      <c r="F7" s="412">
        <f>SUMIF(58:58,YEAR(E7)&amp;"-"&amp;MONTH(E7),59:59)</f>
        <v>100</v>
      </c>
      <c r="G7" s="2689">
        <f>E7</f>
        <v>43160</v>
      </c>
      <c r="H7" s="410">
        <f>SUMIF(58:58,YEAR(G7)&amp;"-"&amp;MONTH(G7),59:59)</f>
        <v>100</v>
      </c>
      <c r="I7" s="411">
        <f>G7</f>
        <v>43160</v>
      </c>
      <c r="J7" s="410">
        <f>SUMIF(58:58,YEAR(I7)&amp;"-"&amp;MONTH(I7),59:59)</f>
        <v>100</v>
      </c>
      <c r="K7" s="610"/>
      <c r="L7" s="1127"/>
      <c r="M7" s="1128"/>
      <c r="N7" s="1128"/>
      <c r="O7" s="1128"/>
      <c r="P7" s="3226" t="s">
        <v>2537</v>
      </c>
      <c r="Q7" s="3261"/>
      <c r="R7" s="767" t="s">
        <v>17</v>
      </c>
      <c r="S7" s="768">
        <f t="shared" ref="S7:S15" si="0">F7</f>
        <v>100</v>
      </c>
      <c r="T7" s="767" t="s">
        <v>17</v>
      </c>
      <c r="U7" s="768">
        <f t="shared" ref="U7:U15" si="1">H7</f>
        <v>100</v>
      </c>
      <c r="V7" s="767" t="s">
        <v>17</v>
      </c>
      <c r="W7" s="768">
        <f t="shared" ref="W7:W15" si="2">J7</f>
        <v>100</v>
      </c>
      <c r="X7" s="769"/>
      <c r="Y7" s="3226" t="s">
        <v>2537</v>
      </c>
      <c r="Z7" s="3227"/>
      <c r="AA7" s="770">
        <f>D7/F7</f>
        <v>1</v>
      </c>
      <c r="AB7" s="770">
        <f>D7/H7</f>
        <v>1</v>
      </c>
      <c r="AC7" s="770">
        <f>D7/J7</f>
        <v>1</v>
      </c>
    </row>
    <row r="8" spans="1:29" s="117" customFormat="1" ht="15.75" thickBot="1">
      <c r="A8" s="407" t="s">
        <v>2538</v>
      </c>
      <c r="B8" s="408"/>
      <c r="C8" s="413" t="s">
        <v>2640</v>
      </c>
      <c r="D8" s="410">
        <v>100</v>
      </c>
      <c r="E8" s="413" t="s">
        <v>3093</v>
      </c>
      <c r="F8" s="412">
        <f>SUMIF(61:61,E8,62:62)-SUMIF(61:61,C8,62:62)+100</f>
        <v>100</v>
      </c>
      <c r="G8" s="413" t="s">
        <v>3093</v>
      </c>
      <c r="H8" s="410">
        <f>SUMIF(61:61,G8,62:62)-SUMIF(61:61,C8,62:62)+100</f>
        <v>100</v>
      </c>
      <c r="I8" s="413" t="s">
        <v>3093</v>
      </c>
      <c r="J8" s="410">
        <f>SUMIF(61:61,I8,62:62)-SUMIF(61:61,C8,62:62)+100</f>
        <v>100</v>
      </c>
      <c r="K8" s="610"/>
      <c r="L8" s="1127"/>
      <c r="M8" s="1128"/>
      <c r="N8" s="1128"/>
      <c r="O8" s="1128"/>
      <c r="P8" s="3226" t="s">
        <v>2540</v>
      </c>
      <c r="Q8" s="3227"/>
      <c r="R8" s="767" t="s">
        <v>17</v>
      </c>
      <c r="S8" s="768">
        <f t="shared" si="0"/>
        <v>100</v>
      </c>
      <c r="T8" s="767" t="s">
        <v>17</v>
      </c>
      <c r="U8" s="768">
        <f t="shared" si="1"/>
        <v>100</v>
      </c>
      <c r="V8" s="767" t="s">
        <v>17</v>
      </c>
      <c r="W8" s="768">
        <f t="shared" si="2"/>
        <v>100</v>
      </c>
      <c r="X8" s="769"/>
      <c r="Y8" s="3226" t="s">
        <v>2540</v>
      </c>
      <c r="Z8" s="3227"/>
      <c r="AA8" s="770">
        <f t="shared" ref="AA8:AA46" si="3">D8/F8</f>
        <v>1</v>
      </c>
      <c r="AB8" s="770">
        <f t="shared" ref="AB8:AB46" si="4">D8/H8</f>
        <v>1</v>
      </c>
      <c r="AC8" s="770">
        <f t="shared" ref="AC8:AC46" si="5">D8/J8</f>
        <v>1</v>
      </c>
    </row>
    <row r="9" spans="1:29" s="117" customFormat="1">
      <c r="A9" s="414" t="s">
        <v>2541</v>
      </c>
      <c r="B9" s="71" t="s">
        <v>2542</v>
      </c>
      <c r="C9" s="2949" t="s">
        <v>3097</v>
      </c>
      <c r="D9" s="135">
        <v>100</v>
      </c>
      <c r="E9" s="416" t="s">
        <v>1377</v>
      </c>
      <c r="F9" s="417">
        <f>SUMIF(63:63,E9,64:64)-SUMIF(63:63,C9,64:64)+100</f>
        <v>100</v>
      </c>
      <c r="G9" s="418" t="s">
        <v>1377</v>
      </c>
      <c r="H9" s="135">
        <f>SUMIF(63:63,G9,64:64)-SUMIF(63:63,C9,64:64)+100</f>
        <v>100</v>
      </c>
      <c r="I9" s="416" t="s">
        <v>1377</v>
      </c>
      <c r="J9" s="135">
        <f>SUMIF(63:63,I9,64:64)-SUMIF(63:63,C9,64:64)+100</f>
        <v>100</v>
      </c>
      <c r="K9" s="610"/>
      <c r="L9" s="1127"/>
      <c r="M9" s="1128"/>
      <c r="N9" s="1128"/>
      <c r="O9" s="1128"/>
      <c r="P9" s="3242"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770">
        <f t="shared" si="5"/>
        <v>1</v>
      </c>
    </row>
    <row r="10" spans="1:29" s="426" customFormat="1" ht="27">
      <c r="A10" s="420"/>
      <c r="B10" s="3017" t="s">
        <v>3683</v>
      </c>
      <c r="C10" s="3018" t="s">
        <v>3098</v>
      </c>
      <c r="D10" s="3019">
        <v>100</v>
      </c>
      <c r="E10" s="3020" t="s">
        <v>3674</v>
      </c>
      <c r="F10" s="3021">
        <f>SUMIF(65:65,E10,66:66)-SUMIF(65:65,C10,66:66)+100</f>
        <v>100</v>
      </c>
      <c r="G10" s="3018" t="s">
        <v>3674</v>
      </c>
      <c r="H10" s="3019">
        <f>SUMIF(65:65,G10,66:66)-SUMIF(65:65,C10,66:66)+100</f>
        <v>100</v>
      </c>
      <c r="I10" s="3020" t="s">
        <v>3674</v>
      </c>
      <c r="J10" s="3019">
        <f>SUMIF(65:65,I10,66:66)-SUMIF(65:65,C10,66:66)+100</f>
        <v>100</v>
      </c>
      <c r="K10" s="3022">
        <v>0</v>
      </c>
      <c r="L10" s="1130"/>
      <c r="M10" s="1131"/>
      <c r="N10" s="1131"/>
      <c r="O10" s="1131"/>
      <c r="P10" s="3242"/>
      <c r="Q10" s="1790" t="str">
        <f t="shared" si="6"/>
        <v>土地使用年限（年）</v>
      </c>
      <c r="R10" s="767" t="s">
        <v>17</v>
      </c>
      <c r="S10" s="768">
        <f t="shared" si="0"/>
        <v>100</v>
      </c>
      <c r="T10" s="767" t="s">
        <v>17</v>
      </c>
      <c r="U10" s="768">
        <f t="shared" si="1"/>
        <v>100</v>
      </c>
      <c r="V10" s="767" t="s">
        <v>17</v>
      </c>
      <c r="W10" s="768">
        <f t="shared" si="2"/>
        <v>100</v>
      </c>
      <c r="X10" s="769"/>
      <c r="Y10" s="3100"/>
      <c r="Z10" s="55" t="str">
        <f t="shared" si="7"/>
        <v>土地使用年限（年）</v>
      </c>
      <c r="AA10" s="770">
        <f t="shared" si="3"/>
        <v>1</v>
      </c>
      <c r="AB10" s="770">
        <f t="shared" si="4"/>
        <v>1</v>
      </c>
      <c r="AC10" s="770">
        <f t="shared" si="5"/>
        <v>1</v>
      </c>
    </row>
    <row r="11" spans="1:29" ht="15" hidden="1">
      <c r="A11" s="427"/>
      <c r="B11" s="421" t="s">
        <v>2546</v>
      </c>
      <c r="C11" s="428"/>
      <c r="D11" s="136">
        <v>100</v>
      </c>
      <c r="E11" s="429"/>
      <c r="F11" s="424">
        <f>LOOKUP(E11,68:68,69:69)-LOOKUP(C11,68:68,69:69)+100</f>
        <v>100</v>
      </c>
      <c r="G11" s="428"/>
      <c r="H11" s="136">
        <f>LOOKUP(G11,68:68,69:69)-LOOKUP(C11,68:68,69:69)+100</f>
        <v>100</v>
      </c>
      <c r="I11" s="428"/>
      <c r="J11" s="136">
        <f>LOOKUP(I11,68:68,69:69)-LOOKUP(C11,68:68,69:69)+100</f>
        <v>100</v>
      </c>
      <c r="K11" s="611"/>
      <c r="L11" s="1133"/>
      <c r="M11" s="1126"/>
      <c r="N11" s="1126"/>
      <c r="O11" s="1126"/>
      <c r="P11" s="3242"/>
      <c r="Q11" s="1790" t="str">
        <f t="shared" si="6"/>
        <v>容积率</v>
      </c>
      <c r="R11" s="767" t="s">
        <v>17</v>
      </c>
      <c r="S11" s="768">
        <f t="shared" si="0"/>
        <v>100</v>
      </c>
      <c r="T11" s="767" t="s">
        <v>17</v>
      </c>
      <c r="U11" s="768">
        <f t="shared" si="1"/>
        <v>100</v>
      </c>
      <c r="V11" s="767" t="s">
        <v>17</v>
      </c>
      <c r="W11" s="768">
        <f t="shared" si="2"/>
        <v>100</v>
      </c>
      <c r="X11" s="769"/>
      <c r="Y11" s="3100"/>
      <c r="Z11" s="55" t="str">
        <f t="shared" si="7"/>
        <v>容积率</v>
      </c>
      <c r="AA11" s="770">
        <f t="shared" si="3"/>
        <v>1</v>
      </c>
      <c r="AB11" s="770">
        <f t="shared" si="4"/>
        <v>1</v>
      </c>
      <c r="AC11" s="770">
        <f t="shared" si="5"/>
        <v>1</v>
      </c>
    </row>
    <row r="12" spans="1:29" s="117" customFormat="1" ht="29.25" thickBot="1">
      <c r="A12" s="430"/>
      <c r="B12" s="2952" t="s">
        <v>3662</v>
      </c>
      <c r="C12" s="431">
        <v>31</v>
      </c>
      <c r="D12" s="432">
        <v>100</v>
      </c>
      <c r="E12" s="433" t="s">
        <v>3675</v>
      </c>
      <c r="F12" s="424">
        <f>SUMIF(70:70,E12,71:71)-SUMIF(70:70,C12,71:71)+100</f>
        <v>100</v>
      </c>
      <c r="G12" s="433" t="s">
        <v>3677</v>
      </c>
      <c r="H12" s="136">
        <f>SUMIF(70:70,G12,71:71)-SUMIF(70:70,C12,71:71)+100</f>
        <v>100</v>
      </c>
      <c r="I12" s="433"/>
      <c r="J12" s="136">
        <f>SUMIF(70:70,I12,71:71)-SUMIF(70:70,C12,71:71)+100</f>
        <v>100</v>
      </c>
      <c r="K12" s="612"/>
      <c r="L12" s="1127"/>
      <c r="M12" s="1128"/>
      <c r="N12" s="1128"/>
      <c r="O12" s="1128"/>
      <c r="P12" s="3242"/>
      <c r="Q12" s="1790" t="str">
        <f t="shared" si="6"/>
        <v>剩余年限</v>
      </c>
      <c r="R12" s="767" t="s">
        <v>17</v>
      </c>
      <c r="S12" s="768">
        <f t="shared" si="0"/>
        <v>100</v>
      </c>
      <c r="T12" s="767" t="s">
        <v>17</v>
      </c>
      <c r="U12" s="768">
        <f t="shared" si="1"/>
        <v>100</v>
      </c>
      <c r="V12" s="767" t="s">
        <v>17</v>
      </c>
      <c r="W12" s="768">
        <f t="shared" si="2"/>
        <v>100</v>
      </c>
      <c r="X12" s="769"/>
      <c r="Y12" s="3100"/>
      <c r="Z12" s="55" t="str">
        <f t="shared" si="7"/>
        <v>剩余年限</v>
      </c>
      <c r="AA12" s="770">
        <f>D12/F12</f>
        <v>1</v>
      </c>
      <c r="AB12" s="770">
        <f>D12/H12</f>
        <v>1</v>
      </c>
      <c r="AC12" s="770">
        <f>D12/J12</f>
        <v>1</v>
      </c>
    </row>
    <row r="13" spans="1:29" ht="15" hidden="1">
      <c r="A13" s="427"/>
      <c r="B13" s="2593"/>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42"/>
      <c r="Q13" s="1790">
        <f t="shared" si="6"/>
        <v>0</v>
      </c>
      <c r="R13" s="767" t="s">
        <v>17</v>
      </c>
      <c r="S13" s="768">
        <f t="shared" si="0"/>
        <v>100</v>
      </c>
      <c r="T13" s="767" t="s">
        <v>17</v>
      </c>
      <c r="U13" s="768">
        <f t="shared" si="1"/>
        <v>100</v>
      </c>
      <c r="V13" s="767" t="s">
        <v>17</v>
      </c>
      <c r="W13" s="768">
        <f t="shared" si="2"/>
        <v>100</v>
      </c>
      <c r="X13" s="769"/>
      <c r="Y13" s="3100"/>
      <c r="Z13" s="55">
        <f t="shared" si="7"/>
        <v>0</v>
      </c>
      <c r="AA13" s="770">
        <f t="shared" si="3"/>
        <v>1</v>
      </c>
      <c r="AB13" s="770">
        <f t="shared" si="4"/>
        <v>1</v>
      </c>
      <c r="AC13" s="770">
        <f t="shared" si="5"/>
        <v>1</v>
      </c>
    </row>
    <row r="14" spans="1:29" ht="15.75" hidden="1" thickBot="1">
      <c r="A14" s="435"/>
      <c r="B14" s="2595"/>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42"/>
      <c r="Q14" s="1790">
        <f t="shared" si="6"/>
        <v>0</v>
      </c>
      <c r="R14" s="767" t="s">
        <v>17</v>
      </c>
      <c r="S14" s="768">
        <f t="shared" si="0"/>
        <v>100</v>
      </c>
      <c r="T14" s="767" t="s">
        <v>17</v>
      </c>
      <c r="U14" s="768">
        <f t="shared" si="1"/>
        <v>100</v>
      </c>
      <c r="V14" s="767" t="s">
        <v>17</v>
      </c>
      <c r="W14" s="768">
        <f t="shared" si="2"/>
        <v>100</v>
      </c>
      <c r="X14" s="769"/>
      <c r="Y14" s="3100"/>
      <c r="Z14" s="55">
        <f t="shared" si="7"/>
        <v>0</v>
      </c>
      <c r="AA14" s="770">
        <f t="shared" si="3"/>
        <v>1</v>
      </c>
      <c r="AB14" s="770">
        <f t="shared" si="4"/>
        <v>1</v>
      </c>
      <c r="AC14" s="770">
        <f t="shared" si="5"/>
        <v>1</v>
      </c>
    </row>
    <row r="15" spans="1:29" ht="28.5">
      <c r="A15" s="439" t="s">
        <v>2547</v>
      </c>
      <c r="B15" s="69" t="s">
        <v>2641</v>
      </c>
      <c r="C15" s="2596" t="str">
        <f>估价对象房地状况!C4</f>
        <v>XX商圈，周边商业氛围，人流量</v>
      </c>
      <c r="D15" s="440">
        <v>100</v>
      </c>
      <c r="E15" s="441"/>
      <c r="F15" s="442">
        <f>SUMIF(76:76,E16,77:77)-SUMIF(76:76,C16,77:77)+100</f>
        <v>105</v>
      </c>
      <c r="G15" s="443"/>
      <c r="H15" s="440">
        <f>SUMIF(76:76,G16,77:77)-SUMIF(76:76,C16,77:77)+100</f>
        <v>100</v>
      </c>
      <c r="I15" s="441"/>
      <c r="J15" s="440">
        <f>SUMIF(76:76,I16,77:77)-SUMIF(76:76,C16,77:77)+100</f>
        <v>100</v>
      </c>
      <c r="K15" s="613">
        <v>5</v>
      </c>
      <c r="L15" s="1135"/>
      <c r="M15" s="1126"/>
      <c r="N15" s="1126"/>
      <c r="O15" s="1126"/>
      <c r="P15" s="3262" t="s">
        <v>2548</v>
      </c>
      <c r="Q15" s="1805" t="str">
        <f t="shared" si="6"/>
        <v>商业繁华度</v>
      </c>
      <c r="R15" s="771" t="s">
        <v>17</v>
      </c>
      <c r="S15" s="772">
        <f t="shared" si="0"/>
        <v>105</v>
      </c>
      <c r="T15" s="771" t="s">
        <v>17</v>
      </c>
      <c r="U15" s="772">
        <f t="shared" si="1"/>
        <v>100</v>
      </c>
      <c r="V15" s="771" t="s">
        <v>17</v>
      </c>
      <c r="W15" s="772">
        <f t="shared" si="2"/>
        <v>100</v>
      </c>
      <c r="X15" s="1808"/>
      <c r="Y15" s="3264" t="s">
        <v>2548</v>
      </c>
      <c r="Z15" s="1809" t="str">
        <f t="shared" si="7"/>
        <v>商业繁华度</v>
      </c>
      <c r="AA15" s="1806">
        <f t="shared" si="3"/>
        <v>0.95238095238095233</v>
      </c>
      <c r="AB15" s="1806">
        <f t="shared" si="4"/>
        <v>1</v>
      </c>
      <c r="AC15" s="1806">
        <f t="shared" si="5"/>
        <v>1</v>
      </c>
    </row>
    <row r="16" spans="1:29" ht="15">
      <c r="A16" s="427"/>
      <c r="B16" s="445"/>
      <c r="C16" s="446" t="s">
        <v>3095</v>
      </c>
      <c r="D16" s="447"/>
      <c r="E16" s="446" t="s">
        <v>3096</v>
      </c>
      <c r="F16" s="448"/>
      <c r="G16" s="446" t="s">
        <v>3095</v>
      </c>
      <c r="H16" s="449"/>
      <c r="I16" s="446" t="s">
        <v>3095</v>
      </c>
      <c r="J16" s="447"/>
      <c r="K16" s="614"/>
      <c r="L16" s="1135"/>
      <c r="M16" s="1126"/>
      <c r="N16" s="1126"/>
      <c r="O16" s="1126"/>
      <c r="P16" s="3263"/>
      <c r="Q16" s="1805"/>
      <c r="R16" s="771"/>
      <c r="S16" s="772"/>
      <c r="T16" s="771"/>
      <c r="U16" s="772"/>
      <c r="V16" s="771"/>
      <c r="W16" s="772"/>
      <c r="X16" s="1808"/>
      <c r="Y16" s="3265"/>
      <c r="Z16" s="1809"/>
      <c r="AA16" s="1806">
        <v>1</v>
      </c>
      <c r="AB16" s="1806">
        <v>1</v>
      </c>
      <c r="AC16" s="1806">
        <v>1</v>
      </c>
    </row>
    <row r="17" spans="1:29" ht="34.5" customHeight="1">
      <c r="A17" s="427"/>
      <c r="B17" s="450" t="s">
        <v>2088</v>
      </c>
      <c r="C17" s="2600" t="str">
        <f>估价对象房地状况!C6</f>
        <v>周边道路状况、公共交通通达情况、停车便捷程度（快速路西四环北路 六号线海淀五路居站 五路桥公交站  61路 79路 121路 地上停车位）</v>
      </c>
      <c r="D17" s="449">
        <v>100</v>
      </c>
      <c r="E17" s="451"/>
      <c r="F17" s="452">
        <f>SUMIF(78:78,E18,79:79)-SUMIF(78:78,C18,79:79)+100</f>
        <v>100</v>
      </c>
      <c r="G17" s="453"/>
      <c r="H17" s="454">
        <f>SUMIF(78:78,G18,79:79)-SUMIF(78:78,C18,79:79)+100</f>
        <v>95</v>
      </c>
      <c r="I17" s="451"/>
      <c r="J17" s="454">
        <f>SUMIF(78:78,I18,79:79)-SUMIF(78:78,C18,79:79)+100</f>
        <v>100</v>
      </c>
      <c r="K17" s="613">
        <v>5</v>
      </c>
      <c r="L17" s="1135"/>
      <c r="M17" s="1126"/>
      <c r="N17" s="1126"/>
      <c r="O17" s="1126"/>
      <c r="P17" s="3263"/>
      <c r="Q17" s="1805" t="str">
        <f>B17</f>
        <v>交通便捷度</v>
      </c>
      <c r="R17" s="771" t="s">
        <v>17</v>
      </c>
      <c r="S17" s="772">
        <f>F17</f>
        <v>100</v>
      </c>
      <c r="T17" s="771" t="s">
        <v>17</v>
      </c>
      <c r="U17" s="772">
        <f>H17</f>
        <v>95</v>
      </c>
      <c r="V17" s="771" t="s">
        <v>17</v>
      </c>
      <c r="W17" s="772">
        <f>J17</f>
        <v>100</v>
      </c>
      <c r="X17" s="1808"/>
      <c r="Y17" s="3265"/>
      <c r="Z17" s="1809" t="str">
        <f>Q17</f>
        <v>交通便捷度</v>
      </c>
      <c r="AA17" s="1806">
        <f t="shared" si="3"/>
        <v>1</v>
      </c>
      <c r="AB17" s="1806">
        <f t="shared" si="4"/>
        <v>1.0526315789473684</v>
      </c>
      <c r="AC17" s="1806">
        <f t="shared" si="5"/>
        <v>1</v>
      </c>
    </row>
    <row r="18" spans="1:29" ht="15">
      <c r="A18" s="427"/>
      <c r="B18" s="455"/>
      <c r="C18" s="2601" t="s">
        <v>3657</v>
      </c>
      <c r="D18" s="449"/>
      <c r="E18" s="3014" t="s">
        <v>3657</v>
      </c>
      <c r="F18" s="452"/>
      <c r="G18" s="2602" t="s">
        <v>3096</v>
      </c>
      <c r="H18" s="447"/>
      <c r="I18" s="2603" t="s">
        <v>3657</v>
      </c>
      <c r="J18" s="447"/>
      <c r="K18" s="614"/>
      <c r="L18" s="1135"/>
      <c r="M18" s="1126"/>
      <c r="N18" s="1126"/>
      <c r="O18" s="1126"/>
      <c r="P18" s="3263"/>
      <c r="Q18" s="1805"/>
      <c r="R18" s="771"/>
      <c r="S18" s="772"/>
      <c r="T18" s="771"/>
      <c r="U18" s="772"/>
      <c r="V18" s="771"/>
      <c r="W18" s="772"/>
      <c r="X18" s="1808"/>
      <c r="Y18" s="3265"/>
      <c r="Z18" s="1809"/>
      <c r="AA18" s="1806">
        <v>1</v>
      </c>
      <c r="AB18" s="1806">
        <v>1</v>
      </c>
      <c r="AC18" s="1806">
        <v>1</v>
      </c>
    </row>
    <row r="19" spans="1:29" ht="28.5" customHeight="1">
      <c r="A19" s="427"/>
      <c r="B19" s="450" t="s">
        <v>2642</v>
      </c>
      <c r="C19" s="260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263"/>
      <c r="Q19" s="1805" t="str">
        <f>B19</f>
        <v>公共配套设施</v>
      </c>
      <c r="R19" s="771" t="s">
        <v>17</v>
      </c>
      <c r="S19" s="772">
        <f>F19</f>
        <v>100</v>
      </c>
      <c r="T19" s="771" t="s">
        <v>17</v>
      </c>
      <c r="U19" s="772">
        <f>H19</f>
        <v>100</v>
      </c>
      <c r="V19" s="771" t="s">
        <v>17</v>
      </c>
      <c r="W19" s="772">
        <f>J19</f>
        <v>100</v>
      </c>
      <c r="X19" s="1808"/>
      <c r="Y19" s="3265"/>
      <c r="Z19" s="1809" t="str">
        <f>Q19</f>
        <v>公共配套设施</v>
      </c>
      <c r="AA19" s="1806">
        <f t="shared" si="3"/>
        <v>1</v>
      </c>
      <c r="AB19" s="1806">
        <f t="shared" si="4"/>
        <v>1</v>
      </c>
      <c r="AC19" s="1806">
        <f t="shared" si="5"/>
        <v>1</v>
      </c>
    </row>
    <row r="20" spans="1:29" ht="15">
      <c r="A20" s="427"/>
      <c r="B20" s="455"/>
      <c r="C20" s="446" t="s">
        <v>3096</v>
      </c>
      <c r="D20" s="447"/>
      <c r="E20" s="2598" t="s">
        <v>3096</v>
      </c>
      <c r="F20" s="448"/>
      <c r="G20" s="2597" t="s">
        <v>3096</v>
      </c>
      <c r="H20" s="447"/>
      <c r="I20" s="2598" t="s">
        <v>3096</v>
      </c>
      <c r="J20" s="447"/>
      <c r="K20" s="614"/>
      <c r="L20" s="1135"/>
      <c r="M20" s="1126"/>
      <c r="N20" s="1126"/>
      <c r="O20" s="1126"/>
      <c r="P20" s="3263"/>
      <c r="Q20" s="1805"/>
      <c r="R20" s="771"/>
      <c r="S20" s="772"/>
      <c r="T20" s="771"/>
      <c r="U20" s="772"/>
      <c r="V20" s="771"/>
      <c r="W20" s="772"/>
      <c r="X20" s="1808"/>
      <c r="Y20" s="3265"/>
      <c r="Z20" s="1809"/>
      <c r="AA20" s="1806">
        <v>1</v>
      </c>
      <c r="AB20" s="1806">
        <v>1</v>
      </c>
      <c r="AC20" s="1806">
        <v>1</v>
      </c>
    </row>
    <row r="21" spans="1:29" ht="15">
      <c r="A21" s="427"/>
      <c r="B21" s="1379" t="s">
        <v>2643</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v>2</v>
      </c>
      <c r="L21" s="1135"/>
      <c r="M21" s="1126"/>
      <c r="N21" s="1126"/>
      <c r="O21" s="1126"/>
      <c r="P21" s="3263"/>
      <c r="Q21" s="1805" t="str">
        <f>B21</f>
        <v>基础设施水平</v>
      </c>
      <c r="R21" s="771" t="s">
        <v>17</v>
      </c>
      <c r="S21" s="772">
        <f>F21</f>
        <v>100</v>
      </c>
      <c r="T21" s="771" t="s">
        <v>17</v>
      </c>
      <c r="U21" s="772">
        <f>H21</f>
        <v>100</v>
      </c>
      <c r="V21" s="771" t="s">
        <v>17</v>
      </c>
      <c r="W21" s="772">
        <f>J21</f>
        <v>100</v>
      </c>
      <c r="X21" s="1808"/>
      <c r="Y21" s="3265"/>
      <c r="Z21" s="1809" t="str">
        <f>Q21</f>
        <v>基础设施水平</v>
      </c>
      <c r="AA21" s="1806">
        <f t="shared" ref="AA21" si="8">D21/F21</f>
        <v>1</v>
      </c>
      <c r="AB21" s="1806">
        <f t="shared" ref="AB21" si="9">D21/H21</f>
        <v>1</v>
      </c>
      <c r="AC21" s="1806">
        <f t="shared" ref="AC21" si="10">D21/J21</f>
        <v>1</v>
      </c>
    </row>
    <row r="22" spans="1:29" ht="15">
      <c r="A22" s="427"/>
      <c r="B22" s="1379"/>
      <c r="C22" s="2601" t="s">
        <v>3094</v>
      </c>
      <c r="D22" s="447"/>
      <c r="E22" s="446" t="s">
        <v>3094</v>
      </c>
      <c r="F22" s="448"/>
      <c r="G22" s="446" t="s">
        <v>3094</v>
      </c>
      <c r="H22" s="447"/>
      <c r="I22" s="446" t="s">
        <v>3094</v>
      </c>
      <c r="J22" s="447"/>
      <c r="K22" s="1378"/>
      <c r="L22" s="1135"/>
      <c r="M22" s="1126"/>
      <c r="N22" s="1126"/>
      <c r="O22" s="1126"/>
      <c r="P22" s="3263"/>
      <c r="Q22" s="1805"/>
      <c r="R22" s="771"/>
      <c r="S22" s="772"/>
      <c r="T22" s="771"/>
      <c r="U22" s="772"/>
      <c r="V22" s="771"/>
      <c r="W22" s="772"/>
      <c r="X22" s="1808"/>
      <c r="Y22" s="3265"/>
      <c r="Z22" s="1809"/>
      <c r="AA22" s="1806">
        <v>1</v>
      </c>
      <c r="AB22" s="1806">
        <v>1</v>
      </c>
      <c r="AC22" s="1806">
        <v>1</v>
      </c>
    </row>
    <row r="23" spans="1:29" ht="15">
      <c r="A23" s="427"/>
      <c r="B23" s="450" t="s">
        <v>2091</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35"/>
      <c r="M23" s="1126"/>
      <c r="N23" s="1126"/>
      <c r="O23" s="1126"/>
      <c r="P23" s="3263"/>
      <c r="Q23" s="1805" t="str">
        <f>B23</f>
        <v>自然及人文环境</v>
      </c>
      <c r="R23" s="771" t="s">
        <v>17</v>
      </c>
      <c r="S23" s="772">
        <f>F23</f>
        <v>100</v>
      </c>
      <c r="T23" s="771" t="s">
        <v>17</v>
      </c>
      <c r="U23" s="772">
        <f>H23</f>
        <v>100</v>
      </c>
      <c r="V23" s="771" t="s">
        <v>17</v>
      </c>
      <c r="W23" s="772">
        <f>J23</f>
        <v>100</v>
      </c>
      <c r="X23" s="1808"/>
      <c r="Y23" s="3265"/>
      <c r="Z23" s="1809" t="str">
        <f>Q23</f>
        <v>自然及人文环境</v>
      </c>
      <c r="AA23" s="1806">
        <f t="shared" si="3"/>
        <v>1</v>
      </c>
      <c r="AB23" s="1806">
        <f t="shared" si="4"/>
        <v>1</v>
      </c>
      <c r="AC23" s="1806">
        <f t="shared" si="5"/>
        <v>1</v>
      </c>
    </row>
    <row r="24" spans="1:29" ht="15">
      <c r="A24" s="427"/>
      <c r="B24" s="455"/>
      <c r="C24" s="446" t="s">
        <v>3095</v>
      </c>
      <c r="D24" s="447"/>
      <c r="E24" s="446" t="s">
        <v>3095</v>
      </c>
      <c r="F24" s="448"/>
      <c r="G24" s="446" t="s">
        <v>3095</v>
      </c>
      <c r="H24" s="447"/>
      <c r="I24" s="446" t="s">
        <v>3095</v>
      </c>
      <c r="J24" s="447"/>
      <c r="K24" s="614"/>
      <c r="L24" s="1135"/>
      <c r="M24" s="1126"/>
      <c r="N24" s="1126"/>
      <c r="O24" s="1126"/>
      <c r="P24" s="3263"/>
      <c r="Q24" s="1805"/>
      <c r="R24" s="771"/>
      <c r="S24" s="772"/>
      <c r="T24" s="771"/>
      <c r="U24" s="772"/>
      <c r="V24" s="771"/>
      <c r="W24" s="772"/>
      <c r="X24" s="1808"/>
      <c r="Y24" s="3265"/>
      <c r="Z24" s="1809"/>
      <c r="AA24" s="1806">
        <v>1</v>
      </c>
      <c r="AB24" s="1806">
        <v>1</v>
      </c>
      <c r="AC24" s="1806">
        <v>1</v>
      </c>
    </row>
    <row r="25" spans="1:29" ht="15">
      <c r="A25" s="427"/>
      <c r="B25" s="421" t="s">
        <v>2644</v>
      </c>
      <c r="C25" s="615" t="s">
        <v>3672</v>
      </c>
      <c r="D25" s="434">
        <v>100</v>
      </c>
      <c r="E25" s="615" t="s">
        <v>3672</v>
      </c>
      <c r="F25" s="460">
        <f>SUMIF(86:86,E25,87:87)-SUMIF(86:86,C25,87:87)+100</f>
        <v>100</v>
      </c>
      <c r="G25" s="615" t="s">
        <v>3672</v>
      </c>
      <c r="H25" s="434">
        <f>SUMIF(86:86,G25,87:87)-SUMIF(86:86,C25,87:87)+100</f>
        <v>100</v>
      </c>
      <c r="I25" s="615" t="s">
        <v>3672</v>
      </c>
      <c r="J25" s="434">
        <f>SUMIF(86:86,I25,87:87)-SUMIF(86:86,C25,87:87)+100</f>
        <v>100</v>
      </c>
      <c r="K25" s="611">
        <v>3</v>
      </c>
      <c r="L25" s="1135"/>
      <c r="M25" s="1126"/>
      <c r="N25" s="1126"/>
      <c r="O25" s="1126"/>
      <c r="P25" s="3263"/>
      <c r="Q25" s="1805" t="str">
        <f t="shared" ref="Q25:Q46" si="11">B25</f>
        <v>临街状况</v>
      </c>
      <c r="R25" s="771" t="s">
        <v>17</v>
      </c>
      <c r="S25" s="772">
        <f>F25</f>
        <v>100</v>
      </c>
      <c r="T25" s="771" t="s">
        <v>17</v>
      </c>
      <c r="U25" s="772">
        <f>H25</f>
        <v>100</v>
      </c>
      <c r="V25" s="771" t="s">
        <v>17</v>
      </c>
      <c r="W25" s="772">
        <f>J25</f>
        <v>100</v>
      </c>
      <c r="X25" s="1808"/>
      <c r="Y25" s="3265"/>
      <c r="Z25" s="1809" t="str">
        <f>Q25</f>
        <v>临街状况</v>
      </c>
      <c r="AA25" s="1806">
        <f t="shared" si="3"/>
        <v>1</v>
      </c>
      <c r="AB25" s="1806">
        <f t="shared" si="4"/>
        <v>1</v>
      </c>
      <c r="AC25" s="1806">
        <f t="shared" si="5"/>
        <v>1</v>
      </c>
    </row>
    <row r="26" spans="1:29" ht="15">
      <c r="A26" s="427"/>
      <c r="B26" s="1381" t="s">
        <v>2645</v>
      </c>
      <c r="C26" s="2950" t="s">
        <v>3666</v>
      </c>
      <c r="D26" s="434">
        <v>100</v>
      </c>
      <c r="E26" s="2950" t="s">
        <v>3665</v>
      </c>
      <c r="F26" s="460">
        <f>SUMIF(88:88,E26,89:89)-SUMIF(88:88,C26,89:89)+100</f>
        <v>103</v>
      </c>
      <c r="G26" s="2950" t="s">
        <v>3659</v>
      </c>
      <c r="H26" s="434">
        <f>SUMIF(88:88,G26,89:89)-SUMIF(88:88,C26,89:89)+100</f>
        <v>103</v>
      </c>
      <c r="I26" s="2950" t="s">
        <v>3659</v>
      </c>
      <c r="J26" s="434">
        <f>SUMIF(88:88,I26,89:89)-SUMIF(88:88,C26,89:89)+100</f>
        <v>103</v>
      </c>
      <c r="K26" s="612"/>
      <c r="L26" s="1135"/>
      <c r="M26" s="1126"/>
      <c r="N26" s="1126"/>
      <c r="O26" s="1126"/>
      <c r="P26" s="3263"/>
      <c r="Q26" s="1805" t="str">
        <f t="shared" si="11"/>
        <v>平面位置/可视性</v>
      </c>
      <c r="R26" s="771" t="s">
        <v>17</v>
      </c>
      <c r="S26" s="772">
        <f>F26</f>
        <v>103</v>
      </c>
      <c r="T26" s="771" t="s">
        <v>17</v>
      </c>
      <c r="U26" s="772">
        <f>H26</f>
        <v>103</v>
      </c>
      <c r="V26" s="771" t="s">
        <v>17</v>
      </c>
      <c r="W26" s="772">
        <f>J26</f>
        <v>103</v>
      </c>
      <c r="X26" s="1808"/>
      <c r="Y26" s="3265"/>
      <c r="Z26" s="1809" t="str">
        <f>Q26</f>
        <v>平面位置/可视性</v>
      </c>
      <c r="AA26" s="1806">
        <f t="shared" si="3"/>
        <v>0.970873786407767</v>
      </c>
      <c r="AB26" s="1806">
        <f t="shared" si="4"/>
        <v>0.970873786407767</v>
      </c>
      <c r="AC26" s="1806">
        <f t="shared" si="5"/>
        <v>0.970873786407767</v>
      </c>
    </row>
    <row r="27" spans="1:29" s="117" customFormat="1" ht="15">
      <c r="A27" s="430"/>
      <c r="B27" s="450" t="s">
        <v>2646</v>
      </c>
      <c r="C27" s="2658" t="s">
        <v>3667</v>
      </c>
      <c r="D27" s="461">
        <v>100</v>
      </c>
      <c r="E27" s="2658" t="s">
        <v>3667</v>
      </c>
      <c r="F27" s="463">
        <f>SUMIF(90:90,E27,91:91)-SUMIF(90:90,C27,91:91)+100</f>
        <v>100</v>
      </c>
      <c r="G27" s="2658" t="s">
        <v>3667</v>
      </c>
      <c r="H27" s="461">
        <f>SUMIF(90:90,G27,91:91)-SUMIF(90:90,C27,91:91)+100</f>
        <v>100</v>
      </c>
      <c r="I27" s="2658" t="s">
        <v>3667</v>
      </c>
      <c r="J27" s="461">
        <f>SUMIF(90:90,I27,91:91)-SUMIF(90:90,C27,91:91)+100</f>
        <v>100</v>
      </c>
      <c r="K27" s="611">
        <v>3</v>
      </c>
      <c r="L27" s="1127"/>
      <c r="M27" s="1128"/>
      <c r="N27" s="1128"/>
      <c r="O27" s="1128"/>
      <c r="P27" s="3263"/>
      <c r="Q27" s="1790" t="str">
        <f t="shared" si="11"/>
        <v>人流量</v>
      </c>
      <c r="R27" s="767" t="s">
        <v>17</v>
      </c>
      <c r="S27" s="768">
        <f>F27</f>
        <v>100</v>
      </c>
      <c r="T27" s="767" t="s">
        <v>17</v>
      </c>
      <c r="U27" s="768">
        <f>H27</f>
        <v>100</v>
      </c>
      <c r="V27" s="767" t="s">
        <v>17</v>
      </c>
      <c r="W27" s="768">
        <f>J27</f>
        <v>100</v>
      </c>
      <c r="X27" s="769"/>
      <c r="Y27" s="3265"/>
      <c r="Z27" s="55" t="str">
        <f>Q27</f>
        <v>人流量</v>
      </c>
      <c r="AA27" s="1806">
        <f>D27/F27</f>
        <v>1</v>
      </c>
      <c r="AB27" s="1806">
        <f>D27/H27</f>
        <v>1</v>
      </c>
      <c r="AC27" s="1806">
        <f>D27/J27</f>
        <v>1</v>
      </c>
    </row>
    <row r="28" spans="1:29" ht="15.75" thickBot="1">
      <c r="A28" s="427"/>
      <c r="B28" s="421" t="s">
        <v>2647</v>
      </c>
      <c r="C28" s="615" t="s">
        <v>3229</v>
      </c>
      <c r="D28" s="434">
        <v>100</v>
      </c>
      <c r="E28" s="615" t="s">
        <v>3229</v>
      </c>
      <c r="F28" s="460">
        <f>SUMIF(92:92,E28,93:93)-SUMIF(92:92,C28,93:93)+100</f>
        <v>100</v>
      </c>
      <c r="G28" s="615" t="s">
        <v>3229</v>
      </c>
      <c r="H28" s="434">
        <f>SUMIF(92:92,G28,93:93)-SUMIF(92:92,C28,93:93)+100</f>
        <v>100</v>
      </c>
      <c r="I28" s="615">
        <v>1</v>
      </c>
      <c r="J28" s="434">
        <f>SUMIF(92:92,I28,93:93)-SUMIF(92:92,C28,93:93)+100</f>
        <v>115</v>
      </c>
      <c r="K28" s="612"/>
      <c r="L28" s="1135"/>
      <c r="M28" s="1126"/>
      <c r="N28" s="1126"/>
      <c r="O28" s="1126"/>
      <c r="P28" s="3263"/>
      <c r="Q28" s="1805" t="str">
        <f t="shared" si="11"/>
        <v>楼层</v>
      </c>
      <c r="R28" s="771" t="s">
        <v>17</v>
      </c>
      <c r="S28" s="772">
        <f t="shared" ref="S28:S46" si="12">F28</f>
        <v>100</v>
      </c>
      <c r="T28" s="771" t="s">
        <v>17</v>
      </c>
      <c r="U28" s="772">
        <f t="shared" ref="U28:U46" si="13">H28</f>
        <v>100</v>
      </c>
      <c r="V28" s="771" t="s">
        <v>17</v>
      </c>
      <c r="W28" s="772">
        <f t="shared" ref="W28:W46" si="14">J28</f>
        <v>115</v>
      </c>
      <c r="X28" s="1808"/>
      <c r="Y28" s="3265"/>
      <c r="Z28" s="1809" t="str">
        <f t="shared" ref="Z28:Z46" si="15">Q28</f>
        <v>楼层</v>
      </c>
      <c r="AA28" s="1806">
        <f t="shared" si="3"/>
        <v>1</v>
      </c>
      <c r="AB28" s="1806">
        <f t="shared" si="4"/>
        <v>1</v>
      </c>
      <c r="AC28" s="1806">
        <f t="shared" si="5"/>
        <v>0.86956521739130432</v>
      </c>
    </row>
    <row r="29" spans="1:29" ht="15" hidden="1">
      <c r="A29" s="427"/>
      <c r="B29" s="1381"/>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63"/>
      <c r="Q29" s="1805">
        <f t="shared" si="11"/>
        <v>0</v>
      </c>
      <c r="R29" s="771" t="s">
        <v>17</v>
      </c>
      <c r="S29" s="772">
        <f t="shared" si="12"/>
        <v>100</v>
      </c>
      <c r="T29" s="771" t="s">
        <v>17</v>
      </c>
      <c r="U29" s="772">
        <f t="shared" si="13"/>
        <v>100</v>
      </c>
      <c r="V29" s="771" t="s">
        <v>17</v>
      </c>
      <c r="W29" s="772">
        <f t="shared" si="14"/>
        <v>100</v>
      </c>
      <c r="X29" s="1808"/>
      <c r="Y29" s="3265"/>
      <c r="Z29" s="1809">
        <f t="shared" si="15"/>
        <v>0</v>
      </c>
      <c r="AA29" s="1806">
        <f t="shared" si="3"/>
        <v>1</v>
      </c>
      <c r="AB29" s="1806">
        <f t="shared" si="4"/>
        <v>1</v>
      </c>
      <c r="AC29" s="1806">
        <f t="shared" si="5"/>
        <v>1</v>
      </c>
    </row>
    <row r="30" spans="1:29" ht="15" hidden="1">
      <c r="A30" s="427"/>
      <c r="B30" s="1381"/>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63"/>
      <c r="Q30" s="1805">
        <f t="shared" si="11"/>
        <v>0</v>
      </c>
      <c r="R30" s="771" t="s">
        <v>17</v>
      </c>
      <c r="S30" s="772">
        <f t="shared" si="12"/>
        <v>100</v>
      </c>
      <c r="T30" s="771" t="s">
        <v>17</v>
      </c>
      <c r="U30" s="772">
        <f t="shared" si="13"/>
        <v>100</v>
      </c>
      <c r="V30" s="771" t="s">
        <v>17</v>
      </c>
      <c r="W30" s="772">
        <f t="shared" si="14"/>
        <v>100</v>
      </c>
      <c r="X30" s="1808"/>
      <c r="Y30" s="3265"/>
      <c r="Z30" s="1809">
        <f t="shared" si="15"/>
        <v>0</v>
      </c>
      <c r="AA30" s="1806">
        <f t="shared" si="3"/>
        <v>1</v>
      </c>
      <c r="AB30" s="1806">
        <f t="shared" si="4"/>
        <v>1</v>
      </c>
      <c r="AC30" s="1806">
        <f t="shared" si="5"/>
        <v>1</v>
      </c>
    </row>
    <row r="31" spans="1:29" ht="15.75" hidden="1" thickBot="1">
      <c r="A31" s="435"/>
      <c r="B31" s="1381"/>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63"/>
      <c r="Q31" s="1805">
        <f t="shared" si="11"/>
        <v>0</v>
      </c>
      <c r="R31" s="771" t="s">
        <v>17</v>
      </c>
      <c r="S31" s="772">
        <f t="shared" si="12"/>
        <v>100</v>
      </c>
      <c r="T31" s="771" t="s">
        <v>17</v>
      </c>
      <c r="U31" s="772">
        <f t="shared" si="13"/>
        <v>100</v>
      </c>
      <c r="V31" s="771" t="s">
        <v>17</v>
      </c>
      <c r="W31" s="772">
        <f t="shared" si="14"/>
        <v>100</v>
      </c>
      <c r="X31" s="1808"/>
      <c r="Y31" s="3265"/>
      <c r="Z31" s="1809">
        <f t="shared" si="15"/>
        <v>0</v>
      </c>
      <c r="AA31" s="1806">
        <f t="shared" si="3"/>
        <v>1</v>
      </c>
      <c r="AB31" s="1806">
        <f t="shared" si="4"/>
        <v>1</v>
      </c>
      <c r="AC31" s="1806">
        <f t="shared" si="5"/>
        <v>1</v>
      </c>
    </row>
    <row r="32" spans="1:29" ht="15">
      <c r="A32" s="439" t="s">
        <v>2551</v>
      </c>
      <c r="B32" s="71" t="s">
        <v>2648</v>
      </c>
      <c r="C32" s="2610" t="s">
        <v>3237</v>
      </c>
      <c r="D32" s="466">
        <v>100</v>
      </c>
      <c r="E32" s="2610" t="s">
        <v>3237</v>
      </c>
      <c r="F32" s="460">
        <f>SUMIF(100:100,E32,101:101)-SUMIF(100:100,C32,101:101)+100</f>
        <v>100</v>
      </c>
      <c r="G32" s="2610" t="s">
        <v>3237</v>
      </c>
      <c r="H32" s="434">
        <f>SUMIF(100:100,G32,101:101)-SUMIF(100:100,C32,101:101)+100</f>
        <v>100</v>
      </c>
      <c r="I32" s="2610" t="s">
        <v>3680</v>
      </c>
      <c r="J32" s="466">
        <f>SUMIF(100:100,I32,101:101)-SUMIF(100:100,C32,101:101)+100</f>
        <v>103</v>
      </c>
      <c r="K32" s="611">
        <v>3</v>
      </c>
      <c r="L32" s="1135"/>
      <c r="M32" s="1126"/>
      <c r="N32" s="1126"/>
      <c r="O32" s="1126"/>
      <c r="P32" s="3266" t="s">
        <v>2553</v>
      </c>
      <c r="Q32" s="1805" t="str">
        <f t="shared" si="11"/>
        <v>商业类型</v>
      </c>
      <c r="R32" s="771" t="s">
        <v>17</v>
      </c>
      <c r="S32" s="772">
        <f t="shared" si="12"/>
        <v>100</v>
      </c>
      <c r="T32" s="771" t="s">
        <v>17</v>
      </c>
      <c r="U32" s="772">
        <f t="shared" si="13"/>
        <v>100</v>
      </c>
      <c r="V32" s="771" t="s">
        <v>17</v>
      </c>
      <c r="W32" s="772">
        <f t="shared" si="14"/>
        <v>103</v>
      </c>
      <c r="X32" s="1808"/>
      <c r="Y32" s="3269" t="s">
        <v>2553</v>
      </c>
      <c r="Z32" s="1809" t="str">
        <f t="shared" si="15"/>
        <v>商业类型</v>
      </c>
      <c r="AA32" s="1806">
        <f t="shared" si="3"/>
        <v>1</v>
      </c>
      <c r="AB32" s="1806">
        <f t="shared" si="4"/>
        <v>1</v>
      </c>
      <c r="AC32" s="1806">
        <f t="shared" si="5"/>
        <v>0.970873786407767</v>
      </c>
    </row>
    <row r="33" spans="1:29" s="470" customFormat="1" ht="15" hidden="1">
      <c r="A33" s="467"/>
      <c r="B33" s="421" t="s">
        <v>2554</v>
      </c>
      <c r="C33" s="468"/>
      <c r="D33" s="136">
        <v>100</v>
      </c>
      <c r="E33" s="429"/>
      <c r="F33" s="424">
        <f>LOOKUP(E33,103:103,104:104)-LOOKUP(C33,103:103,104:104)+100</f>
        <v>100</v>
      </c>
      <c r="G33" s="428"/>
      <c r="H33" s="136">
        <f>LOOKUP(G33,103:103,104:104)-LOOKUP(C33,103:103,104:104)+100</f>
        <v>100</v>
      </c>
      <c r="I33" s="428"/>
      <c r="J33" s="136">
        <f>LOOKUP(I33,103:103,104:104)-LOOKUP(C33,103:103,104:104)+100</f>
        <v>100</v>
      </c>
      <c r="K33" s="612"/>
      <c r="L33" s="1133"/>
      <c r="M33" s="1136"/>
      <c r="N33" s="1136"/>
      <c r="O33" s="1136"/>
      <c r="P33" s="3267"/>
      <c r="Q33" s="773" t="str">
        <f t="shared" si="11"/>
        <v>项目建筑规模</v>
      </c>
      <c r="R33" s="774" t="s">
        <v>17</v>
      </c>
      <c r="S33" s="775">
        <f t="shared" si="12"/>
        <v>100</v>
      </c>
      <c r="T33" s="774" t="s">
        <v>17</v>
      </c>
      <c r="U33" s="775">
        <f t="shared" si="13"/>
        <v>100</v>
      </c>
      <c r="V33" s="774" t="s">
        <v>17</v>
      </c>
      <c r="W33" s="775">
        <f t="shared" si="14"/>
        <v>100</v>
      </c>
      <c r="X33" s="776"/>
      <c r="Y33" s="3269"/>
      <c r="Z33" s="777" t="str">
        <f t="shared" si="15"/>
        <v>项目建筑规模</v>
      </c>
      <c r="AA33" s="1806">
        <f t="shared" si="3"/>
        <v>1</v>
      </c>
      <c r="AB33" s="1806">
        <f t="shared" si="4"/>
        <v>1</v>
      </c>
      <c r="AC33" s="1806">
        <f t="shared" si="5"/>
        <v>1</v>
      </c>
    </row>
    <row r="34" spans="1:29" ht="15">
      <c r="A34" s="471"/>
      <c r="B34" s="421" t="s">
        <v>2555</v>
      </c>
      <c r="C34" s="2612" t="s">
        <v>3064</v>
      </c>
      <c r="D34" s="434">
        <v>100</v>
      </c>
      <c r="E34" s="2612" t="s">
        <v>3064</v>
      </c>
      <c r="F34" s="460">
        <f>SUMIF(105:105,E34,106:106)-SUMIF(105:105,C34,106:106)+100</f>
        <v>100</v>
      </c>
      <c r="G34" s="2612" t="s">
        <v>3064</v>
      </c>
      <c r="H34" s="434">
        <f>SUMIF(105:105,G34,106:106)-SUMIF(105:105,C34,106:106)+100</f>
        <v>100</v>
      </c>
      <c r="I34" s="2612" t="s">
        <v>3064</v>
      </c>
      <c r="J34" s="434">
        <f>SUMIF(105:105,I34,106:106)-SUMIF(105:105,C34,106:106)+100</f>
        <v>100</v>
      </c>
      <c r="K34" s="611">
        <v>2</v>
      </c>
      <c r="L34" s="1135"/>
      <c r="M34" s="1126"/>
      <c r="N34" s="1126"/>
      <c r="O34" s="1126"/>
      <c r="P34" s="3267"/>
      <c r="Q34" s="1805" t="str">
        <f t="shared" si="11"/>
        <v>建筑结构</v>
      </c>
      <c r="R34" s="771" t="s">
        <v>17</v>
      </c>
      <c r="S34" s="772">
        <f t="shared" si="12"/>
        <v>100</v>
      </c>
      <c r="T34" s="771" t="s">
        <v>17</v>
      </c>
      <c r="U34" s="772">
        <f t="shared" si="13"/>
        <v>100</v>
      </c>
      <c r="V34" s="771" t="s">
        <v>17</v>
      </c>
      <c r="W34" s="772">
        <f t="shared" si="14"/>
        <v>100</v>
      </c>
      <c r="X34" s="1808"/>
      <c r="Y34" s="3269"/>
      <c r="Z34" s="1809" t="str">
        <f t="shared" si="15"/>
        <v>建筑结构</v>
      </c>
      <c r="AA34" s="1806">
        <f t="shared" si="3"/>
        <v>1</v>
      </c>
      <c r="AB34" s="1806">
        <f t="shared" si="4"/>
        <v>1</v>
      </c>
      <c r="AC34" s="1806">
        <f t="shared" si="5"/>
        <v>1</v>
      </c>
    </row>
    <row r="35" spans="1:29" ht="15">
      <c r="A35" s="471"/>
      <c r="B35" s="421" t="s">
        <v>2649</v>
      </c>
      <c r="C35" s="2606" t="s">
        <v>3084</v>
      </c>
      <c r="D35" s="434">
        <v>100</v>
      </c>
      <c r="E35" s="2606" t="s">
        <v>3084</v>
      </c>
      <c r="F35" s="460">
        <f>SUMIF(107:107,E35,108:108)-SUMIF(107:107,C35,108:108)+100</f>
        <v>100</v>
      </c>
      <c r="G35" s="2606" t="s">
        <v>3084</v>
      </c>
      <c r="H35" s="434">
        <f>SUMIF(107:107,G35,108:108)-SUMIF(107:107,C35,108:108)+100</f>
        <v>100</v>
      </c>
      <c r="I35" s="2606" t="s">
        <v>3084</v>
      </c>
      <c r="J35" s="434">
        <f>SUMIF(107:107,I35,108:108)-SUMIF(107:107,C35,108:108)+100</f>
        <v>100</v>
      </c>
      <c r="K35" s="611">
        <v>2</v>
      </c>
      <c r="L35" s="1135"/>
      <c r="M35" s="1126"/>
      <c r="N35" s="1126"/>
      <c r="O35" s="1126"/>
      <c r="P35" s="3267"/>
      <c r="Q35" s="1805" t="str">
        <f t="shared" si="11"/>
        <v>公共部分装修</v>
      </c>
      <c r="R35" s="771" t="s">
        <v>17</v>
      </c>
      <c r="S35" s="772">
        <f t="shared" si="12"/>
        <v>100</v>
      </c>
      <c r="T35" s="771" t="s">
        <v>17</v>
      </c>
      <c r="U35" s="772">
        <f t="shared" si="13"/>
        <v>100</v>
      </c>
      <c r="V35" s="771" t="s">
        <v>17</v>
      </c>
      <c r="W35" s="772">
        <f t="shared" si="14"/>
        <v>100</v>
      </c>
      <c r="X35" s="1808"/>
      <c r="Y35" s="3269"/>
      <c r="Z35" s="1809" t="str">
        <f t="shared" si="15"/>
        <v>公共部分装修</v>
      </c>
      <c r="AA35" s="1806">
        <f t="shared" si="3"/>
        <v>1</v>
      </c>
      <c r="AB35" s="1806">
        <f t="shared" si="4"/>
        <v>1</v>
      </c>
      <c r="AC35" s="1806">
        <f t="shared" si="5"/>
        <v>1</v>
      </c>
    </row>
    <row r="36" spans="1:29" s="3032" customFormat="1" ht="15">
      <c r="A36" s="3023"/>
      <c r="B36" s="3017" t="s">
        <v>3684</v>
      </c>
      <c r="C36" s="2951">
        <v>0.9</v>
      </c>
      <c r="D36" s="3019">
        <v>100</v>
      </c>
      <c r="E36" s="2951">
        <v>0.9</v>
      </c>
      <c r="F36" s="3021">
        <f>LOOKUP(E36,110:110,111:111)-LOOKUP(C36,110:110,111:111)+100</f>
        <v>100</v>
      </c>
      <c r="G36" s="2951">
        <v>0.9</v>
      </c>
      <c r="H36" s="3019">
        <f>LOOKUP(G36,110:110,111:111)-LOOKUP(C36,110:110,111:111)+100</f>
        <v>100</v>
      </c>
      <c r="I36" s="2951">
        <v>0.8</v>
      </c>
      <c r="J36" s="3019">
        <f>LOOKUP(I36,110:110,111:111)-LOOKUP(C36,110:110,111:111)+100</f>
        <v>97</v>
      </c>
      <c r="K36" s="3022">
        <v>3</v>
      </c>
      <c r="L36" s="3024"/>
      <c r="M36" s="3025"/>
      <c r="N36" s="3025"/>
      <c r="O36" s="3025"/>
      <c r="P36" s="3267"/>
      <c r="Q36" s="3026" t="str">
        <f t="shared" si="11"/>
        <v>成新度</v>
      </c>
      <c r="R36" s="3027" t="s">
        <v>17</v>
      </c>
      <c r="S36" s="3028">
        <f t="shared" si="12"/>
        <v>100</v>
      </c>
      <c r="T36" s="3027" t="s">
        <v>17</v>
      </c>
      <c r="U36" s="3028">
        <f t="shared" si="13"/>
        <v>100</v>
      </c>
      <c r="V36" s="3027" t="s">
        <v>17</v>
      </c>
      <c r="W36" s="3028">
        <f t="shared" si="14"/>
        <v>97</v>
      </c>
      <c r="X36" s="3029"/>
      <c r="Y36" s="3269"/>
      <c r="Z36" s="3030" t="str">
        <f t="shared" si="15"/>
        <v>成新度</v>
      </c>
      <c r="AA36" s="3031">
        <f t="shared" si="3"/>
        <v>1</v>
      </c>
      <c r="AB36" s="3031">
        <f t="shared" si="4"/>
        <v>1</v>
      </c>
      <c r="AC36" s="3031">
        <f t="shared" si="5"/>
        <v>1.0309278350515463</v>
      </c>
    </row>
    <row r="37" spans="1:29" s="117" customFormat="1" ht="15">
      <c r="A37" s="472"/>
      <c r="B37" s="421" t="s">
        <v>2651</v>
      </c>
      <c r="C37" s="2606" t="s">
        <v>3080</v>
      </c>
      <c r="D37" s="136">
        <v>100</v>
      </c>
      <c r="E37" s="2606" t="s">
        <v>3080</v>
      </c>
      <c r="F37" s="460">
        <f>SUMIF(112:112,E37,113:113)-SUMIF(112:112,C37,113:113)+100</f>
        <v>100</v>
      </c>
      <c r="G37" s="2606" t="s">
        <v>3080</v>
      </c>
      <c r="H37" s="434">
        <f>SUMIF(112:112,G37,113:113)-SUMIF(112:112,C37,113:113)+100</f>
        <v>100</v>
      </c>
      <c r="I37" s="2606" t="s">
        <v>3080</v>
      </c>
      <c r="J37" s="434">
        <f>SUMIF(112:112,I37,113:113)-SUMIF(112:112,C37,113:113)+100</f>
        <v>100</v>
      </c>
      <c r="K37" s="611">
        <v>2</v>
      </c>
      <c r="L37" s="1127"/>
      <c r="M37" s="1128"/>
      <c r="N37" s="1128"/>
      <c r="O37" s="1128"/>
      <c r="P37" s="3267"/>
      <c r="Q37" s="1790" t="str">
        <f t="shared" si="11"/>
        <v>市政基础设施</v>
      </c>
      <c r="R37" s="767" t="s">
        <v>17</v>
      </c>
      <c r="S37" s="768">
        <f t="shared" si="12"/>
        <v>100</v>
      </c>
      <c r="T37" s="767" t="s">
        <v>17</v>
      </c>
      <c r="U37" s="768">
        <f t="shared" si="13"/>
        <v>100</v>
      </c>
      <c r="V37" s="767" t="s">
        <v>17</v>
      </c>
      <c r="W37" s="768">
        <f t="shared" si="14"/>
        <v>100</v>
      </c>
      <c r="X37" s="769"/>
      <c r="Y37" s="3269"/>
      <c r="Z37" s="55" t="str">
        <f t="shared" si="15"/>
        <v>市政基础设施</v>
      </c>
      <c r="AA37" s="770">
        <f t="shared" si="3"/>
        <v>1</v>
      </c>
      <c r="AB37" s="770">
        <f t="shared" si="4"/>
        <v>1</v>
      </c>
      <c r="AC37" s="770">
        <f t="shared" si="5"/>
        <v>1</v>
      </c>
    </row>
    <row r="38" spans="1:29" ht="15">
      <c r="A38" s="471"/>
      <c r="B38" s="421" t="s">
        <v>2652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v>2</v>
      </c>
      <c r="L38" s="1135"/>
      <c r="M38" s="1126"/>
      <c r="N38" s="1126"/>
      <c r="O38" s="1126"/>
      <c r="P38" s="3267" t="s">
        <v>2553</v>
      </c>
      <c r="Q38" s="1805" t="str">
        <f t="shared" si="11"/>
        <v>业态</v>
      </c>
      <c r="R38" s="771" t="s">
        <v>17</v>
      </c>
      <c r="S38" s="772">
        <f t="shared" si="12"/>
        <v>100</v>
      </c>
      <c r="T38" s="771" t="s">
        <v>17</v>
      </c>
      <c r="U38" s="772">
        <f t="shared" si="13"/>
        <v>100</v>
      </c>
      <c r="V38" s="771" t="s">
        <v>17</v>
      </c>
      <c r="W38" s="772">
        <f t="shared" si="14"/>
        <v>100</v>
      </c>
      <c r="X38" s="1808"/>
      <c r="Y38" s="3269" t="s">
        <v>2553</v>
      </c>
      <c r="Z38" s="1809" t="str">
        <f t="shared" si="15"/>
        <v>业态</v>
      </c>
      <c r="AA38" s="1806">
        <f t="shared" si="3"/>
        <v>1</v>
      </c>
      <c r="AB38" s="1806">
        <f t="shared" si="4"/>
        <v>1</v>
      </c>
      <c r="AC38" s="1806">
        <f t="shared" si="5"/>
        <v>1</v>
      </c>
    </row>
    <row r="39" spans="1:29" ht="15" hidden="1">
      <c r="A39" s="471"/>
      <c r="B39" s="421" t="s">
        <v>2653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v>2</v>
      </c>
      <c r="L39" s="1135"/>
      <c r="M39" s="1126"/>
      <c r="N39" s="1126"/>
      <c r="O39" s="1126"/>
      <c r="P39" s="3267"/>
      <c r="Q39" s="1805" t="str">
        <f t="shared" si="11"/>
        <v>层高</v>
      </c>
      <c r="R39" s="771" t="s">
        <v>17</v>
      </c>
      <c r="S39" s="772">
        <f t="shared" si="12"/>
        <v>100</v>
      </c>
      <c r="T39" s="771" t="s">
        <v>17</v>
      </c>
      <c r="U39" s="772">
        <f t="shared" si="13"/>
        <v>100</v>
      </c>
      <c r="V39" s="771" t="s">
        <v>17</v>
      </c>
      <c r="W39" s="772">
        <f t="shared" si="14"/>
        <v>100</v>
      </c>
      <c r="X39" s="1808"/>
      <c r="Y39" s="3269"/>
      <c r="Z39" s="1809" t="str">
        <f t="shared" si="15"/>
        <v>层高</v>
      </c>
      <c r="AA39" s="1806">
        <f t="shared" si="3"/>
        <v>1</v>
      </c>
      <c r="AB39" s="1806">
        <f t="shared" si="4"/>
        <v>1</v>
      </c>
      <c r="AC39" s="1806">
        <f t="shared" si="5"/>
        <v>1</v>
      </c>
    </row>
    <row r="40" spans="1:29" s="3013" customFormat="1" ht="15">
      <c r="A40" s="598"/>
      <c r="B40" s="460" t="s">
        <v>3685</v>
      </c>
      <c r="C40" s="433"/>
      <c r="D40" s="434">
        <v>100</v>
      </c>
      <c r="E40" s="433">
        <v>200</v>
      </c>
      <c r="F40" s="460">
        <f>SUMIF(118:118,E40,119:119)-SUMIF(118:118,C40,119:119)+100</f>
        <v>100</v>
      </c>
      <c r="G40" s="433">
        <v>238</v>
      </c>
      <c r="H40" s="434">
        <f>SUMIF(118:118,G40,119:119)-SUMIF(118:118,C40,119:119)+100</f>
        <v>100</v>
      </c>
      <c r="I40" s="433">
        <v>140</v>
      </c>
      <c r="J40" s="434">
        <f>SUMIF(118:118,I40,119:119)-SUMIF(118:118,C40,119:119)+100</f>
        <v>100</v>
      </c>
      <c r="K40" s="612"/>
      <c r="L40" s="1148"/>
      <c r="M40" s="3008"/>
      <c r="N40" s="3008"/>
      <c r="O40" s="3008"/>
      <c r="P40" s="3267"/>
      <c r="Q40" s="3009" t="str">
        <f t="shared" si="11"/>
        <v>单套建筑面积</v>
      </c>
      <c r="R40" s="3010" t="s">
        <v>17</v>
      </c>
      <c r="S40" s="3011">
        <f t="shared" si="12"/>
        <v>100</v>
      </c>
      <c r="T40" s="3010" t="s">
        <v>17</v>
      </c>
      <c r="U40" s="3011">
        <f t="shared" si="13"/>
        <v>100</v>
      </c>
      <c r="V40" s="3010" t="s">
        <v>17</v>
      </c>
      <c r="W40" s="3011">
        <f t="shared" si="14"/>
        <v>100</v>
      </c>
      <c r="X40" s="3012"/>
      <c r="Y40" s="3269"/>
      <c r="Z40" s="3033" t="str">
        <f t="shared" si="15"/>
        <v>单套建筑面积</v>
      </c>
      <c r="AA40" s="3033">
        <f t="shared" si="3"/>
        <v>1</v>
      </c>
      <c r="AB40" s="3033">
        <f t="shared" si="4"/>
        <v>1</v>
      </c>
      <c r="AC40" s="3033">
        <f t="shared" si="5"/>
        <v>1</v>
      </c>
    </row>
    <row r="41" spans="1:29" s="470" customFormat="1" ht="15" hidden="1">
      <c r="A41" s="467"/>
      <c r="B41" s="1807"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3"/>
      <c r="M41" s="1136"/>
      <c r="N41" s="1136"/>
      <c r="O41" s="1136"/>
      <c r="P41" s="3267"/>
      <c r="Q41" s="773" t="str">
        <f t="shared" si="11"/>
        <v>进深比</v>
      </c>
      <c r="R41" s="774" t="s">
        <v>17</v>
      </c>
      <c r="S41" s="775">
        <f t="shared" si="12"/>
        <v>100</v>
      </c>
      <c r="T41" s="774" t="s">
        <v>17</v>
      </c>
      <c r="U41" s="775">
        <f t="shared" si="13"/>
        <v>100</v>
      </c>
      <c r="V41" s="774" t="s">
        <v>17</v>
      </c>
      <c r="W41" s="775">
        <f t="shared" si="14"/>
        <v>100</v>
      </c>
      <c r="X41" s="776"/>
      <c r="Y41" s="3269"/>
      <c r="Z41" s="777" t="str">
        <f t="shared" si="15"/>
        <v>进深比</v>
      </c>
      <c r="AA41" s="1806">
        <f t="shared" si="3"/>
        <v>1</v>
      </c>
      <c r="AB41" s="1806">
        <f t="shared" si="4"/>
        <v>1</v>
      </c>
      <c r="AC41" s="1806">
        <f t="shared" si="5"/>
        <v>1</v>
      </c>
    </row>
    <row r="42" spans="1:29" ht="15">
      <c r="A42" s="471"/>
      <c r="B42" s="421" t="s">
        <v>2655</v>
      </c>
      <c r="C42" s="2606" t="s">
        <v>3077</v>
      </c>
      <c r="D42" s="434">
        <v>100</v>
      </c>
      <c r="E42" s="2606" t="s">
        <v>3077</v>
      </c>
      <c r="F42" s="460">
        <f>SUMIF(122:122,E42,123:123)-SUMIF(122:122,C42,123:123)+100</f>
        <v>100</v>
      </c>
      <c r="G42" s="2606" t="s">
        <v>3077</v>
      </c>
      <c r="H42" s="434">
        <f>SUMIF(122:122,G42,123:123)-SUMIF(122:122,C42,123:123)+100</f>
        <v>100</v>
      </c>
      <c r="I42" s="2606" t="s">
        <v>3077</v>
      </c>
      <c r="J42" s="434">
        <f>SUMIF(122:122,I42,123:123)-SUMIF(122:122,C42,123:123)+100</f>
        <v>100</v>
      </c>
      <c r="K42" s="611">
        <v>2</v>
      </c>
      <c r="L42" s="1135"/>
      <c r="M42" s="1126"/>
      <c r="N42" s="1126"/>
      <c r="O42" s="1126"/>
      <c r="P42" s="3267"/>
      <c r="Q42" s="1805" t="str">
        <f t="shared" si="11"/>
        <v>内部装修</v>
      </c>
      <c r="R42" s="771" t="s">
        <v>17</v>
      </c>
      <c r="S42" s="772">
        <f t="shared" si="12"/>
        <v>100</v>
      </c>
      <c r="T42" s="771" t="s">
        <v>17</v>
      </c>
      <c r="U42" s="772">
        <f t="shared" si="13"/>
        <v>100</v>
      </c>
      <c r="V42" s="771" t="s">
        <v>17</v>
      </c>
      <c r="W42" s="772">
        <f t="shared" si="14"/>
        <v>100</v>
      </c>
      <c r="X42" s="1808"/>
      <c r="Y42" s="3269"/>
      <c r="Z42" s="1809" t="str">
        <f t="shared" si="15"/>
        <v>内部装修</v>
      </c>
      <c r="AA42" s="1806">
        <f t="shared" si="3"/>
        <v>1</v>
      </c>
      <c r="AB42" s="1806">
        <f t="shared" si="4"/>
        <v>1</v>
      </c>
      <c r="AC42" s="1806">
        <f t="shared" si="5"/>
        <v>1</v>
      </c>
    </row>
    <row r="43" spans="1:29" ht="15.75" thickBot="1">
      <c r="A43" s="471"/>
      <c r="B43" s="421" t="s">
        <v>2564</v>
      </c>
      <c r="C43" s="2606" t="s">
        <v>3096</v>
      </c>
      <c r="D43" s="434">
        <v>100</v>
      </c>
      <c r="E43" s="2606" t="s">
        <v>3096</v>
      </c>
      <c r="F43" s="460">
        <f>SUMIF(124:124,E43,125:125)-SUMIF(124:124,C43,125:125)+100</f>
        <v>100</v>
      </c>
      <c r="G43" s="2606" t="s">
        <v>3096</v>
      </c>
      <c r="H43" s="434">
        <f>SUMIF(124:124,G43,125:125)-SUMIF(124:124,C43,125:125)+100</f>
        <v>100</v>
      </c>
      <c r="I43" s="2606" t="s">
        <v>3096</v>
      </c>
      <c r="J43" s="434">
        <f>SUMIF(124:124,I43,125:125)-SUMIF(124:124,C43,125:125)+100</f>
        <v>100</v>
      </c>
      <c r="K43" s="611">
        <v>2</v>
      </c>
      <c r="L43" s="1135"/>
      <c r="M43" s="1126"/>
      <c r="N43" s="1126"/>
      <c r="O43" s="1126"/>
      <c r="P43" s="3267"/>
      <c r="Q43" s="1805" t="str">
        <f t="shared" si="11"/>
        <v>内部装修维护情况</v>
      </c>
      <c r="R43" s="771" t="s">
        <v>17</v>
      </c>
      <c r="S43" s="772">
        <f t="shared" si="12"/>
        <v>100</v>
      </c>
      <c r="T43" s="771" t="s">
        <v>17</v>
      </c>
      <c r="U43" s="772">
        <f t="shared" si="13"/>
        <v>100</v>
      </c>
      <c r="V43" s="771" t="s">
        <v>17</v>
      </c>
      <c r="W43" s="772">
        <f t="shared" si="14"/>
        <v>100</v>
      </c>
      <c r="X43" s="1808"/>
      <c r="Y43" s="3269"/>
      <c r="Z43" s="1809" t="str">
        <f t="shared" si="15"/>
        <v>内部装修维护情况</v>
      </c>
      <c r="AA43" s="1806">
        <f t="shared" si="3"/>
        <v>1</v>
      </c>
      <c r="AB43" s="1806">
        <f t="shared" si="4"/>
        <v>1</v>
      </c>
      <c r="AC43" s="1806">
        <f t="shared" si="5"/>
        <v>1</v>
      </c>
    </row>
    <row r="44" spans="1:29" s="117" customFormat="1" ht="15.75" hidden="1" thickBot="1">
      <c r="A44" s="472"/>
      <c r="B44" s="1381"/>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7"/>
      <c r="M44" s="1128"/>
      <c r="N44" s="1128"/>
      <c r="O44" s="1128"/>
      <c r="P44" s="3267"/>
      <c r="Q44" s="1790">
        <f t="shared" si="11"/>
        <v>0</v>
      </c>
      <c r="R44" s="767" t="s">
        <v>17</v>
      </c>
      <c r="S44" s="768">
        <f t="shared" si="12"/>
        <v>100</v>
      </c>
      <c r="T44" s="767" t="s">
        <v>17</v>
      </c>
      <c r="U44" s="768">
        <f t="shared" si="13"/>
        <v>100</v>
      </c>
      <c r="V44" s="767" t="s">
        <v>17</v>
      </c>
      <c r="W44" s="768">
        <f t="shared" si="14"/>
        <v>100</v>
      </c>
      <c r="X44" s="769"/>
      <c r="Y44" s="3269"/>
      <c r="Z44" s="55">
        <f t="shared" si="15"/>
        <v>0</v>
      </c>
      <c r="AA44" s="770">
        <f t="shared" si="3"/>
        <v>1</v>
      </c>
      <c r="AB44" s="770">
        <f t="shared" si="4"/>
        <v>1</v>
      </c>
      <c r="AC44" s="770">
        <f t="shared" si="5"/>
        <v>1</v>
      </c>
    </row>
    <row r="45" spans="1:29" ht="15.75" hidden="1" thickBot="1">
      <c r="A45" s="471"/>
      <c r="B45" s="1381"/>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67"/>
      <c r="Q45" s="1805">
        <f t="shared" si="11"/>
        <v>0</v>
      </c>
      <c r="R45" s="771" t="s">
        <v>17</v>
      </c>
      <c r="S45" s="772">
        <f t="shared" si="12"/>
        <v>100</v>
      </c>
      <c r="T45" s="771" t="s">
        <v>17</v>
      </c>
      <c r="U45" s="772">
        <f t="shared" si="13"/>
        <v>100</v>
      </c>
      <c r="V45" s="771" t="s">
        <v>17</v>
      </c>
      <c r="W45" s="772">
        <f t="shared" si="14"/>
        <v>100</v>
      </c>
      <c r="X45" s="1808"/>
      <c r="Y45" s="3269"/>
      <c r="Z45" s="1809">
        <f t="shared" si="15"/>
        <v>0</v>
      </c>
      <c r="AA45" s="1806">
        <f t="shared" si="3"/>
        <v>1</v>
      </c>
      <c r="AB45" s="1806">
        <f t="shared" si="4"/>
        <v>1</v>
      </c>
      <c r="AC45" s="1806">
        <f t="shared" si="5"/>
        <v>1</v>
      </c>
    </row>
    <row r="46" spans="1:29" ht="15.75" hidden="1" thickBot="1">
      <c r="A46" s="477"/>
      <c r="B46" s="2595"/>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68"/>
      <c r="Q46" s="1805">
        <f t="shared" si="11"/>
        <v>0</v>
      </c>
      <c r="R46" s="771" t="s">
        <v>17</v>
      </c>
      <c r="S46" s="772">
        <f t="shared" si="12"/>
        <v>100</v>
      </c>
      <c r="T46" s="771" t="s">
        <v>17</v>
      </c>
      <c r="U46" s="772">
        <f t="shared" si="13"/>
        <v>100</v>
      </c>
      <c r="V46" s="771" t="s">
        <v>17</v>
      </c>
      <c r="W46" s="772">
        <f t="shared" si="14"/>
        <v>100</v>
      </c>
      <c r="X46" s="1808"/>
      <c r="Y46" s="3270"/>
      <c r="Z46" s="1809">
        <f t="shared" si="15"/>
        <v>0</v>
      </c>
      <c r="AA46" s="1806">
        <f t="shared" si="3"/>
        <v>1</v>
      </c>
      <c r="AB46" s="1806">
        <f t="shared" si="4"/>
        <v>1</v>
      </c>
      <c r="AC46" s="1806">
        <f t="shared" si="5"/>
        <v>1</v>
      </c>
    </row>
    <row r="47" spans="1:29" ht="15">
      <c r="A47" s="478" t="s">
        <v>2565</v>
      </c>
      <c r="B47" s="479"/>
      <c r="C47" s="1402" t="s">
        <v>1</v>
      </c>
      <c r="D47" s="1403"/>
      <c r="E47" s="1404">
        <f>ROUND(1010/200*10000,0)</f>
        <v>50500</v>
      </c>
      <c r="F47" s="1405"/>
      <c r="G47" s="1406">
        <f>ROUND(1108/238*10000,0)</f>
        <v>46555</v>
      </c>
      <c r="H47" s="1407"/>
      <c r="I47" s="1406">
        <f>ROUND(702/140*10000,0)</f>
        <v>50143</v>
      </c>
      <c r="J47" s="1407"/>
      <c r="K47" s="780"/>
      <c r="L47" s="1138"/>
      <c r="M47" s="1139"/>
      <c r="N47" s="1126"/>
      <c r="O47" s="1139"/>
      <c r="P47" s="3271" t="str">
        <f>A47</f>
        <v>成交单价（元/平方米）</v>
      </c>
      <c r="Q47" s="3271"/>
      <c r="R47" s="3259">
        <f>E47</f>
        <v>50500</v>
      </c>
      <c r="S47" s="3259"/>
      <c r="T47" s="3259">
        <f>G47</f>
        <v>46555</v>
      </c>
      <c r="U47" s="3259"/>
      <c r="V47" s="3259">
        <f>I47</f>
        <v>50143</v>
      </c>
      <c r="W47" s="3259"/>
      <c r="X47" s="756"/>
      <c r="Y47" s="778"/>
      <c r="Z47" s="756"/>
      <c r="AA47" s="756"/>
      <c r="AB47" s="756"/>
      <c r="AC47" s="756"/>
    </row>
    <row r="48" spans="1:29" ht="15.75" thickBot="1">
      <c r="A48" s="485" t="s">
        <v>2656</v>
      </c>
      <c r="B48" s="486"/>
      <c r="C48" s="1408">
        <f>R49</f>
        <v>45548</v>
      </c>
      <c r="D48" s="1409"/>
      <c r="E48" s="1410">
        <f>R48</f>
        <v>46694</v>
      </c>
      <c r="F48" s="1410"/>
      <c r="G48" s="1408">
        <f>T48</f>
        <v>47578</v>
      </c>
      <c r="H48" s="1409"/>
      <c r="I48" s="1410">
        <f>V48</f>
        <v>42371</v>
      </c>
      <c r="J48" s="1409"/>
      <c r="K48" s="781"/>
      <c r="L48" s="1138"/>
      <c r="M48" s="1139"/>
      <c r="N48" s="1126"/>
      <c r="O48" s="1139"/>
      <c r="P48" s="3271" t="str">
        <f>A48</f>
        <v>比较价值（元/平方米）</v>
      </c>
      <c r="Q48" s="3271"/>
      <c r="R48" s="3272">
        <f>IF(F1="售价",ROUND(PRODUCT(R47,AA7:AA46),0),ROUND(PRODUCT(R47,AA7:AA46),1))</f>
        <v>46694</v>
      </c>
      <c r="S48" s="3272"/>
      <c r="T48" s="3272">
        <f>IF(F1="售价",ROUND(PRODUCT(T47,AB7:AB46),0),ROUND(PRODUCT(T47,AB7:AB46),1))</f>
        <v>47578</v>
      </c>
      <c r="U48" s="3272"/>
      <c r="V48" s="3272">
        <f>IF(F1="售价",ROUND(PRODUCT(V47,AC7:AC46),0),ROUND(PRODUCT(V47,AC7:AC46),1))</f>
        <v>42371</v>
      </c>
      <c r="W48" s="3272"/>
      <c r="X48" s="756"/>
      <c r="Y48" s="756"/>
      <c r="Z48" s="756"/>
      <c r="AA48" s="756"/>
      <c r="AB48" s="756"/>
      <c r="AC48" s="756"/>
    </row>
    <row r="49" spans="1:29" ht="15.75" thickBot="1">
      <c r="A49" s="491" t="s">
        <v>2657</v>
      </c>
      <c r="B49" s="492"/>
      <c r="C49" s="1412">
        <f>R49</f>
        <v>45548</v>
      </c>
      <c r="D49" s="1412"/>
      <c r="E49" s="1412"/>
      <c r="F49" s="1412"/>
      <c r="G49" s="1412"/>
      <c r="H49" s="1412"/>
      <c r="I49" s="1412"/>
      <c r="J49" s="1412"/>
      <c r="K49" s="782"/>
      <c r="L49" s="1138"/>
      <c r="M49" s="1139"/>
      <c r="N49" s="1126"/>
      <c r="O49" s="1139"/>
      <c r="P49" s="3288" t="str">
        <f>A49</f>
        <v>估价对象XX用房的比较价值（楼面单价，元/平方米）</v>
      </c>
      <c r="Q49" s="3289"/>
      <c r="R49" s="3290">
        <f>IF(F1="售价",ROUND(AVERAGE(R48:V48),0),ROUND(AVERAGE(R48:V48),1))</f>
        <v>45548</v>
      </c>
      <c r="S49" s="3290"/>
      <c r="T49" s="3290"/>
      <c r="U49" s="3290"/>
      <c r="V49" s="3290"/>
      <c r="W49" s="3290"/>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6" t="s">
        <v>2658</v>
      </c>
      <c r="D52" s="497"/>
      <c r="E52" s="498">
        <f>IF(E47&lt;E48,E48/E47-1,E47/E48-1)</f>
        <v>8.1509401636184586E-2</v>
      </c>
      <c r="F52" s="499" t="str">
        <f>IF(OR(E52&gt;=0.3,E52&lt;=-0.3),"超过30%","")</f>
        <v/>
      </c>
      <c r="G52" s="498">
        <f>IF(G47&lt;G48,G48/G47-1,G47/G48-1)</f>
        <v>2.1974009236387149E-2</v>
      </c>
      <c r="H52" s="499" t="str">
        <f>IF(OR(G52&gt;=0.3,G52&lt;=-0.3),"超过30%","")</f>
        <v/>
      </c>
      <c r="I52" s="498">
        <f>IF(I47&lt;I48,I48/I47-1,I47/I48-1)</f>
        <v>0.18342734417408124</v>
      </c>
      <c r="J52" s="499" t="str">
        <f>IF(OR(I52&gt;=0.3,I52&lt;=-0.3),"超过30%","")</f>
        <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6" t="s">
        <v>2659</v>
      </c>
      <c r="D53" s="500"/>
      <c r="E53" s="498">
        <f>IF(E48&lt;G48,G48/E48-1,E48/G48-1)</f>
        <v>1.8931768535572102E-2</v>
      </c>
      <c r="F53" s="499" t="str">
        <f>IF(OR(E53&gt;=0.2,E53&lt;=-0.2),"超过20%","")</f>
        <v/>
      </c>
      <c r="G53" s="498">
        <f>IF(G48&lt;I48,I48/G48-1,G48/I48-1)</f>
        <v>0.12289065634514174</v>
      </c>
      <c r="H53" s="499" t="str">
        <f>IF(OR(G53&gt;=0.2,G53&lt;=-0.2),"超过20%","")</f>
        <v/>
      </c>
      <c r="I53" s="498">
        <f>IF(I48&lt;E48,E48/I48-1,I48/E48-1)</f>
        <v>0.10202733001345266</v>
      </c>
      <c r="J53" s="499" t="str">
        <f>IF(OR(I53&gt;=0.2,I53&lt;=-0.2),"超过20%","")</f>
        <v/>
      </c>
      <c r="K53" s="1100"/>
      <c r="L53" s="1101"/>
      <c r="M53" s="1139"/>
      <c r="N53" s="1139"/>
      <c r="O53" s="1139"/>
      <c r="P53" s="672"/>
      <c r="Q53" s="756"/>
      <c r="R53" s="756"/>
      <c r="S53" s="756"/>
      <c r="T53" s="756"/>
      <c r="U53" s="756"/>
      <c r="V53" s="756"/>
      <c r="W53" s="756"/>
      <c r="X53" s="756"/>
      <c r="Y53" s="756"/>
      <c r="Z53" s="756"/>
      <c r="AA53" s="756"/>
      <c r="AB53" s="756"/>
      <c r="AC53" s="756"/>
    </row>
    <row r="54" spans="1:29" s="501" customFormat="1" ht="13.5" customHeight="1">
      <c r="A54" s="1140"/>
      <c r="B54" s="1140"/>
      <c r="C54" s="496" t="s">
        <v>2660</v>
      </c>
      <c r="D54" s="500"/>
      <c r="E54" s="498">
        <f>IF(E47&lt;G47,G47/E47-1,E47/G47-1)</f>
        <v>8.4738481366126051E-2</v>
      </c>
      <c r="F54" s="499" t="str">
        <f>IF(OR(E54&gt;=0.3,E54&lt;=-0.3),"超过30%","")</f>
        <v/>
      </c>
      <c r="G54" s="498">
        <f>IF(G47&lt;I47,I47/G47-1,G47/I47-1)</f>
        <v>7.7070132101815014E-2</v>
      </c>
      <c r="H54" s="499" t="str">
        <f>IF(OR(G54&gt;=0.3,G54&lt;=-0.3),"超过30%","")</f>
        <v/>
      </c>
      <c r="I54" s="498">
        <f>IF(I47&lt;E47,E47/I47-1,I47/E47-1)</f>
        <v>7.1196378357896162E-3</v>
      </c>
      <c r="J54" s="499" t="str">
        <f>IF(OR(I54&gt;=0.3,I54&lt;=-0.3),"超过30%","")</f>
        <v/>
      </c>
      <c r="K54" s="1143"/>
      <c r="L54" s="1144"/>
      <c r="M54" s="1140"/>
      <c r="N54" s="1140"/>
      <c r="O54" s="1140"/>
      <c r="P54" s="2659"/>
      <c r="Q54" s="757"/>
      <c r="R54" s="757"/>
      <c r="S54" s="757"/>
      <c r="T54" s="757"/>
      <c r="U54" s="757"/>
      <c r="V54" s="757"/>
      <c r="W54" s="757"/>
      <c r="X54" s="757"/>
      <c r="Y54" s="757"/>
      <c r="Z54" s="757"/>
      <c r="AA54" s="757"/>
      <c r="AB54" s="757"/>
      <c r="AC54" s="757"/>
    </row>
    <row r="55" spans="1:29" s="501" customFormat="1">
      <c r="A55" s="1140"/>
      <c r="B55" s="1141"/>
      <c r="C55" s="1145"/>
      <c r="D55" s="1140"/>
      <c r="E55" s="1140"/>
      <c r="F55" s="1140"/>
      <c r="G55" s="1140"/>
      <c r="H55" s="1140"/>
      <c r="I55" s="1140"/>
      <c r="J55" s="1140"/>
      <c r="K55" s="1143"/>
      <c r="L55" s="1144"/>
      <c r="M55" s="1140"/>
      <c r="N55" s="1140"/>
      <c r="O55" s="1140"/>
      <c r="P55" s="2659"/>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2661</v>
      </c>
      <c r="B57" s="756"/>
      <c r="C57" s="761"/>
      <c r="D57" s="761"/>
      <c r="E57" s="761"/>
      <c r="F57" s="762"/>
      <c r="G57" s="762"/>
      <c r="H57" s="761"/>
      <c r="I57" s="761"/>
      <c r="J57" s="761"/>
      <c r="K57" s="763"/>
      <c r="L57" s="1156"/>
      <c r="M57" s="1154"/>
      <c r="N57" s="1154"/>
      <c r="O57" s="1154"/>
      <c r="P57" s="2660"/>
      <c r="Q57" s="2661"/>
      <c r="R57" s="756"/>
      <c r="S57" s="756"/>
      <c r="T57" s="756"/>
      <c r="U57" s="756"/>
      <c r="V57" s="756"/>
      <c r="W57" s="756"/>
      <c r="X57" s="756"/>
      <c r="Y57" s="756"/>
      <c r="Z57" s="756"/>
      <c r="AA57" s="756"/>
      <c r="AB57" s="756"/>
      <c r="AC57" s="756"/>
    </row>
    <row r="58" spans="1:29" s="507" customFormat="1" ht="15">
      <c r="A58" s="504" t="s">
        <v>2536</v>
      </c>
      <c r="B58" s="505"/>
      <c r="C58" s="1569" t="str">
        <f>YEAR(C7)&amp;"-"&amp;MONTH(C7)</f>
        <v>2018-3</v>
      </c>
      <c r="D58" s="1570">
        <f>EDATE(C58,-1)</f>
        <v>43132</v>
      </c>
      <c r="E58" s="1570">
        <f t="shared" ref="E58:N58" si="16">EDATE(D58,-1)</f>
        <v>43101</v>
      </c>
      <c r="F58" s="1570">
        <f t="shared" si="16"/>
        <v>43070</v>
      </c>
      <c r="G58" s="1570">
        <f t="shared" si="16"/>
        <v>43040</v>
      </c>
      <c r="H58" s="1570">
        <f t="shared" si="16"/>
        <v>43009</v>
      </c>
      <c r="I58" s="1570">
        <f t="shared" si="16"/>
        <v>42979</v>
      </c>
      <c r="J58" s="1570">
        <f t="shared" si="16"/>
        <v>42948</v>
      </c>
      <c r="K58" s="1570">
        <f t="shared" si="16"/>
        <v>42917</v>
      </c>
      <c r="L58" s="1570">
        <f t="shared" si="16"/>
        <v>42887</v>
      </c>
      <c r="M58" s="1570">
        <f t="shared" si="16"/>
        <v>42856</v>
      </c>
      <c r="N58" s="1570">
        <f t="shared" si="16"/>
        <v>42826</v>
      </c>
      <c r="O58" s="1570">
        <f>EDATE(N58,-1)</f>
        <v>42795</v>
      </c>
      <c r="P58" s="1565"/>
    </row>
    <row r="59" spans="1:29" s="117" customFormat="1" ht="15">
      <c r="A59" s="508"/>
      <c r="B59" s="509"/>
      <c r="C59" s="1568">
        <v>100</v>
      </c>
      <c r="D59" s="511"/>
      <c r="E59" s="511"/>
      <c r="F59" s="511"/>
      <c r="G59" s="511"/>
      <c r="H59" s="511"/>
      <c r="I59" s="511"/>
      <c r="J59" s="511"/>
      <c r="K59" s="511"/>
      <c r="L59" s="511"/>
      <c r="M59" s="512"/>
      <c r="N59" s="511"/>
      <c r="O59" s="512"/>
      <c r="P59" s="2621"/>
    </row>
    <row r="60" spans="1:29" s="117" customFormat="1" ht="15.75" thickBot="1">
      <c r="A60" s="514" t="s">
        <v>2573</v>
      </c>
      <c r="B60" s="515"/>
      <c r="C60" s="516"/>
      <c r="D60" s="517"/>
      <c r="E60" s="517"/>
      <c r="F60" s="517"/>
      <c r="G60" s="517"/>
      <c r="H60" s="517"/>
      <c r="I60" s="517"/>
      <c r="J60" s="517"/>
      <c r="K60" s="517"/>
      <c r="L60" s="517"/>
      <c r="M60" s="518"/>
      <c r="N60" s="517"/>
      <c r="O60" s="518"/>
      <c r="P60" s="2621"/>
      <c r="Q60" s="503"/>
    </row>
    <row r="61" spans="1:29" s="117" customFormat="1" ht="15">
      <c r="A61" s="520" t="s">
        <v>2538</v>
      </c>
      <c r="B61" s="509"/>
      <c r="C61" s="521" t="s">
        <v>2640</v>
      </c>
      <c r="D61" s="522"/>
      <c r="E61" s="522"/>
      <c r="F61" s="522"/>
      <c r="G61" s="522"/>
      <c r="H61" s="522"/>
      <c r="I61" s="522"/>
      <c r="J61" s="522"/>
      <c r="K61" s="522"/>
      <c r="L61" s="523"/>
      <c r="M61" s="524"/>
      <c r="N61" s="1146"/>
      <c r="O61" s="1146"/>
      <c r="P61" s="2622"/>
      <c r="Q61" s="503"/>
    </row>
    <row r="62" spans="1:29" s="117" customFormat="1" ht="15.75" thickBot="1">
      <c r="A62" s="520"/>
      <c r="B62" s="509"/>
      <c r="C62" s="510">
        <v>100</v>
      </c>
      <c r="D62" s="511"/>
      <c r="E62" s="511"/>
      <c r="F62" s="511"/>
      <c r="G62" s="511"/>
      <c r="H62" s="511"/>
      <c r="I62" s="511"/>
      <c r="J62" s="511"/>
      <c r="K62" s="511"/>
      <c r="L62" s="511"/>
      <c r="M62" s="513"/>
      <c r="N62" s="1146"/>
      <c r="O62" s="1146"/>
      <c r="P62" s="2621"/>
      <c r="Q62" s="503"/>
    </row>
    <row r="63" spans="1:29">
      <c r="A63" s="526" t="s">
        <v>2576</v>
      </c>
      <c r="B63" s="527" t="s">
        <v>2542</v>
      </c>
      <c r="C63" s="528" t="str">
        <f>C9</f>
        <v>商业</v>
      </c>
      <c r="D63" s="529"/>
      <c r="E63" s="529"/>
      <c r="F63" s="529"/>
      <c r="G63" s="529"/>
      <c r="H63" s="529"/>
      <c r="I63" s="529"/>
      <c r="J63" s="529"/>
      <c r="K63" s="530"/>
      <c r="L63" s="531"/>
      <c r="M63" s="532"/>
      <c r="N63" s="1147"/>
      <c r="O63" s="1147"/>
      <c r="P63" s="2623"/>
      <c r="Q63" s="503"/>
    </row>
    <row r="64" spans="1:29" ht="15.75" thickBot="1">
      <c r="A64" s="533"/>
      <c r="B64" s="534"/>
      <c r="C64" s="535">
        <v>100</v>
      </c>
      <c r="D64" s="535"/>
      <c r="E64" s="535"/>
      <c r="F64" s="535"/>
      <c r="G64" s="535"/>
      <c r="H64" s="535"/>
      <c r="I64" s="535"/>
      <c r="J64" s="535"/>
      <c r="K64" s="535"/>
      <c r="L64" s="535"/>
      <c r="M64" s="536"/>
      <c r="N64" s="1148"/>
      <c r="O64" s="1148"/>
      <c r="P64" s="2623"/>
      <c r="Q64" s="503"/>
    </row>
    <row r="65" spans="1:17" ht="28.5" thickTop="1">
      <c r="A65" s="533"/>
      <c r="B65" s="537" t="s">
        <v>2545</v>
      </c>
      <c r="C65" s="538" t="s">
        <v>2577</v>
      </c>
      <c r="D65" s="538" t="s">
        <v>2578</v>
      </c>
      <c r="E65" s="538" t="s">
        <v>2579</v>
      </c>
      <c r="F65" s="538" t="s">
        <v>2580</v>
      </c>
      <c r="G65" s="538" t="s">
        <v>2581</v>
      </c>
      <c r="H65" s="538" t="s">
        <v>2582</v>
      </c>
      <c r="I65" s="538" t="s">
        <v>2583</v>
      </c>
      <c r="J65" s="538"/>
      <c r="K65" s="539"/>
      <c r="L65" s="540"/>
      <c r="M65" s="541"/>
      <c r="N65" s="1147"/>
      <c r="O65" s="1147"/>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3"/>
      <c r="Q66" s="503"/>
    </row>
    <row r="67" spans="1:17" ht="15.75" thickTop="1">
      <c r="A67" s="533"/>
      <c r="B67" s="545" t="s">
        <v>2546</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3"/>
      <c r="Q67" s="503"/>
    </row>
    <row r="68" spans="1:17" ht="15">
      <c r="A68" s="533"/>
      <c r="B68" s="547"/>
      <c r="C68" s="548">
        <v>0</v>
      </c>
      <c r="D68" s="548"/>
      <c r="E68" s="548"/>
      <c r="F68" s="548"/>
      <c r="G68" s="548"/>
      <c r="H68" s="548"/>
      <c r="I68" s="548"/>
      <c r="J68" s="548"/>
      <c r="K68" s="549"/>
      <c r="L68" s="550"/>
      <c r="M68" s="551"/>
      <c r="N68" s="1147"/>
      <c r="O68" s="1147"/>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3"/>
      <c r="Q69" s="503"/>
    </row>
    <row r="70" spans="1:17" s="470" customFormat="1" ht="15.75" hidden="1" thickTop="1">
      <c r="A70" s="552"/>
      <c r="B70" s="537" t="str">
        <f>B12</f>
        <v>剩余年限</v>
      </c>
      <c r="C70" s="553"/>
      <c r="D70" s="553"/>
      <c r="E70" s="553"/>
      <c r="F70" s="553"/>
      <c r="G70" s="553"/>
      <c r="H70" s="554"/>
      <c r="I70" s="554"/>
      <c r="J70" s="554"/>
      <c r="K70" s="554"/>
      <c r="L70" s="555"/>
      <c r="M70" s="556"/>
      <c r="N70" s="1149"/>
      <c r="O70" s="1149"/>
      <c r="P70" s="2624"/>
      <c r="Q70" s="558"/>
    </row>
    <row r="71" spans="1:17" s="470" customFormat="1" ht="15.75" hidden="1" thickBot="1">
      <c r="A71" s="552"/>
      <c r="B71" s="542"/>
      <c r="C71" s="559"/>
      <c r="D71" s="535"/>
      <c r="E71" s="535"/>
      <c r="F71" s="535"/>
      <c r="G71" s="535"/>
      <c r="H71" s="535"/>
      <c r="I71" s="535"/>
      <c r="J71" s="535"/>
      <c r="K71" s="535"/>
      <c r="L71" s="535"/>
      <c r="M71" s="536"/>
      <c r="N71" s="1148"/>
      <c r="O71" s="1148"/>
      <c r="P71" s="2624"/>
      <c r="Q71" s="558"/>
    </row>
    <row r="72" spans="1:17" s="470" customFormat="1" ht="15.75" hidden="1" thickTop="1">
      <c r="A72" s="552"/>
      <c r="B72" s="537">
        <f>B13</f>
        <v>0</v>
      </c>
      <c r="C72" s="553"/>
      <c r="D72" s="553"/>
      <c r="E72" s="553"/>
      <c r="F72" s="553"/>
      <c r="G72" s="553"/>
      <c r="H72" s="554"/>
      <c r="I72" s="554"/>
      <c r="J72" s="554"/>
      <c r="K72" s="554"/>
      <c r="L72" s="555"/>
      <c r="M72" s="556"/>
      <c r="N72" s="1149"/>
      <c r="O72" s="1149"/>
      <c r="P72" s="2625"/>
      <c r="Q72" s="560"/>
    </row>
    <row r="73" spans="1:17" s="470" customFormat="1" ht="15.75" hidden="1" thickBot="1">
      <c r="A73" s="552"/>
      <c r="B73" s="542"/>
      <c r="C73" s="559"/>
      <c r="D73" s="535"/>
      <c r="E73" s="535"/>
      <c r="F73" s="535"/>
      <c r="G73" s="559"/>
      <c r="H73" s="561"/>
      <c r="I73" s="561"/>
      <c r="J73" s="561"/>
      <c r="K73" s="561"/>
      <c r="L73" s="561"/>
      <c r="M73" s="562"/>
      <c r="N73" s="1149"/>
      <c r="O73" s="1149"/>
      <c r="P73" s="2624"/>
      <c r="Q73" s="558"/>
    </row>
    <row r="74" spans="1:17" s="470" customFormat="1" ht="15.75" hidden="1" thickTop="1">
      <c r="A74" s="552"/>
      <c r="B74" s="545">
        <f>B14</f>
        <v>0</v>
      </c>
      <c r="C74" s="553"/>
      <c r="D74" s="553"/>
      <c r="E74" s="553"/>
      <c r="F74" s="553"/>
      <c r="G74" s="522"/>
      <c r="H74" s="563"/>
      <c r="I74" s="563"/>
      <c r="J74" s="563"/>
      <c r="K74" s="563"/>
      <c r="L74" s="564"/>
      <c r="M74" s="565"/>
      <c r="N74" s="1149"/>
      <c r="O74" s="1149"/>
      <c r="P74" s="2626"/>
      <c r="Q74" s="558"/>
    </row>
    <row r="75" spans="1:17" s="470" customFormat="1" ht="15.75" hidden="1" thickBot="1">
      <c r="A75" s="567"/>
      <c r="B75" s="568"/>
      <c r="C75" s="569"/>
      <c r="D75" s="569"/>
      <c r="E75" s="569"/>
      <c r="F75" s="569"/>
      <c r="G75" s="569"/>
      <c r="H75" s="570"/>
      <c r="I75" s="570"/>
      <c r="J75" s="570"/>
      <c r="K75" s="570"/>
      <c r="L75" s="570"/>
      <c r="M75" s="571"/>
      <c r="N75" s="1149"/>
      <c r="O75" s="1149"/>
      <c r="P75" s="2624"/>
      <c r="Q75" s="558"/>
    </row>
    <row r="76" spans="1:17" ht="15" thickTop="1">
      <c r="A76" s="526" t="s">
        <v>2547</v>
      </c>
      <c r="B76" s="527" t="s">
        <v>2584</v>
      </c>
      <c r="C76" s="572" t="s">
        <v>2585</v>
      </c>
      <c r="D76" s="572" t="s">
        <v>2586</v>
      </c>
      <c r="E76" s="572" t="s">
        <v>2587</v>
      </c>
      <c r="F76" s="572" t="s">
        <v>2588</v>
      </c>
      <c r="G76" s="572" t="s">
        <v>2589</v>
      </c>
      <c r="H76" s="528"/>
      <c r="I76" s="528"/>
      <c r="J76" s="528"/>
      <c r="K76" s="573"/>
      <c r="L76" s="574"/>
      <c r="M76" s="575"/>
      <c r="N76" s="1147"/>
      <c r="O76" s="1147"/>
      <c r="P76" s="2627"/>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7"/>
      <c r="O78" s="1147"/>
      <c r="P78" s="2623"/>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8"/>
      <c r="O79" s="1148"/>
      <c r="P79" s="262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7"/>
      <c r="O80" s="1147"/>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3"/>
      <c r="Q81" s="503"/>
    </row>
    <row r="82" spans="1:17" ht="15.75" thickTop="1">
      <c r="A82" s="533"/>
      <c r="B82" s="545" t="s">
        <v>2643</v>
      </c>
      <c r="C82" s="657" t="s">
        <v>2662</v>
      </c>
      <c r="D82" s="657" t="s">
        <v>2663</v>
      </c>
      <c r="E82" s="657" t="s">
        <v>2664</v>
      </c>
      <c r="F82" s="657" t="s">
        <v>2665</v>
      </c>
      <c r="G82" s="657" t="s">
        <v>2666</v>
      </c>
      <c r="H82" s="538"/>
      <c r="I82" s="538"/>
      <c r="J82" s="538"/>
      <c r="K82" s="538"/>
      <c r="L82" s="538"/>
      <c r="M82" s="1377"/>
      <c r="N82" s="1148"/>
      <c r="O82" s="1148"/>
      <c r="P82" s="2623"/>
      <c r="Q82" s="503"/>
    </row>
    <row r="83" spans="1:17" ht="15.75" thickBot="1">
      <c r="A83" s="533"/>
      <c r="B83" s="545"/>
      <c r="C83" s="543">
        <v>100</v>
      </c>
      <c r="D83" s="543">
        <f>C83-$K21</f>
        <v>98</v>
      </c>
      <c r="E83" s="543">
        <f t="shared" ref="E83:G83" si="19">D83-$K21</f>
        <v>96</v>
      </c>
      <c r="F83" s="543">
        <f t="shared" si="19"/>
        <v>94</v>
      </c>
      <c r="G83" s="543">
        <f t="shared" si="19"/>
        <v>92</v>
      </c>
      <c r="H83" s="657"/>
      <c r="I83" s="657"/>
      <c r="J83" s="657"/>
      <c r="K83" s="657"/>
      <c r="L83" s="657"/>
      <c r="M83" s="449"/>
      <c r="N83" s="1148"/>
      <c r="O83" s="1148"/>
      <c r="P83" s="262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7"/>
      <c r="O84" s="1147"/>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23"/>
      <c r="Q85" s="503"/>
    </row>
    <row r="86" spans="1:17" s="117" customFormat="1" ht="15.75" thickTop="1">
      <c r="A86" s="578"/>
      <c r="B86" s="537" t="s">
        <v>2667</v>
      </c>
      <c r="C86" s="2948" t="s">
        <v>3673</v>
      </c>
      <c r="D86" s="553"/>
      <c r="E86" s="553"/>
      <c r="F86" s="553"/>
      <c r="G86" s="553"/>
      <c r="H86" s="553"/>
      <c r="I86" s="553"/>
      <c r="J86" s="553"/>
      <c r="K86" s="553"/>
      <c r="L86" s="579"/>
      <c r="M86" s="580"/>
      <c r="N86" s="1146"/>
      <c r="O86" s="1146"/>
      <c r="P86" s="2623"/>
      <c r="Q86" s="503"/>
    </row>
    <row r="87" spans="1:17" s="117"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8"/>
      <c r="O87" s="1148"/>
      <c r="P87" s="2623"/>
      <c r="Q87" s="503"/>
    </row>
    <row r="88" spans="1:17" s="117" customFormat="1" ht="15.75" thickTop="1">
      <c r="A88" s="578"/>
      <c r="B88" s="537" t="str">
        <f>B26</f>
        <v>平面位置/可视性</v>
      </c>
      <c r="C88" s="2948" t="s">
        <v>3659</v>
      </c>
      <c r="D88" s="2948" t="s">
        <v>3660</v>
      </c>
      <c r="E88" s="2948" t="s">
        <v>3661</v>
      </c>
      <c r="F88" s="2628"/>
      <c r="G88" s="553"/>
      <c r="H88" s="553"/>
      <c r="I88" s="553"/>
      <c r="J88" s="553"/>
      <c r="K88" s="553"/>
      <c r="L88" s="553"/>
      <c r="M88" s="580"/>
      <c r="N88" s="1146"/>
      <c r="O88" s="1146"/>
      <c r="P88" s="2623"/>
      <c r="Q88" s="503"/>
    </row>
    <row r="89" spans="1:17" s="117" customFormat="1" ht="15.75" thickBot="1">
      <c r="A89" s="578"/>
      <c r="B89" s="542"/>
      <c r="C89" s="559">
        <v>100</v>
      </c>
      <c r="D89" s="535">
        <v>97</v>
      </c>
      <c r="E89" s="535">
        <v>94</v>
      </c>
      <c r="F89" s="535"/>
      <c r="G89" s="535"/>
      <c r="H89" s="535"/>
      <c r="I89" s="535"/>
      <c r="J89" s="535"/>
      <c r="K89" s="535"/>
      <c r="L89" s="535"/>
      <c r="M89" s="535"/>
      <c r="N89" s="1148"/>
      <c r="O89" s="1148"/>
      <c r="P89" s="2623"/>
      <c r="Q89" s="503"/>
    </row>
    <row r="90" spans="1:17" s="470" customFormat="1" ht="15.75" thickTop="1">
      <c r="A90" s="552"/>
      <c r="B90" s="537" t="str">
        <f>B27</f>
        <v>人流量</v>
      </c>
      <c r="C90" s="2948" t="s">
        <v>3668</v>
      </c>
      <c r="D90" s="2948" t="s">
        <v>3660</v>
      </c>
      <c r="E90" s="2948" t="s">
        <v>3669</v>
      </c>
      <c r="F90" s="553"/>
      <c r="G90" s="553"/>
      <c r="H90" s="554"/>
      <c r="I90" s="554"/>
      <c r="J90" s="554"/>
      <c r="K90" s="554"/>
      <c r="L90" s="555"/>
      <c r="M90" s="556"/>
      <c r="N90" s="1149"/>
      <c r="O90" s="1149"/>
      <c r="P90" s="2624"/>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9"/>
      <c r="O91" s="1149"/>
      <c r="P91" s="2624"/>
      <c r="Q91" s="558"/>
    </row>
    <row r="92" spans="1:17" ht="15.75" thickTop="1">
      <c r="A92" s="533"/>
      <c r="B92" s="537" t="str">
        <f>B28</f>
        <v>楼层</v>
      </c>
      <c r="C92" s="553">
        <v>1</v>
      </c>
      <c r="D92" s="553">
        <v>2</v>
      </c>
      <c r="E92" s="2953" t="s">
        <v>3115</v>
      </c>
      <c r="F92" s="553"/>
      <c r="G92" s="553"/>
      <c r="H92" s="553"/>
      <c r="I92" s="553"/>
      <c r="J92" s="553"/>
      <c r="K92" s="553"/>
      <c r="L92" s="579"/>
      <c r="M92" s="580"/>
      <c r="N92" s="1147"/>
      <c r="O92" s="1147"/>
      <c r="P92" s="2623"/>
      <c r="Q92" s="503"/>
    </row>
    <row r="93" spans="1:17" ht="15.75" thickBot="1">
      <c r="A93" s="533"/>
      <c r="B93" s="542"/>
      <c r="C93" s="535">
        <v>100</v>
      </c>
      <c r="D93" s="535">
        <v>70</v>
      </c>
      <c r="E93" s="535">
        <f>(C93+D93)/2</f>
        <v>85</v>
      </c>
      <c r="F93" s="535"/>
      <c r="G93" s="535"/>
      <c r="H93" s="535"/>
      <c r="I93" s="535"/>
      <c r="J93" s="535"/>
      <c r="K93" s="535"/>
      <c r="L93" s="535"/>
      <c r="M93" s="536"/>
      <c r="N93" s="1148"/>
      <c r="O93" s="1148"/>
      <c r="P93" s="2623"/>
      <c r="Q93" s="503"/>
    </row>
    <row r="94" spans="1:17" ht="15.75" hidden="1" thickTop="1">
      <c r="A94" s="533"/>
      <c r="B94" s="537">
        <f>B29</f>
        <v>0</v>
      </c>
      <c r="C94" s="553"/>
      <c r="D94" s="553"/>
      <c r="E94" s="553"/>
      <c r="F94" s="553"/>
      <c r="G94" s="582"/>
      <c r="H94" s="582"/>
      <c r="I94" s="582"/>
      <c r="J94" s="582"/>
      <c r="K94" s="583"/>
      <c r="L94" s="584"/>
      <c r="M94" s="585"/>
      <c r="N94" s="1147"/>
      <c r="O94" s="1147"/>
      <c r="P94" s="2623"/>
      <c r="Q94" s="503"/>
    </row>
    <row r="95" spans="1:17" ht="15.75" hidden="1" thickBot="1">
      <c r="A95" s="533"/>
      <c r="B95" s="542"/>
      <c r="C95" s="559"/>
      <c r="D95" s="535"/>
      <c r="E95" s="535"/>
      <c r="F95" s="535"/>
      <c r="G95" s="535"/>
      <c r="H95" s="535"/>
      <c r="I95" s="535"/>
      <c r="J95" s="535"/>
      <c r="K95" s="535"/>
      <c r="L95" s="535"/>
      <c r="M95" s="536"/>
      <c r="N95" s="1148"/>
      <c r="O95" s="1148"/>
      <c r="P95" s="2623"/>
      <c r="Q95" s="503"/>
    </row>
    <row r="96" spans="1:17" ht="15.75" hidden="1" thickTop="1">
      <c r="A96" s="533"/>
      <c r="B96" s="537">
        <f>B30</f>
        <v>0</v>
      </c>
      <c r="C96" s="553"/>
      <c r="D96" s="553"/>
      <c r="E96" s="553"/>
      <c r="F96" s="553"/>
      <c r="G96" s="582"/>
      <c r="H96" s="582"/>
      <c r="I96" s="582"/>
      <c r="J96" s="582"/>
      <c r="K96" s="583"/>
      <c r="L96" s="584"/>
      <c r="M96" s="585"/>
      <c r="N96" s="1147"/>
      <c r="O96" s="1147"/>
      <c r="P96" s="2623"/>
      <c r="Q96" s="503"/>
    </row>
    <row r="97" spans="1:17" ht="15.75" hidden="1" thickBot="1">
      <c r="A97" s="533"/>
      <c r="B97" s="542"/>
      <c r="C97" s="559"/>
      <c r="D97" s="535"/>
      <c r="E97" s="535"/>
      <c r="F97" s="535"/>
      <c r="G97" s="535"/>
      <c r="H97" s="535"/>
      <c r="I97" s="535"/>
      <c r="J97" s="535"/>
      <c r="K97" s="535"/>
      <c r="L97" s="535"/>
      <c r="M97" s="536"/>
      <c r="N97" s="1148"/>
      <c r="O97" s="1148"/>
      <c r="P97" s="2623"/>
      <c r="Q97" s="503"/>
    </row>
    <row r="98" spans="1:17" ht="15.75" hidden="1" thickTop="1">
      <c r="A98" s="533"/>
      <c r="B98" s="545">
        <f>B31</f>
        <v>0</v>
      </c>
      <c r="C98" s="553"/>
      <c r="D98" s="553"/>
      <c r="E98" s="553"/>
      <c r="F98" s="553"/>
      <c r="G98" s="586"/>
      <c r="H98" s="586"/>
      <c r="I98" s="586"/>
      <c r="J98" s="586"/>
      <c r="K98" s="587"/>
      <c r="L98" s="588"/>
      <c r="M98" s="589"/>
      <c r="N98" s="1147"/>
      <c r="O98" s="1147"/>
      <c r="P98" s="2623"/>
      <c r="Q98" s="503"/>
    </row>
    <row r="99" spans="1:17" ht="15.75" hidden="1" thickBot="1">
      <c r="A99" s="2629"/>
      <c r="B99" s="568"/>
      <c r="C99" s="569"/>
      <c r="D99" s="569"/>
      <c r="E99" s="569"/>
      <c r="F99" s="569"/>
      <c r="G99" s="590"/>
      <c r="H99" s="590"/>
      <c r="I99" s="590"/>
      <c r="J99" s="590"/>
      <c r="K99" s="590"/>
      <c r="L99" s="590"/>
      <c r="M99" s="591"/>
      <c r="N99" s="1148"/>
      <c r="O99" s="1148"/>
      <c r="P99" s="2623"/>
      <c r="Q99" s="503"/>
    </row>
    <row r="100" spans="1:17" ht="27.75" thickTop="1">
      <c r="A100" s="526" t="s">
        <v>2551</v>
      </c>
      <c r="B100" s="527" t="s">
        <v>2668</v>
      </c>
      <c r="C100" s="2994" t="s">
        <v>3236</v>
      </c>
      <c r="D100" s="2994" t="s">
        <v>3238</v>
      </c>
      <c r="E100" s="2994" t="s">
        <v>3239</v>
      </c>
      <c r="F100" s="529"/>
      <c r="G100" s="529"/>
      <c r="H100" s="529"/>
      <c r="I100" s="529"/>
      <c r="J100" s="529"/>
      <c r="K100" s="530"/>
      <c r="L100" s="531"/>
      <c r="M100" s="532"/>
      <c r="N100" s="1147"/>
      <c r="O100" s="1147"/>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8"/>
      <c r="O101" s="1148"/>
      <c r="P101" s="2623"/>
      <c r="Q101" s="503"/>
    </row>
    <row r="102" spans="1:17" ht="15.75" thickTop="1">
      <c r="A102" s="533"/>
      <c r="B102" s="537" t="s">
        <v>2601</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46"/>
      <c r="O102" s="1146"/>
      <c r="P102" s="2623"/>
      <c r="Q102" s="503"/>
    </row>
    <row r="103" spans="1:17" s="470" customFormat="1">
      <c r="A103" s="592"/>
      <c r="B103" s="593"/>
      <c r="C103" s="594">
        <v>0</v>
      </c>
      <c r="D103" s="594"/>
      <c r="E103" s="594"/>
      <c r="F103" s="594"/>
      <c r="G103" s="594"/>
      <c r="H103" s="594"/>
      <c r="I103" s="594"/>
      <c r="J103" s="595"/>
      <c r="K103" s="595"/>
      <c r="L103" s="596"/>
      <c r="M103" s="597"/>
      <c r="N103" s="1149"/>
      <c r="O103" s="1149"/>
      <c r="P103" s="2624"/>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4"/>
      <c r="Q104" s="558"/>
    </row>
    <row r="105" spans="1:17" ht="15" thickTop="1">
      <c r="A105" s="598"/>
      <c r="B105" s="537" t="s">
        <v>2602</v>
      </c>
      <c r="C105" s="2948" t="s">
        <v>3231</v>
      </c>
      <c r="D105" s="553"/>
      <c r="E105" s="582"/>
      <c r="F105" s="582"/>
      <c r="G105" s="582"/>
      <c r="H105" s="582"/>
      <c r="I105" s="582"/>
      <c r="J105" s="582"/>
      <c r="K105" s="583"/>
      <c r="L105" s="584"/>
      <c r="M105" s="585"/>
      <c r="N105" s="1147"/>
      <c r="O105" s="1147"/>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8"/>
      <c r="O106" s="1148"/>
      <c r="P106" s="2623"/>
      <c r="Q106" s="503"/>
    </row>
    <row r="107" spans="1:17" ht="15" thickTop="1">
      <c r="A107" s="598"/>
      <c r="B107" s="537" t="s">
        <v>2604</v>
      </c>
      <c r="C107" s="2948" t="s">
        <v>3230</v>
      </c>
      <c r="D107" s="553"/>
      <c r="E107" s="553"/>
      <c r="F107" s="582"/>
      <c r="G107" s="582"/>
      <c r="H107" s="582"/>
      <c r="I107" s="582"/>
      <c r="J107" s="582"/>
      <c r="K107" s="583"/>
      <c r="L107" s="584"/>
      <c r="M107" s="585"/>
      <c r="N107" s="1147"/>
      <c r="O107" s="1147"/>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8"/>
      <c r="O108" s="1148"/>
      <c r="P108" s="2623"/>
      <c r="Q108" s="503"/>
    </row>
    <row r="109" spans="1:17" ht="29.2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3"/>
      <c r="Q109" s="503"/>
    </row>
    <row r="110" spans="1:17">
      <c r="A110" s="598"/>
      <c r="B110" s="545"/>
      <c r="C110" s="602">
        <v>0.5</v>
      </c>
      <c r="D110" s="602">
        <v>0.6</v>
      </c>
      <c r="E110" s="602">
        <v>0.7</v>
      </c>
      <c r="F110" s="602">
        <v>0.8</v>
      </c>
      <c r="G110" s="602">
        <v>0.9</v>
      </c>
      <c r="H110" s="602">
        <v>1.0001</v>
      </c>
      <c r="I110" s="620"/>
      <c r="J110" s="620"/>
      <c r="K110" s="621"/>
      <c r="L110" s="622"/>
      <c r="M110" s="623"/>
      <c r="N110" s="1147"/>
      <c r="O110" s="1147"/>
      <c r="P110" s="2623"/>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3"/>
      <c r="Q111" s="503"/>
    </row>
    <row r="112" spans="1:17" s="470" customFormat="1" ht="15" thickTop="1">
      <c r="A112" s="592"/>
      <c r="B112" s="537" t="s">
        <v>2606</v>
      </c>
      <c r="C112" s="2948" t="s">
        <v>3232</v>
      </c>
      <c r="D112" s="553"/>
      <c r="E112" s="553"/>
      <c r="F112" s="553"/>
      <c r="G112" s="553"/>
      <c r="H112" s="582"/>
      <c r="I112" s="582"/>
      <c r="J112" s="582"/>
      <c r="K112" s="583"/>
      <c r="L112" s="584"/>
      <c r="M112" s="585"/>
      <c r="N112" s="1149"/>
      <c r="O112" s="1149"/>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4"/>
      <c r="Q113" s="558"/>
    </row>
    <row r="114" spans="1:17" ht="15" thickTop="1">
      <c r="A114" s="598"/>
      <c r="B114" s="537" t="s">
        <v>2669</v>
      </c>
      <c r="C114" s="2948" t="s">
        <v>3233</v>
      </c>
      <c r="D114" s="2948" t="s">
        <v>3234</v>
      </c>
      <c r="E114" s="582"/>
      <c r="F114" s="582"/>
      <c r="G114" s="582"/>
      <c r="H114" s="582"/>
      <c r="I114" s="582"/>
      <c r="J114" s="582"/>
      <c r="K114" s="583"/>
      <c r="L114" s="584"/>
      <c r="M114" s="585"/>
      <c r="N114" s="1147"/>
      <c r="O114" s="1147"/>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8"/>
      <c r="O115" s="1148"/>
      <c r="P115" s="2623"/>
      <c r="Q115" s="503"/>
    </row>
    <row r="116" spans="1:17" ht="15" thickTop="1">
      <c r="A116" s="598"/>
      <c r="B116" s="537" t="s">
        <v>2670</v>
      </c>
      <c r="C116" s="553"/>
      <c r="D116" s="553"/>
      <c r="E116" s="553"/>
      <c r="F116" s="553"/>
      <c r="G116" s="553"/>
      <c r="H116" s="582"/>
      <c r="I116" s="582"/>
      <c r="J116" s="582"/>
      <c r="K116" s="583"/>
      <c r="L116" s="584"/>
      <c r="M116" s="585"/>
      <c r="N116" s="1147"/>
      <c r="O116" s="1147"/>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8"/>
      <c r="O117" s="1148"/>
      <c r="P117" s="2623"/>
      <c r="Q117" s="503"/>
    </row>
    <row r="118" spans="1:17" ht="15" thickTop="1">
      <c r="A118" s="598"/>
      <c r="B118" s="537" t="s">
        <v>2671</v>
      </c>
      <c r="C118" s="624"/>
      <c r="D118" s="624"/>
      <c r="E118" s="624"/>
      <c r="F118" s="624"/>
      <c r="G118" s="624"/>
      <c r="H118" s="554"/>
      <c r="I118" s="554"/>
      <c r="J118" s="554"/>
      <c r="K118" s="554"/>
      <c r="L118" s="555"/>
      <c r="M118" s="556"/>
      <c r="N118" s="1147"/>
      <c r="O118" s="1147"/>
      <c r="P118" s="2623"/>
      <c r="Q118" s="503"/>
    </row>
    <row r="119" spans="1:17" ht="15.75" thickBot="1">
      <c r="A119" s="533"/>
      <c r="B119" s="542"/>
      <c r="C119" s="559"/>
      <c r="D119" s="535"/>
      <c r="E119" s="535"/>
      <c r="F119" s="535"/>
      <c r="G119" s="535"/>
      <c r="H119" s="535"/>
      <c r="I119" s="535"/>
      <c r="J119" s="535"/>
      <c r="K119" s="535"/>
      <c r="L119" s="535"/>
      <c r="M119" s="536"/>
      <c r="N119" s="1148"/>
      <c r="O119" s="1148"/>
      <c r="P119" s="2623"/>
      <c r="Q119" s="503"/>
    </row>
    <row r="120" spans="1:17" s="470" customFormat="1" ht="15" thickTop="1">
      <c r="A120" s="592"/>
      <c r="B120" s="537" t="s">
        <v>2672</v>
      </c>
      <c r="C120" s="582"/>
      <c r="D120" s="582"/>
      <c r="E120" s="582"/>
      <c r="F120" s="582"/>
      <c r="G120" s="554"/>
      <c r="H120" s="554"/>
      <c r="I120" s="554"/>
      <c r="J120" s="554"/>
      <c r="K120" s="554"/>
      <c r="L120" s="555"/>
      <c r="M120" s="556"/>
      <c r="N120" s="1149"/>
      <c r="O120" s="1149"/>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9"/>
      <c r="O121" s="1149"/>
      <c r="P121" s="2624"/>
      <c r="Q121" s="558"/>
    </row>
    <row r="122" spans="1:17" ht="15" thickTop="1">
      <c r="A122" s="598"/>
      <c r="B122" s="537" t="s">
        <v>2608</v>
      </c>
      <c r="C122" s="2948" t="s">
        <v>3235</v>
      </c>
      <c r="D122" s="553"/>
      <c r="E122" s="553"/>
      <c r="F122" s="582"/>
      <c r="G122" s="582"/>
      <c r="H122" s="582"/>
      <c r="I122" s="582"/>
      <c r="J122" s="582"/>
      <c r="K122" s="583"/>
      <c r="L122" s="584"/>
      <c r="M122" s="585"/>
      <c r="N122" s="1147"/>
      <c r="O122" s="1147"/>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8"/>
      <c r="O123" s="1148"/>
      <c r="P123" s="262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7"/>
      <c r="O124" s="1147"/>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23"/>
      <c r="Q125" s="503"/>
    </row>
    <row r="126" spans="1:17" s="470" customFormat="1" ht="15" hidden="1" thickTop="1">
      <c r="A126" s="592"/>
      <c r="B126" s="537">
        <f>B44</f>
        <v>0</v>
      </c>
      <c r="C126" s="553"/>
      <c r="D126" s="553"/>
      <c r="E126" s="553"/>
      <c r="F126" s="553"/>
      <c r="G126" s="553"/>
      <c r="H126" s="554"/>
      <c r="I126" s="554"/>
      <c r="J126" s="554"/>
      <c r="K126" s="554"/>
      <c r="L126" s="555"/>
      <c r="M126" s="556"/>
      <c r="N126" s="1149"/>
      <c r="O126" s="1149"/>
      <c r="P126" s="2624"/>
      <c r="Q126" s="558"/>
    </row>
    <row r="127" spans="1:17" s="470" customFormat="1" ht="15.75" hidden="1" thickBot="1">
      <c r="A127" s="552"/>
      <c r="B127" s="542"/>
      <c r="C127" s="559"/>
      <c r="D127" s="535"/>
      <c r="E127" s="535"/>
      <c r="F127" s="535"/>
      <c r="G127" s="559"/>
      <c r="H127" s="561"/>
      <c r="I127" s="561"/>
      <c r="J127" s="561"/>
      <c r="K127" s="561"/>
      <c r="L127" s="561"/>
      <c r="M127" s="562"/>
      <c r="N127" s="1149"/>
      <c r="O127" s="1149"/>
      <c r="P127" s="2624"/>
      <c r="Q127" s="558"/>
    </row>
    <row r="128" spans="1:17" ht="15" hidden="1" thickTop="1">
      <c r="A128" s="598"/>
      <c r="B128" s="537">
        <f>B45</f>
        <v>0</v>
      </c>
      <c r="C128" s="553"/>
      <c r="D128" s="553"/>
      <c r="E128" s="553"/>
      <c r="F128" s="553"/>
      <c r="G128" s="582"/>
      <c r="H128" s="582"/>
      <c r="I128" s="582"/>
      <c r="J128" s="582"/>
      <c r="K128" s="583"/>
      <c r="L128" s="584"/>
      <c r="M128" s="585"/>
      <c r="N128" s="1147"/>
      <c r="O128" s="1147"/>
      <c r="P128" s="2623"/>
      <c r="Q128" s="503"/>
    </row>
    <row r="129" spans="1:17" ht="15.75" hidden="1" thickBot="1">
      <c r="A129" s="533"/>
      <c r="B129" s="542"/>
      <c r="C129" s="559"/>
      <c r="D129" s="535"/>
      <c r="E129" s="535"/>
      <c r="F129" s="535"/>
      <c r="G129" s="535"/>
      <c r="H129" s="535"/>
      <c r="I129" s="535"/>
      <c r="J129" s="535"/>
      <c r="K129" s="535"/>
      <c r="L129" s="535"/>
      <c r="M129" s="536"/>
      <c r="N129" s="1148"/>
      <c r="O129" s="1148"/>
      <c r="P129" s="2623"/>
      <c r="Q129" s="503"/>
    </row>
    <row r="130" spans="1:17" ht="15" hidden="1" thickTop="1">
      <c r="A130" s="598"/>
      <c r="B130" s="545">
        <f>B46</f>
        <v>0</v>
      </c>
      <c r="C130" s="553"/>
      <c r="D130" s="553"/>
      <c r="E130" s="553"/>
      <c r="F130" s="553"/>
      <c r="G130" s="586"/>
      <c r="H130" s="586"/>
      <c r="I130" s="586"/>
      <c r="J130" s="586"/>
      <c r="K130" s="522"/>
      <c r="L130" s="523"/>
      <c r="M130" s="589"/>
      <c r="N130" s="1147"/>
      <c r="O130" s="1147"/>
      <c r="P130" s="2623"/>
      <c r="Q130" s="503"/>
    </row>
    <row r="131" spans="1:17" ht="15.75" hidden="1" thickBot="1">
      <c r="A131" s="2629"/>
      <c r="B131" s="568"/>
      <c r="C131" s="569"/>
      <c r="D131" s="569"/>
      <c r="E131" s="569"/>
      <c r="F131" s="569"/>
      <c r="G131" s="590"/>
      <c r="H131" s="590"/>
      <c r="I131" s="590"/>
      <c r="J131" s="590"/>
      <c r="K131" s="590"/>
      <c r="L131" s="590"/>
      <c r="M131" s="591"/>
      <c r="N131" s="1148"/>
      <c r="O131" s="1148"/>
      <c r="P131" s="2623"/>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0" zoomScaleNormal="90" zoomScalePageLayoutView="90" workbookViewId="0">
      <selection activeCell="G38" sqref="G38"/>
    </sheetView>
  </sheetViews>
  <sheetFormatPr defaultColWidth="8.875" defaultRowHeight="14.25"/>
  <cols>
    <col min="1" max="1" width="9.125" style="402" customWidth="1"/>
    <col min="2" max="2" width="15.62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125" style="495" customWidth="1"/>
    <col min="13" max="15" width="12.125" style="402" customWidth="1"/>
    <col min="16" max="16" width="4.625" style="1118"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2694</v>
      </c>
      <c r="B1" s="1614" t="s">
        <v>3053</v>
      </c>
      <c r="C1" s="1615" t="s">
        <v>2518</v>
      </c>
      <c r="D1" s="1616" t="s">
        <v>3062</v>
      </c>
      <c r="E1" s="1617"/>
      <c r="F1" s="2577" t="s">
        <v>3055</v>
      </c>
      <c r="G1" s="1618" t="s">
        <v>2631</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2315</v>
      </c>
      <c r="B2" s="1413">
        <f>IF(C2="——",IF(B37="元/平方米",ROUND(C39*D3/10000,0),ROUND(F3*C39/10000,0)),IF(B37="元/平方米",ROUND(C39*D3/10000,0),ROUND(F3*C39/10000,0))-D2)</f>
        <v>483</v>
      </c>
      <c r="C2" s="2579" t="s">
        <v>70</v>
      </c>
      <c r="D2" s="1119" t="e">
        <f ca="1">SUMIF(INDIRECT("'"&amp;F2&amp;"'"&amp;"!A:A"),"承租人权益价值",INDIRECT("'"&amp;F2&amp;"'"&amp;"!c:c"))</f>
        <v>#REF!</v>
      </c>
      <c r="E2" s="2580" t="s">
        <v>2316</v>
      </c>
      <c r="F2" s="2581"/>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7" customFormat="1" ht="28.5" customHeight="1" thickBot="1">
      <c r="A3" s="246" t="s">
        <v>2317</v>
      </c>
      <c r="B3" s="608">
        <f>IF(AND(C2="——",B37="元/平方米"),C39,ROUND(B2*10000/D3,0))</f>
        <v>4871</v>
      </c>
      <c r="C3" s="399" t="s">
        <v>2632</v>
      </c>
      <c r="D3" s="398">
        <f>SUMIF('数据-汇总表'!$C19:$C33,D1,'数据-汇总表'!$E19:$E33)</f>
        <v>991.5300000000002</v>
      </c>
      <c r="E3" s="399" t="s">
        <v>2695</v>
      </c>
      <c r="F3" s="398">
        <f>SUMIF('数据-取费表'!A5:A15,D1,'数据-取费表'!AH5:AH15)</f>
        <v>23</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400" t="s">
        <v>2633</v>
      </c>
      <c r="B4" s="401"/>
      <c r="C4" s="3246" t="s">
        <v>2634</v>
      </c>
      <c r="D4" s="3247"/>
      <c r="E4" s="3248" t="s">
        <v>2635</v>
      </c>
      <c r="F4" s="3249"/>
      <c r="G4" s="3246" t="s">
        <v>2636</v>
      </c>
      <c r="H4" s="3247"/>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24" t="s">
        <v>2636</v>
      </c>
      <c r="AC4" s="3276" t="s">
        <v>2637</v>
      </c>
    </row>
    <row r="5" spans="1:29" ht="15">
      <c r="A5" s="403"/>
      <c r="B5" s="404"/>
      <c r="C5" s="3234" t="s">
        <v>2530</v>
      </c>
      <c r="D5" s="3235"/>
      <c r="E5" s="3232" t="s">
        <v>3245</v>
      </c>
      <c r="F5" s="3233"/>
      <c r="G5" s="3238" t="s">
        <v>3246</v>
      </c>
      <c r="H5" s="3235"/>
      <c r="I5" s="3238" t="s">
        <v>3246</v>
      </c>
      <c r="J5" s="3235"/>
      <c r="K5" s="609"/>
      <c r="L5" s="1125"/>
      <c r="M5" s="1126"/>
      <c r="N5" s="1126"/>
      <c r="O5" s="1126"/>
      <c r="P5" s="3284"/>
      <c r="Q5" s="3253"/>
      <c r="R5" s="3230"/>
      <c r="S5" s="3231"/>
      <c r="T5" s="3230"/>
      <c r="U5" s="3231"/>
      <c r="V5" s="3259"/>
      <c r="W5" s="3259"/>
      <c r="X5" s="1808"/>
      <c r="Y5" s="3230"/>
      <c r="Z5" s="3231"/>
      <c r="AA5" s="3224"/>
      <c r="AB5" s="3224"/>
      <c r="AC5" s="3224"/>
    </row>
    <row r="6" spans="1:29" ht="15.75" thickBot="1">
      <c r="A6" s="405"/>
      <c r="B6" s="406"/>
      <c r="C6" s="3236" t="s">
        <v>2534</v>
      </c>
      <c r="D6" s="3237"/>
      <c r="E6" s="3279" t="s">
        <v>2534</v>
      </c>
      <c r="F6" s="3240"/>
      <c r="G6" s="3236" t="s">
        <v>2534</v>
      </c>
      <c r="H6" s="3237"/>
      <c r="I6" s="3236" t="s">
        <v>2534</v>
      </c>
      <c r="J6" s="3237"/>
      <c r="K6" s="609" t="s">
        <v>2535</v>
      </c>
      <c r="L6" s="1125"/>
      <c r="M6" s="1126"/>
      <c r="N6" s="1126"/>
      <c r="O6" s="1126"/>
      <c r="P6" s="3285"/>
      <c r="Q6" s="3255"/>
      <c r="R6" s="3230"/>
      <c r="S6" s="3231"/>
      <c r="T6" s="3256"/>
      <c r="U6" s="3257"/>
      <c r="V6" s="3259"/>
      <c r="W6" s="3259"/>
      <c r="X6" s="1808"/>
      <c r="Y6" s="3256"/>
      <c r="Z6" s="3257"/>
      <c r="AA6" s="3225"/>
      <c r="AB6" s="3225"/>
      <c r="AC6" s="3225"/>
    </row>
    <row r="7" spans="1:29" s="117" customFormat="1" ht="15.75" thickBot="1">
      <c r="A7" s="407" t="s">
        <v>2536</v>
      </c>
      <c r="B7" s="408"/>
      <c r="C7" s="409">
        <f>'数据-取费表'!B2</f>
        <v>43185</v>
      </c>
      <c r="D7" s="410">
        <v>100</v>
      </c>
      <c r="E7" s="411">
        <v>43160</v>
      </c>
      <c r="F7" s="412">
        <f>SUMIF(48:48,YEAR(E7)&amp;"-"&amp;MONTH(E7),49:49)</f>
        <v>100</v>
      </c>
      <c r="G7" s="411">
        <f>E7</f>
        <v>43160</v>
      </c>
      <c r="H7" s="410">
        <f>SUMIF(48:48,YEAR(G7)&amp;"-"&amp;MONTH(G7),49:49)</f>
        <v>100</v>
      </c>
      <c r="I7" s="411">
        <f>E7</f>
        <v>43160</v>
      </c>
      <c r="J7" s="410">
        <f>SUMIF(48:48,YEAR(I7)&amp;"-"&amp;MONTH(I7),49:49)</f>
        <v>100</v>
      </c>
      <c r="K7" s="610"/>
      <c r="L7" s="1127"/>
      <c r="M7" s="1128"/>
      <c r="N7" s="1128"/>
      <c r="O7" s="1128"/>
      <c r="P7" s="3226" t="s">
        <v>2537</v>
      </c>
      <c r="Q7" s="3261"/>
      <c r="R7" s="767" t="s">
        <v>17</v>
      </c>
      <c r="S7" s="768">
        <f t="shared" ref="S7:S14" si="0">F7</f>
        <v>100</v>
      </c>
      <c r="T7" s="767" t="s">
        <v>17</v>
      </c>
      <c r="U7" s="768">
        <f t="shared" ref="U7:U14" si="1">H7</f>
        <v>100</v>
      </c>
      <c r="V7" s="767" t="s">
        <v>17</v>
      </c>
      <c r="W7" s="768">
        <f t="shared" ref="W7:W14" si="2">J7</f>
        <v>100</v>
      </c>
      <c r="X7" s="769"/>
      <c r="Y7" s="3226" t="s">
        <v>2537</v>
      </c>
      <c r="Z7" s="3227"/>
      <c r="AA7" s="770">
        <f>D7/F7</f>
        <v>1</v>
      </c>
      <c r="AB7" s="770">
        <f>D7/H7</f>
        <v>1</v>
      </c>
      <c r="AC7" s="770">
        <f>D7/J7</f>
        <v>1</v>
      </c>
    </row>
    <row r="8" spans="1:29" s="117" customFormat="1" ht="15.75" thickBot="1">
      <c r="A8" s="407" t="s">
        <v>2538</v>
      </c>
      <c r="B8" s="408"/>
      <c r="C8" s="413" t="s">
        <v>2640</v>
      </c>
      <c r="D8" s="410">
        <v>100</v>
      </c>
      <c r="E8" s="413" t="s">
        <v>3093</v>
      </c>
      <c r="F8" s="412">
        <f>SUMIF(51:51,E8,52:52)-SUMIF(51:51,C8,52:52)+100</f>
        <v>100</v>
      </c>
      <c r="G8" s="413" t="s">
        <v>3093</v>
      </c>
      <c r="H8" s="410">
        <f>SUMIF(51:51,G8,52:52)-SUMIF(51:51,C8,52:52)+100</f>
        <v>100</v>
      </c>
      <c r="I8" s="413" t="s">
        <v>3093</v>
      </c>
      <c r="J8" s="410">
        <f>SUMIF(51:51,I8,52:52)-SUMIF(51:51,C8,52:52)+100</f>
        <v>100</v>
      </c>
      <c r="K8" s="610"/>
      <c r="L8" s="1127"/>
      <c r="M8" s="1128"/>
      <c r="N8" s="1128"/>
      <c r="O8" s="1128"/>
      <c r="P8" s="3226" t="s">
        <v>2540</v>
      </c>
      <c r="Q8" s="3227"/>
      <c r="R8" s="767" t="s">
        <v>17</v>
      </c>
      <c r="S8" s="768">
        <f t="shared" si="0"/>
        <v>100</v>
      </c>
      <c r="T8" s="767" t="s">
        <v>17</v>
      </c>
      <c r="U8" s="768">
        <f t="shared" si="1"/>
        <v>100</v>
      </c>
      <c r="V8" s="767" t="s">
        <v>17</v>
      </c>
      <c r="W8" s="768">
        <f t="shared" si="2"/>
        <v>100</v>
      </c>
      <c r="X8" s="769"/>
      <c r="Y8" s="3226" t="s">
        <v>2540</v>
      </c>
      <c r="Z8" s="3227"/>
      <c r="AA8" s="770">
        <f t="shared" ref="AA8:AA36" si="3">D8/F8</f>
        <v>1</v>
      </c>
      <c r="AB8" s="770">
        <f t="shared" ref="AB8:AB36" si="4">D8/H8</f>
        <v>1</v>
      </c>
      <c r="AC8" s="770">
        <f t="shared" ref="AC8:AC36" si="5">D8/J8</f>
        <v>1</v>
      </c>
    </row>
    <row r="9" spans="1:29" s="117" customFormat="1">
      <c r="A9" s="68" t="s">
        <v>2541</v>
      </c>
      <c r="B9" s="637" t="s">
        <v>2542</v>
      </c>
      <c r="C9" s="2949" t="s">
        <v>3240</v>
      </c>
      <c r="D9" s="135">
        <v>100</v>
      </c>
      <c r="E9" s="418" t="s">
        <v>3053</v>
      </c>
      <c r="F9" s="135">
        <f>SUMIF(53:53,E9,54:54)-SUMIF(53:53,C9,54:54)+100</f>
        <v>100</v>
      </c>
      <c r="G9" s="418" t="s">
        <v>3053</v>
      </c>
      <c r="H9" s="135">
        <f>SUMIF(53:53,G9,54:54)-SUMIF(53:53,C9,54:54)+100</f>
        <v>100</v>
      </c>
      <c r="I9" s="418" t="s">
        <v>3053</v>
      </c>
      <c r="J9" s="135">
        <f>SUMIF(53:53,I9,54:54)-SUMIF(53:53,C9,54:54)+100</f>
        <v>100</v>
      </c>
      <c r="K9" s="610"/>
      <c r="L9" s="1127"/>
      <c r="M9" s="1128"/>
      <c r="N9" s="1128"/>
      <c r="O9" s="1128"/>
      <c r="P9" s="3271" t="s">
        <v>2543</v>
      </c>
      <c r="Q9" s="1790" t="str">
        <f t="shared" ref="Q9:Q14" si="6">B9</f>
        <v>用途</v>
      </c>
      <c r="R9" s="767" t="s">
        <v>17</v>
      </c>
      <c r="S9" s="768">
        <f t="shared" si="0"/>
        <v>100</v>
      </c>
      <c r="T9" s="767" t="s">
        <v>17</v>
      </c>
      <c r="U9" s="768">
        <f t="shared" si="1"/>
        <v>100</v>
      </c>
      <c r="V9" s="767" t="s">
        <v>17</v>
      </c>
      <c r="W9" s="768">
        <f t="shared" si="2"/>
        <v>100</v>
      </c>
      <c r="X9" s="769"/>
      <c r="Y9" s="3100" t="s">
        <v>2544</v>
      </c>
      <c r="Z9" s="55" t="str">
        <f t="shared" ref="Z9:Z14" si="7">Q9</f>
        <v>用途</v>
      </c>
      <c r="AA9" s="770">
        <f t="shared" si="3"/>
        <v>1</v>
      </c>
      <c r="AB9" s="770">
        <f t="shared" si="4"/>
        <v>1</v>
      </c>
      <c r="AC9" s="770">
        <f t="shared" si="5"/>
        <v>1</v>
      </c>
    </row>
    <row r="10" spans="1:29" s="426" customFormat="1" ht="27.75" thickBot="1">
      <c r="A10" s="638"/>
      <c r="B10" s="639" t="s">
        <v>2545</v>
      </c>
      <c r="C10" s="422" t="s">
        <v>3091</v>
      </c>
      <c r="D10" s="136">
        <v>100</v>
      </c>
      <c r="E10" s="422" t="s">
        <v>3091</v>
      </c>
      <c r="F10" s="136">
        <f>SUMIF(55:55,E10,56:56)-SUMIF(55:55,C10,56:56)+100</f>
        <v>100</v>
      </c>
      <c r="G10" s="422" t="s">
        <v>3091</v>
      </c>
      <c r="H10" s="136">
        <f>SUMIF(55:55,G10,56:56)-SUMIF(55:55,C10,56:56)+100</f>
        <v>100</v>
      </c>
      <c r="I10" s="422" t="s">
        <v>3091</v>
      </c>
      <c r="J10" s="136">
        <f>SUMIF(55:55,I10,56:56)-SUMIF(55:55,C10,56:56)+100</f>
        <v>100</v>
      </c>
      <c r="K10" s="611">
        <v>1</v>
      </c>
      <c r="L10" s="1130"/>
      <c r="M10" s="1131"/>
      <c r="N10" s="1131"/>
      <c r="O10" s="1131"/>
      <c r="P10" s="3271"/>
      <c r="Q10" s="1790" t="str">
        <f t="shared" si="6"/>
        <v>土地使用年限（年）</v>
      </c>
      <c r="R10" s="767" t="s">
        <v>17</v>
      </c>
      <c r="S10" s="768">
        <f t="shared" si="0"/>
        <v>100</v>
      </c>
      <c r="T10" s="767" t="s">
        <v>17</v>
      </c>
      <c r="U10" s="768">
        <f t="shared" si="1"/>
        <v>100</v>
      </c>
      <c r="V10" s="767" t="s">
        <v>17</v>
      </c>
      <c r="W10" s="768">
        <f t="shared" si="2"/>
        <v>100</v>
      </c>
      <c r="X10" s="769"/>
      <c r="Y10" s="3100"/>
      <c r="Z10" s="55" t="str">
        <f t="shared" si="7"/>
        <v>土地使用年限（年）</v>
      </c>
      <c r="AA10" s="770">
        <f t="shared" si="3"/>
        <v>1</v>
      </c>
      <c r="AB10" s="770">
        <f t="shared" si="4"/>
        <v>1</v>
      </c>
      <c r="AC10" s="770">
        <f t="shared" si="5"/>
        <v>1</v>
      </c>
    </row>
    <row r="11" spans="1:29" ht="15" hidden="1">
      <c r="A11" s="640"/>
      <c r="B11" s="641"/>
      <c r="C11" s="431"/>
      <c r="D11" s="136">
        <v>100</v>
      </c>
      <c r="E11" s="431"/>
      <c r="F11" s="136">
        <f>SUMIF(57:57,E11,58:58)-SUMIF(57:57,C11,58:58)+100</f>
        <v>100</v>
      </c>
      <c r="G11" s="431"/>
      <c r="H11" s="136">
        <f>SUMIF(57:57,G11,58:58)-SUMIF(57:57,C11,58:58)+100</f>
        <v>100</v>
      </c>
      <c r="I11" s="431"/>
      <c r="J11" s="136">
        <f>SUMIF(57:57,I11,58:58)-SUMIF(57:57,C11,58:58)+100</f>
        <v>100</v>
      </c>
      <c r="K11" s="612"/>
      <c r="L11" s="1133"/>
      <c r="M11" s="1126"/>
      <c r="N11" s="1126"/>
      <c r="O11" s="1126"/>
      <c r="P11" s="3271"/>
      <c r="Q11" s="1790">
        <f t="shared" si="6"/>
        <v>0</v>
      </c>
      <c r="R11" s="767" t="s">
        <v>17</v>
      </c>
      <c r="S11" s="768">
        <f t="shared" si="0"/>
        <v>100</v>
      </c>
      <c r="T11" s="767" t="s">
        <v>17</v>
      </c>
      <c r="U11" s="768">
        <f t="shared" si="1"/>
        <v>100</v>
      </c>
      <c r="V11" s="767" t="s">
        <v>17</v>
      </c>
      <c r="W11" s="768">
        <f t="shared" si="2"/>
        <v>100</v>
      </c>
      <c r="X11" s="769"/>
      <c r="Y11" s="3100"/>
      <c r="Z11" s="55">
        <f t="shared" si="7"/>
        <v>0</v>
      </c>
      <c r="AA11" s="770">
        <f t="shared" si="3"/>
        <v>1</v>
      </c>
      <c r="AB11" s="770">
        <f t="shared" si="4"/>
        <v>1</v>
      </c>
      <c r="AC11" s="770">
        <f t="shared" si="5"/>
        <v>1</v>
      </c>
    </row>
    <row r="12" spans="1:29" s="117" customFormat="1" ht="15" hidden="1">
      <c r="A12" s="642"/>
      <c r="B12" s="641"/>
      <c r="C12" s="431"/>
      <c r="D12" s="432">
        <v>100</v>
      </c>
      <c r="E12" s="431"/>
      <c r="F12" s="136">
        <f>SUMIF(59:59,E12,60:60)-SUMIF(59:59,C12,60:60)+100</f>
        <v>100</v>
      </c>
      <c r="G12" s="431"/>
      <c r="H12" s="136">
        <f>SUMIF(59:59,G12,60:60)-SUMIF(59:59,C12,60:60)+100</f>
        <v>100</v>
      </c>
      <c r="I12" s="431"/>
      <c r="J12" s="136">
        <f>SUMIF(59:59,I12,60:60)-SUMIF(59:59,C12,60:60)+100</f>
        <v>100</v>
      </c>
      <c r="K12" s="612"/>
      <c r="L12" s="1127"/>
      <c r="M12" s="1128"/>
      <c r="N12" s="1128"/>
      <c r="O12" s="1128"/>
      <c r="P12" s="3271"/>
      <c r="Q12" s="1790">
        <f t="shared" si="6"/>
        <v>0</v>
      </c>
      <c r="R12" s="767" t="s">
        <v>17</v>
      </c>
      <c r="S12" s="768">
        <f t="shared" si="0"/>
        <v>100</v>
      </c>
      <c r="T12" s="767" t="s">
        <v>17</v>
      </c>
      <c r="U12" s="768">
        <f t="shared" si="1"/>
        <v>100</v>
      </c>
      <c r="V12" s="767" t="s">
        <v>17</v>
      </c>
      <c r="W12" s="768">
        <f t="shared" si="2"/>
        <v>100</v>
      </c>
      <c r="X12" s="769"/>
      <c r="Y12" s="3100"/>
      <c r="Z12" s="55">
        <f t="shared" si="7"/>
        <v>0</v>
      </c>
      <c r="AA12" s="770">
        <f>D12/F12</f>
        <v>1</v>
      </c>
      <c r="AB12" s="770">
        <f>D12/H12</f>
        <v>1</v>
      </c>
      <c r="AC12" s="770">
        <f>D12/J12</f>
        <v>1</v>
      </c>
    </row>
    <row r="13" spans="1:29" ht="15.75" hidden="1" thickBot="1">
      <c r="A13" s="643"/>
      <c r="B13" s="641"/>
      <c r="C13" s="433"/>
      <c r="D13" s="434">
        <v>100</v>
      </c>
      <c r="E13" s="431"/>
      <c r="F13" s="136">
        <f>SUMIF(61:61,E13,62:62)-SUMIF(61:61,C13,62:62)+100</f>
        <v>100</v>
      </c>
      <c r="G13" s="431"/>
      <c r="H13" s="434">
        <f>SUMIF(61:61,G13,62:62)-SUMIF(61:61,C13,62:62)+100</f>
        <v>100</v>
      </c>
      <c r="I13" s="431"/>
      <c r="J13" s="434">
        <f>SUMIF(61:61,I13,62:62)-SUMIF(61:61,C13,62:62)+100</f>
        <v>100</v>
      </c>
      <c r="K13" s="612"/>
      <c r="L13" s="1135"/>
      <c r="M13" s="1126"/>
      <c r="N13" s="1126"/>
      <c r="O13" s="1126"/>
      <c r="P13" s="3271"/>
      <c r="Q13" s="1790">
        <f t="shared" si="6"/>
        <v>0</v>
      </c>
      <c r="R13" s="767" t="s">
        <v>17</v>
      </c>
      <c r="S13" s="768">
        <f t="shared" si="0"/>
        <v>100</v>
      </c>
      <c r="T13" s="767" t="s">
        <v>17</v>
      </c>
      <c r="U13" s="768">
        <f t="shared" si="1"/>
        <v>100</v>
      </c>
      <c r="V13" s="767" t="s">
        <v>17</v>
      </c>
      <c r="W13" s="768">
        <f t="shared" si="2"/>
        <v>100</v>
      </c>
      <c r="X13" s="769"/>
      <c r="Y13" s="3100"/>
      <c r="Z13" s="55">
        <f t="shared" si="7"/>
        <v>0</v>
      </c>
      <c r="AA13" s="770">
        <f t="shared" si="3"/>
        <v>1</v>
      </c>
      <c r="AB13" s="770">
        <f t="shared" si="4"/>
        <v>1</v>
      </c>
      <c r="AC13" s="770">
        <f t="shared" si="5"/>
        <v>1</v>
      </c>
    </row>
    <row r="14" spans="1:29" ht="71.25">
      <c r="A14" s="400" t="s">
        <v>2547</v>
      </c>
      <c r="B14" s="626" t="s">
        <v>2696</v>
      </c>
      <c r="C14" s="2686" t="str">
        <f>IF(B1="工业",估价对象房地状况!G4,估价对象房地状况!C6)</f>
        <v>周边道路状况、公共交通通达情况、停车便捷程度（快速路西四环北路 六号线海淀五路居站 五路桥公交站  61路 79路 121路 地上停车位）</v>
      </c>
      <c r="D14" s="440">
        <v>100</v>
      </c>
      <c r="E14" s="441"/>
      <c r="F14" s="442">
        <f>SUMIF(63:63,E15,64:64)-SUMIF(63:63,C15,64:64)+100</f>
        <v>100</v>
      </c>
      <c r="G14" s="443"/>
      <c r="H14" s="440">
        <f>SUMIF(63:63,G15,64:64)-SUMIF(63:63,C15,64:64)+100</f>
        <v>100</v>
      </c>
      <c r="I14" s="441"/>
      <c r="J14" s="440">
        <f>SUMIF(63:63,I15,64:64)-SUMIF(63:63,C15,64:64)+100</f>
        <v>100</v>
      </c>
      <c r="K14" s="613">
        <v>3</v>
      </c>
      <c r="L14" s="1135"/>
      <c r="M14" s="1126"/>
      <c r="N14" s="1126"/>
      <c r="O14" s="1126"/>
      <c r="P14" s="3264" t="s">
        <v>2548</v>
      </c>
      <c r="Q14" s="1805" t="str">
        <f t="shared" si="6"/>
        <v>交通便捷度</v>
      </c>
      <c r="R14" s="771" t="s">
        <v>17</v>
      </c>
      <c r="S14" s="772">
        <f t="shared" si="0"/>
        <v>100</v>
      </c>
      <c r="T14" s="771" t="s">
        <v>17</v>
      </c>
      <c r="U14" s="772">
        <f t="shared" si="1"/>
        <v>100</v>
      </c>
      <c r="V14" s="771" t="s">
        <v>17</v>
      </c>
      <c r="W14" s="772">
        <f t="shared" si="2"/>
        <v>100</v>
      </c>
      <c r="X14" s="1808"/>
      <c r="Y14" s="3264" t="s">
        <v>2548</v>
      </c>
      <c r="Z14" s="1809" t="str">
        <f t="shared" si="7"/>
        <v>交通便捷度</v>
      </c>
      <c r="AA14" s="1806">
        <f t="shared" si="3"/>
        <v>1</v>
      </c>
      <c r="AB14" s="1806">
        <f t="shared" si="4"/>
        <v>1</v>
      </c>
      <c r="AC14" s="1806">
        <f t="shared" si="5"/>
        <v>1</v>
      </c>
    </row>
    <row r="15" spans="1:29" ht="15">
      <c r="A15" s="403"/>
      <c r="B15" s="644"/>
      <c r="C15" s="446" t="s">
        <v>3096</v>
      </c>
      <c r="D15" s="447"/>
      <c r="E15" s="446" t="s">
        <v>3096</v>
      </c>
      <c r="F15" s="448"/>
      <c r="G15" s="446" t="s">
        <v>3096</v>
      </c>
      <c r="H15" s="449"/>
      <c r="I15" s="446" t="s">
        <v>3096</v>
      </c>
      <c r="J15" s="447"/>
      <c r="K15" s="614"/>
      <c r="L15" s="1135"/>
      <c r="M15" s="1126"/>
      <c r="N15" s="1126"/>
      <c r="O15" s="1126"/>
      <c r="P15" s="3265"/>
      <c r="Q15" s="1805"/>
      <c r="R15" s="771"/>
      <c r="S15" s="772"/>
      <c r="T15" s="771"/>
      <c r="U15" s="772"/>
      <c r="V15" s="771"/>
      <c r="W15" s="772"/>
      <c r="X15" s="1808"/>
      <c r="Y15" s="3265"/>
      <c r="Z15" s="1809"/>
      <c r="AA15" s="1806">
        <v>1</v>
      </c>
      <c r="AB15" s="1806">
        <v>1</v>
      </c>
      <c r="AC15" s="1806">
        <v>1</v>
      </c>
    </row>
    <row r="16" spans="1:29" ht="114">
      <c r="A16" s="403"/>
      <c r="B16" s="628" t="s">
        <v>2675</v>
      </c>
      <c r="C16" s="2600"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4">
        <v>100</v>
      </c>
      <c r="E16" s="456"/>
      <c r="F16" s="457">
        <f>SUMIF(65:65,E17,66:66)-SUMIF(65:65,C17,66:66)+100</f>
        <v>100</v>
      </c>
      <c r="G16" s="456"/>
      <c r="H16" s="454">
        <f>SUMIF(65:65,G17,66:66)-SUMIF(65:65,C17,66:66)+100</f>
        <v>100</v>
      </c>
      <c r="I16" s="456"/>
      <c r="J16" s="454">
        <f>SUMIF(65:65,I17,66:66)-SUMIF(65:65,C17,66:66)+100</f>
        <v>100</v>
      </c>
      <c r="K16" s="613">
        <v>3</v>
      </c>
      <c r="L16" s="1135"/>
      <c r="M16" s="1126"/>
      <c r="N16" s="1126"/>
      <c r="O16" s="1126"/>
      <c r="P16" s="3265"/>
      <c r="Q16" s="1805" t="str">
        <f>B16</f>
        <v>公共配套设施</v>
      </c>
      <c r="R16" s="771" t="s">
        <v>17</v>
      </c>
      <c r="S16" s="772">
        <f>F16</f>
        <v>100</v>
      </c>
      <c r="T16" s="771" t="s">
        <v>17</v>
      </c>
      <c r="U16" s="772">
        <f>H16</f>
        <v>100</v>
      </c>
      <c r="V16" s="771" t="s">
        <v>17</v>
      </c>
      <c r="W16" s="772">
        <f>J16</f>
        <v>100</v>
      </c>
      <c r="X16" s="1808"/>
      <c r="Y16" s="3265"/>
      <c r="Z16" s="1809" t="str">
        <f>Q16</f>
        <v>公共配套设施</v>
      </c>
      <c r="AA16" s="1806">
        <f t="shared" si="3"/>
        <v>1</v>
      </c>
      <c r="AB16" s="1806">
        <f t="shared" si="4"/>
        <v>1</v>
      </c>
      <c r="AC16" s="1806">
        <f t="shared" si="5"/>
        <v>1</v>
      </c>
    </row>
    <row r="17" spans="1:29" ht="15">
      <c r="A17" s="403"/>
      <c r="B17" s="629"/>
      <c r="C17" s="2601" t="s">
        <v>3096</v>
      </c>
      <c r="D17" s="447"/>
      <c r="E17" s="446" t="s">
        <v>3096</v>
      </c>
      <c r="F17" s="448"/>
      <c r="G17" s="446" t="s">
        <v>3096</v>
      </c>
      <c r="H17" s="447"/>
      <c r="I17" s="446" t="s">
        <v>3096</v>
      </c>
      <c r="J17" s="447"/>
      <c r="K17" s="614"/>
      <c r="L17" s="1135"/>
      <c r="M17" s="1126"/>
      <c r="N17" s="1126"/>
      <c r="O17" s="1126"/>
      <c r="P17" s="3265"/>
      <c r="Q17" s="1805"/>
      <c r="R17" s="771"/>
      <c r="S17" s="772"/>
      <c r="T17" s="771"/>
      <c r="U17" s="772"/>
      <c r="V17" s="771"/>
      <c r="W17" s="772"/>
      <c r="X17" s="1808"/>
      <c r="Y17" s="3265"/>
      <c r="Z17" s="1809"/>
      <c r="AA17" s="1806">
        <v>1</v>
      </c>
      <c r="AB17" s="1806">
        <v>1</v>
      </c>
      <c r="AC17" s="1806">
        <v>1</v>
      </c>
    </row>
    <row r="18" spans="1:29" ht="15">
      <c r="A18" s="403"/>
      <c r="B18" s="630" t="s">
        <v>2676</v>
      </c>
      <c r="C18" s="2600">
        <f>IF(B1="工业",估价对象房地状况!G6,估价对象房地状况!C8)</f>
        <v>0</v>
      </c>
      <c r="D18" s="449">
        <v>100</v>
      </c>
      <c r="E18" s="451"/>
      <c r="F18" s="457">
        <f>SUMIF(67:67,E19,68:68)-SUMIF(67:67,C19,68:68)+100</f>
        <v>100</v>
      </c>
      <c r="G18" s="451"/>
      <c r="H18" s="454">
        <f>SUMIF(67:67,G19,68:68)-SUMIF(67:67,C19,68:68)+100</f>
        <v>100</v>
      </c>
      <c r="I18" s="451"/>
      <c r="J18" s="454">
        <f>SUMIF(67:67,I19,68:68)-SUMIF(67:67,C19,68:68)+100</f>
        <v>100</v>
      </c>
      <c r="K18" s="613">
        <v>2</v>
      </c>
      <c r="L18" s="1135"/>
      <c r="M18" s="1126"/>
      <c r="N18" s="1126"/>
      <c r="O18" s="1126"/>
      <c r="P18" s="3265"/>
      <c r="Q18" s="1805" t="str">
        <f>B18</f>
        <v>基础设施水平</v>
      </c>
      <c r="R18" s="771" t="s">
        <v>17</v>
      </c>
      <c r="S18" s="772">
        <f>F18</f>
        <v>100</v>
      </c>
      <c r="T18" s="771" t="s">
        <v>17</v>
      </c>
      <c r="U18" s="772">
        <f>H18</f>
        <v>100</v>
      </c>
      <c r="V18" s="771" t="s">
        <v>17</v>
      </c>
      <c r="W18" s="772">
        <f>J18</f>
        <v>100</v>
      </c>
      <c r="X18" s="1808"/>
      <c r="Y18" s="3265"/>
      <c r="Z18" s="1809" t="str">
        <f>Q18</f>
        <v>基础设施水平</v>
      </c>
      <c r="AA18" s="1806">
        <f t="shared" ref="AA18" si="8">D18/F18</f>
        <v>1</v>
      </c>
      <c r="AB18" s="1806">
        <f t="shared" ref="AB18" si="9">D18/H18</f>
        <v>1</v>
      </c>
      <c r="AC18" s="1806">
        <f t="shared" ref="AC18" si="10">D18/J18</f>
        <v>1</v>
      </c>
    </row>
    <row r="19" spans="1:29" ht="15">
      <c r="A19" s="403"/>
      <c r="B19" s="630"/>
      <c r="C19" s="2601" t="s">
        <v>3094</v>
      </c>
      <c r="D19" s="449"/>
      <c r="E19" s="2601" t="s">
        <v>3094</v>
      </c>
      <c r="F19" s="452"/>
      <c r="G19" s="2601" t="s">
        <v>3094</v>
      </c>
      <c r="H19" s="447"/>
      <c r="I19" s="2601" t="s">
        <v>3094</v>
      </c>
      <c r="J19" s="447"/>
      <c r="K19" s="1378"/>
      <c r="L19" s="1135"/>
      <c r="M19" s="1126"/>
      <c r="N19" s="1126"/>
      <c r="O19" s="1126"/>
      <c r="P19" s="3265"/>
      <c r="Q19" s="1805"/>
      <c r="R19" s="771"/>
      <c r="S19" s="772"/>
      <c r="T19" s="771"/>
      <c r="U19" s="772"/>
      <c r="V19" s="771"/>
      <c r="W19" s="772"/>
      <c r="X19" s="1808"/>
      <c r="Y19" s="3265"/>
      <c r="Z19" s="1809"/>
      <c r="AA19" s="1806">
        <v>1</v>
      </c>
      <c r="AB19" s="1806">
        <v>1</v>
      </c>
      <c r="AC19" s="1806">
        <v>1</v>
      </c>
    </row>
    <row r="20" spans="1:29" ht="15">
      <c r="A20" s="403"/>
      <c r="B20" s="628" t="s">
        <v>2697</v>
      </c>
      <c r="C20" s="2600">
        <f>IF(B1="工业",估价对象房地状况!G7,估价对象房地状况!C9)</f>
        <v>0</v>
      </c>
      <c r="D20" s="454">
        <v>100</v>
      </c>
      <c r="E20" s="456"/>
      <c r="F20" s="457">
        <f>SUMIF(69:69,E21,70:70)-SUMIF(69:69,C21,70:70)+100</f>
        <v>100</v>
      </c>
      <c r="G20" s="456"/>
      <c r="H20" s="449">
        <f>SUMIF(69:69,G21,70:70)-SUMIF(69:69,C21,70:70)+100</f>
        <v>100</v>
      </c>
      <c r="I20" s="456"/>
      <c r="J20" s="449">
        <f>SUMIF(69:69,I21,70:70)-SUMIF(69:69,C21,70:70)+100</f>
        <v>100</v>
      </c>
      <c r="K20" s="613">
        <v>2</v>
      </c>
      <c r="L20" s="1135"/>
      <c r="M20" s="1126"/>
      <c r="N20" s="1126"/>
      <c r="O20" s="1126"/>
      <c r="P20" s="3265"/>
      <c r="Q20" s="1805" t="str">
        <f>B20</f>
        <v>自然及人文环境</v>
      </c>
      <c r="R20" s="771" t="s">
        <v>17</v>
      </c>
      <c r="S20" s="772">
        <f>F20</f>
        <v>100</v>
      </c>
      <c r="T20" s="771" t="s">
        <v>17</v>
      </c>
      <c r="U20" s="772">
        <f>H20</f>
        <v>100</v>
      </c>
      <c r="V20" s="771" t="s">
        <v>17</v>
      </c>
      <c r="W20" s="772">
        <f>J20</f>
        <v>100</v>
      </c>
      <c r="X20" s="1808"/>
      <c r="Y20" s="3265"/>
      <c r="Z20" s="1809" t="str">
        <f>Q20</f>
        <v>自然及人文环境</v>
      </c>
      <c r="AA20" s="1806">
        <f t="shared" si="3"/>
        <v>1</v>
      </c>
      <c r="AB20" s="1806">
        <f t="shared" si="4"/>
        <v>1</v>
      </c>
      <c r="AC20" s="1806">
        <f t="shared" si="5"/>
        <v>1</v>
      </c>
    </row>
    <row r="21" spans="1:29" ht="15.75" thickBot="1">
      <c r="A21" s="403"/>
      <c r="B21" s="629"/>
      <c r="C21" s="446" t="s">
        <v>3095</v>
      </c>
      <c r="D21" s="447"/>
      <c r="E21" s="446" t="s">
        <v>3095</v>
      </c>
      <c r="F21" s="448"/>
      <c r="G21" s="446" t="s">
        <v>3095</v>
      </c>
      <c r="H21" s="447"/>
      <c r="I21" s="446" t="s">
        <v>3095</v>
      </c>
      <c r="J21" s="447"/>
      <c r="K21" s="614"/>
      <c r="L21" s="1135"/>
      <c r="M21" s="1126"/>
      <c r="N21" s="1126"/>
      <c r="O21" s="1126"/>
      <c r="P21" s="3265"/>
      <c r="Q21" s="1805"/>
      <c r="R21" s="771"/>
      <c r="S21" s="772"/>
      <c r="T21" s="771"/>
      <c r="U21" s="772"/>
      <c r="V21" s="771"/>
      <c r="W21" s="772"/>
      <c r="X21" s="1808"/>
      <c r="Y21" s="3265"/>
      <c r="Z21" s="1809"/>
      <c r="AA21" s="1806">
        <v>1</v>
      </c>
      <c r="AB21" s="1806">
        <v>1</v>
      </c>
      <c r="AC21" s="1806">
        <v>1</v>
      </c>
    </row>
    <row r="22" spans="1:29" ht="15.75" hidden="1" thickBot="1">
      <c r="A22" s="403"/>
      <c r="B22" s="628" t="s">
        <v>2698</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65"/>
      <c r="Q22" s="1805" t="str">
        <f>B22</f>
        <v>楼层</v>
      </c>
      <c r="R22" s="771" t="s">
        <v>17</v>
      </c>
      <c r="S22" s="772">
        <f>F22</f>
        <v>100</v>
      </c>
      <c r="T22" s="771" t="s">
        <v>17</v>
      </c>
      <c r="U22" s="772">
        <f>H22</f>
        <v>100</v>
      </c>
      <c r="V22" s="771" t="s">
        <v>17</v>
      </c>
      <c r="W22" s="772">
        <f>J22</f>
        <v>100</v>
      </c>
      <c r="X22" s="1808"/>
      <c r="Y22" s="3265"/>
      <c r="Z22" s="1809" t="str">
        <f>Q22</f>
        <v>楼层</v>
      </c>
      <c r="AA22" s="1806">
        <f t="shared" si="3"/>
        <v>1</v>
      </c>
      <c r="AB22" s="1806">
        <f t="shared" si="4"/>
        <v>1</v>
      </c>
      <c r="AC22" s="1806">
        <f t="shared" si="5"/>
        <v>1</v>
      </c>
    </row>
    <row r="23" spans="1:29" ht="15" hidden="1">
      <c r="A23" s="403"/>
      <c r="B23" s="645"/>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65"/>
      <c r="Q23" s="1805">
        <f>B23</f>
        <v>0</v>
      </c>
      <c r="R23" s="771" t="s">
        <v>17</v>
      </c>
      <c r="S23" s="772">
        <f>F23</f>
        <v>100</v>
      </c>
      <c r="T23" s="771" t="s">
        <v>17</v>
      </c>
      <c r="U23" s="772">
        <f>H23</f>
        <v>100</v>
      </c>
      <c r="V23" s="771" t="s">
        <v>17</v>
      </c>
      <c r="W23" s="772">
        <f>J23</f>
        <v>100</v>
      </c>
      <c r="X23" s="1808"/>
      <c r="Y23" s="3265"/>
      <c r="Z23" s="1809">
        <f>Q23</f>
        <v>0</v>
      </c>
      <c r="AA23" s="1806">
        <f t="shared" si="3"/>
        <v>1</v>
      </c>
      <c r="AB23" s="1806">
        <f t="shared" si="4"/>
        <v>1</v>
      </c>
      <c r="AC23" s="1806">
        <f t="shared" si="5"/>
        <v>1</v>
      </c>
    </row>
    <row r="24" spans="1:29" ht="15" hidden="1">
      <c r="A24" s="403"/>
      <c r="B24" s="645"/>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65"/>
      <c r="Q24" s="1805">
        <f t="shared" ref="Q24:Q36" si="11">B24</f>
        <v>0</v>
      </c>
      <c r="R24" s="771" t="s">
        <v>17</v>
      </c>
      <c r="S24" s="772">
        <f>F24</f>
        <v>100</v>
      </c>
      <c r="T24" s="771" t="s">
        <v>17</v>
      </c>
      <c r="U24" s="772">
        <f>H24</f>
        <v>100</v>
      </c>
      <c r="V24" s="771" t="s">
        <v>17</v>
      </c>
      <c r="W24" s="772">
        <f>J24</f>
        <v>100</v>
      </c>
      <c r="X24" s="1808"/>
      <c r="Y24" s="3265"/>
      <c r="Z24" s="1809">
        <f>Q24</f>
        <v>0</v>
      </c>
      <c r="AA24" s="1806">
        <f t="shared" si="3"/>
        <v>1</v>
      </c>
      <c r="AB24" s="1806">
        <f t="shared" si="4"/>
        <v>1</v>
      </c>
      <c r="AC24" s="1806">
        <f t="shared" si="5"/>
        <v>1</v>
      </c>
    </row>
    <row r="25" spans="1:29" s="117" customFormat="1" ht="15.75" hidden="1" thickBot="1">
      <c r="A25" s="646"/>
      <c r="B25" s="632"/>
      <c r="C25" s="436"/>
      <c r="D25" s="647">
        <v>100</v>
      </c>
      <c r="E25" s="625"/>
      <c r="F25" s="648">
        <f>SUMIF(77:77,E25,78:78)-SUMIF(77:77,C25,78:78)+100</f>
        <v>100</v>
      </c>
      <c r="G25" s="625"/>
      <c r="H25" s="647">
        <f>SUMIF(77:77,G25,78:78)-SUMIF(77:77,C25,78:78)+100</f>
        <v>100</v>
      </c>
      <c r="I25" s="625"/>
      <c r="J25" s="647">
        <f>SUMIF(77:77,I25,78:78)-SUMIF(77:77,C25,78:78)+100</f>
        <v>100</v>
      </c>
      <c r="K25" s="612"/>
      <c r="L25" s="1127"/>
      <c r="M25" s="1128"/>
      <c r="N25" s="1128"/>
      <c r="O25" s="1128"/>
      <c r="P25" s="3265"/>
      <c r="Q25" s="1790">
        <f t="shared" si="11"/>
        <v>0</v>
      </c>
      <c r="R25" s="767" t="s">
        <v>17</v>
      </c>
      <c r="S25" s="768">
        <f>F25</f>
        <v>100</v>
      </c>
      <c r="T25" s="767" t="s">
        <v>17</v>
      </c>
      <c r="U25" s="768">
        <f>H25</f>
        <v>100</v>
      </c>
      <c r="V25" s="767" t="s">
        <v>17</v>
      </c>
      <c r="W25" s="768">
        <f>J25</f>
        <v>100</v>
      </c>
      <c r="X25" s="769"/>
      <c r="Y25" s="3265"/>
      <c r="Z25" s="55">
        <f>Q25</f>
        <v>0</v>
      </c>
      <c r="AA25" s="1806">
        <f>D25/F25</f>
        <v>1</v>
      </c>
      <c r="AB25" s="1806">
        <f>D25/H25</f>
        <v>1</v>
      </c>
      <c r="AC25" s="1806">
        <f>D25/J25</f>
        <v>1</v>
      </c>
    </row>
    <row r="26" spans="1:29" ht="28.5">
      <c r="A26" s="649" t="s">
        <v>2551</v>
      </c>
      <c r="B26" s="70" t="s">
        <v>2699</v>
      </c>
      <c r="C26" s="2687" t="str">
        <f>B1</f>
        <v>车库</v>
      </c>
      <c r="D26" s="447">
        <v>100</v>
      </c>
      <c r="E26" s="446" t="s">
        <v>3053</v>
      </c>
      <c r="F26" s="448">
        <f>SUMIF(79:79,E26,80:80)-SUMIF(79:79,C26,80:80)+100</f>
        <v>100</v>
      </c>
      <c r="G26" s="446" t="s">
        <v>3053</v>
      </c>
      <c r="H26" s="447">
        <f>SUMIF(79:79,G26,80:80)-SUMIF(79:79,C26,80:80)+100</f>
        <v>100</v>
      </c>
      <c r="I26" s="446" t="s">
        <v>3053</v>
      </c>
      <c r="J26" s="447">
        <f>SUMIF(79:79,I26,80:80)-SUMIF(79:79,C26,80:80)+100</f>
        <v>100</v>
      </c>
      <c r="K26" s="611"/>
      <c r="L26" s="1135"/>
      <c r="M26" s="1126"/>
      <c r="N26" s="1126"/>
      <c r="O26" s="1126"/>
      <c r="P26" s="3291" t="s">
        <v>2553</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69" t="s">
        <v>2553</v>
      </c>
      <c r="Z26" s="1809" t="str">
        <f t="shared" ref="Z26:Z36" si="15">Q26</f>
        <v>配套类型</v>
      </c>
      <c r="AA26" s="1806">
        <f t="shared" si="3"/>
        <v>1</v>
      </c>
      <c r="AB26" s="1806">
        <f t="shared" si="4"/>
        <v>1</v>
      </c>
      <c r="AC26" s="1806">
        <f t="shared" si="5"/>
        <v>1</v>
      </c>
    </row>
    <row r="27" spans="1:29" s="470" customFormat="1" ht="15">
      <c r="A27" s="650"/>
      <c r="B27" s="651" t="s">
        <v>2700</v>
      </c>
      <c r="C27" s="652"/>
      <c r="D27" s="136">
        <v>100</v>
      </c>
      <c r="E27" s="652"/>
      <c r="F27" s="460">
        <f>SUMIF(81:81,E27,82:82)-SUMIF(81:81,C27,82:82)+100</f>
        <v>100</v>
      </c>
      <c r="G27" s="652"/>
      <c r="H27" s="434">
        <f>SUMIF(81:81,G27,82:82)-SUMIF(81:81,C27,82:82)+100</f>
        <v>100</v>
      </c>
      <c r="I27" s="652"/>
      <c r="J27" s="434">
        <f>SUMIF(81:81,I27,82:82)-SUMIF(81:81,C27,82:82)+100</f>
        <v>100</v>
      </c>
      <c r="K27" s="612"/>
      <c r="L27" s="1133"/>
      <c r="M27" s="1136"/>
      <c r="N27" s="1136"/>
      <c r="O27" s="1136"/>
      <c r="P27" s="3269"/>
      <c r="Q27" s="773" t="str">
        <f t="shared" si="11"/>
        <v>项目停车位配比</v>
      </c>
      <c r="R27" s="774" t="s">
        <v>17</v>
      </c>
      <c r="S27" s="775">
        <f t="shared" si="12"/>
        <v>100</v>
      </c>
      <c r="T27" s="774" t="s">
        <v>17</v>
      </c>
      <c r="U27" s="775">
        <f t="shared" si="13"/>
        <v>100</v>
      </c>
      <c r="V27" s="774" t="s">
        <v>17</v>
      </c>
      <c r="W27" s="775">
        <f t="shared" si="14"/>
        <v>100</v>
      </c>
      <c r="X27" s="776"/>
      <c r="Y27" s="3269"/>
      <c r="Z27" s="777" t="str">
        <f t="shared" si="15"/>
        <v>项目停车位配比</v>
      </c>
      <c r="AA27" s="1806">
        <f t="shared" si="3"/>
        <v>1</v>
      </c>
      <c r="AB27" s="1806">
        <f t="shared" si="4"/>
        <v>1</v>
      </c>
      <c r="AC27" s="1806">
        <f t="shared" si="5"/>
        <v>1</v>
      </c>
    </row>
    <row r="28" spans="1:29" ht="15">
      <c r="A28" s="653"/>
      <c r="B28" s="651" t="s">
        <v>2701</v>
      </c>
      <c r="C28" s="459" t="s">
        <v>3084</v>
      </c>
      <c r="D28" s="434">
        <v>100</v>
      </c>
      <c r="E28" s="459" t="s">
        <v>3084</v>
      </c>
      <c r="F28" s="460">
        <f>SUMIF(83:83,E28,84:84)-SUMIF(83:83,C28,84:84)+100</f>
        <v>100</v>
      </c>
      <c r="G28" s="459" t="s">
        <v>3084</v>
      </c>
      <c r="H28" s="434">
        <f>SUMIF(83:83,G28,84:84)-SUMIF(83:83,C28,84:84)+100</f>
        <v>100</v>
      </c>
      <c r="I28" s="459" t="s">
        <v>3084</v>
      </c>
      <c r="J28" s="434">
        <f>SUMIF(83:83,I28,84:84)-SUMIF(83:83,C28,84:84)+100</f>
        <v>100</v>
      </c>
      <c r="K28" s="611"/>
      <c r="L28" s="1135"/>
      <c r="M28" s="1126"/>
      <c r="N28" s="1126"/>
      <c r="O28" s="1126"/>
      <c r="P28" s="3269"/>
      <c r="Q28" s="1805" t="str">
        <f t="shared" si="11"/>
        <v>公共部分装修</v>
      </c>
      <c r="R28" s="771" t="s">
        <v>17</v>
      </c>
      <c r="S28" s="772">
        <f t="shared" si="12"/>
        <v>100</v>
      </c>
      <c r="T28" s="771" t="s">
        <v>17</v>
      </c>
      <c r="U28" s="772">
        <f t="shared" si="13"/>
        <v>100</v>
      </c>
      <c r="V28" s="771" t="s">
        <v>17</v>
      </c>
      <c r="W28" s="772">
        <f t="shared" si="14"/>
        <v>100</v>
      </c>
      <c r="X28" s="1808"/>
      <c r="Y28" s="3269"/>
      <c r="Z28" s="1809" t="str">
        <f t="shared" si="15"/>
        <v>公共部分装修</v>
      </c>
      <c r="AA28" s="1806">
        <f t="shared" si="3"/>
        <v>1</v>
      </c>
      <c r="AB28" s="1806">
        <f t="shared" si="4"/>
        <v>1</v>
      </c>
      <c r="AC28" s="1806">
        <f t="shared" si="5"/>
        <v>1</v>
      </c>
    </row>
    <row r="29" spans="1:29" ht="15">
      <c r="A29" s="653"/>
      <c r="B29" s="651" t="s">
        <v>2702</v>
      </c>
      <c r="C29" s="468">
        <v>90</v>
      </c>
      <c r="D29" s="434">
        <v>100</v>
      </c>
      <c r="E29" s="473">
        <v>0.9</v>
      </c>
      <c r="F29" s="460">
        <f>LOOKUP(E29,86:86,87:87)-LOOKUP(C29,86:86,87:87)+100</f>
        <v>100</v>
      </c>
      <c r="G29" s="473">
        <v>0.9</v>
      </c>
      <c r="H29" s="460">
        <f>LOOKUP(G29,86:86,87:87)-LOOKUP(C29,86:86,87:87)+100</f>
        <v>100</v>
      </c>
      <c r="I29" s="473">
        <v>0.9</v>
      </c>
      <c r="J29" s="434">
        <f>LOOKUP(I29,86:86,87:87)-LOOKUP(C29,86:86,87:87)+100</f>
        <v>100</v>
      </c>
      <c r="K29" s="611"/>
      <c r="L29" s="1135"/>
      <c r="M29" s="1126"/>
      <c r="N29" s="1126"/>
      <c r="O29" s="1126"/>
      <c r="P29" s="3269"/>
      <c r="Q29" s="1805" t="str">
        <f t="shared" si="11"/>
        <v>成新率</v>
      </c>
      <c r="R29" s="771" t="s">
        <v>17</v>
      </c>
      <c r="S29" s="772">
        <f t="shared" si="12"/>
        <v>100</v>
      </c>
      <c r="T29" s="771" t="s">
        <v>17</v>
      </c>
      <c r="U29" s="772">
        <f t="shared" si="13"/>
        <v>100</v>
      </c>
      <c r="V29" s="771" t="s">
        <v>17</v>
      </c>
      <c r="W29" s="772">
        <f t="shared" si="14"/>
        <v>100</v>
      </c>
      <c r="X29" s="1808"/>
      <c r="Y29" s="3269"/>
      <c r="Z29" s="1809" t="str">
        <f t="shared" si="15"/>
        <v>成新率</v>
      </c>
      <c r="AA29" s="1806">
        <f t="shared" si="3"/>
        <v>1</v>
      </c>
      <c r="AB29" s="1806">
        <f t="shared" si="4"/>
        <v>1</v>
      </c>
      <c r="AC29" s="1806">
        <f t="shared" si="5"/>
        <v>1</v>
      </c>
    </row>
    <row r="30" spans="1:29" ht="15">
      <c r="A30" s="653"/>
      <c r="B30" s="651" t="s">
        <v>2703</v>
      </c>
      <c r="C30" s="654"/>
      <c r="D30" s="434">
        <v>100</v>
      </c>
      <c r="E30" s="654"/>
      <c r="F30" s="460">
        <f>SUMIF(88:88,E30,89:89)-SUMIF(88:88,C30,89:89)+100</f>
        <v>100</v>
      </c>
      <c r="G30" s="654"/>
      <c r="H30" s="434">
        <f>SUMIF(88:88,E30,89:89)-SUMIF(88:88,C30,89:89)+100</f>
        <v>100</v>
      </c>
      <c r="I30" s="654"/>
      <c r="J30" s="434">
        <f>SUMIF(88:88,E30,89:89)-SUMIF(88:88,C30,89:89)+100</f>
        <v>100</v>
      </c>
      <c r="K30" s="611"/>
      <c r="L30" s="1135"/>
      <c r="M30" s="1126"/>
      <c r="N30" s="1126"/>
      <c r="O30" s="1126"/>
      <c r="P30" s="3269"/>
      <c r="Q30" s="1805" t="str">
        <f t="shared" si="11"/>
        <v>物业等级</v>
      </c>
      <c r="R30" s="771" t="s">
        <v>17</v>
      </c>
      <c r="S30" s="772">
        <f t="shared" si="12"/>
        <v>100</v>
      </c>
      <c r="T30" s="771" t="s">
        <v>17</v>
      </c>
      <c r="U30" s="772">
        <f t="shared" si="13"/>
        <v>100</v>
      </c>
      <c r="V30" s="771" t="s">
        <v>17</v>
      </c>
      <c r="W30" s="772">
        <f t="shared" si="14"/>
        <v>100</v>
      </c>
      <c r="X30" s="1808"/>
      <c r="Y30" s="3269"/>
      <c r="Z30" s="1809" t="str">
        <f t="shared" si="15"/>
        <v>物业等级</v>
      </c>
      <c r="AA30" s="1806">
        <f t="shared" si="3"/>
        <v>1</v>
      </c>
      <c r="AB30" s="1806">
        <f t="shared" si="4"/>
        <v>1</v>
      </c>
      <c r="AC30" s="1806">
        <f t="shared" si="5"/>
        <v>1</v>
      </c>
    </row>
    <row r="31" spans="1:29" s="117" customFormat="1" ht="15">
      <c r="A31" s="655"/>
      <c r="B31" s="651" t="s">
        <v>2704</v>
      </c>
      <c r="C31" s="468"/>
      <c r="D31" s="136">
        <v>100</v>
      </c>
      <c r="E31" s="468"/>
      <c r="F31" s="460">
        <f>LOOKUP(E31,91:91,92:92)-LOOKUP(C31,91:91,92:92)+100</f>
        <v>100</v>
      </c>
      <c r="G31" s="468"/>
      <c r="H31" s="434">
        <f>LOOKUP(G31,91:91,92:92)-LOOKUP(C31,91:91,92:92)+100</f>
        <v>100</v>
      </c>
      <c r="I31" s="468"/>
      <c r="J31" s="434">
        <f>LOOKUP(I31,91:91,92:92)-LOOKUP(C31,91:91,92:92)+100</f>
        <v>100</v>
      </c>
      <c r="K31" s="611"/>
      <c r="L31" s="1127"/>
      <c r="M31" s="1128"/>
      <c r="N31" s="1128"/>
      <c r="O31" s="1128"/>
      <c r="P31" s="3269"/>
      <c r="Q31" s="1790" t="str">
        <f t="shared" si="11"/>
        <v>停车位面积</v>
      </c>
      <c r="R31" s="767" t="s">
        <v>17</v>
      </c>
      <c r="S31" s="768">
        <f t="shared" si="12"/>
        <v>100</v>
      </c>
      <c r="T31" s="767" t="s">
        <v>17</v>
      </c>
      <c r="U31" s="768">
        <f t="shared" si="13"/>
        <v>100</v>
      </c>
      <c r="V31" s="767" t="s">
        <v>17</v>
      </c>
      <c r="W31" s="768">
        <f t="shared" si="14"/>
        <v>100</v>
      </c>
      <c r="X31" s="769"/>
      <c r="Y31" s="3269"/>
      <c r="Z31" s="55" t="str">
        <f t="shared" si="15"/>
        <v>停车位面积</v>
      </c>
      <c r="AA31" s="770">
        <f t="shared" si="3"/>
        <v>1</v>
      </c>
      <c r="AB31" s="770">
        <f t="shared" si="4"/>
        <v>1</v>
      </c>
      <c r="AC31" s="770">
        <f t="shared" si="5"/>
        <v>1</v>
      </c>
    </row>
    <row r="32" spans="1:29" ht="15">
      <c r="A32" s="653"/>
      <c r="B32" s="651" t="s">
        <v>2705</v>
      </c>
      <c r="C32" s="459" t="s">
        <v>3243</v>
      </c>
      <c r="D32" s="434">
        <v>100</v>
      </c>
      <c r="E32" s="459" t="s">
        <v>3243</v>
      </c>
      <c r="F32" s="460">
        <f>SUMIF(93:93,E32,94:94)-SUMIF(93:93,C32,94:94)+100</f>
        <v>100</v>
      </c>
      <c r="G32" s="459" t="s">
        <v>3243</v>
      </c>
      <c r="H32" s="434">
        <f>SUMIF(93:93,G32,94:94)-SUMIF(93:93,C32,94:94)+100</f>
        <v>100</v>
      </c>
      <c r="I32" s="459" t="s">
        <v>3243</v>
      </c>
      <c r="J32" s="434">
        <f>SUMIF(93:93,I32,94:94)-SUMIF(93:93,C32,94:94)+100</f>
        <v>100</v>
      </c>
      <c r="K32" s="611"/>
      <c r="L32" s="1135"/>
      <c r="M32" s="1126"/>
      <c r="N32" s="1126"/>
      <c r="O32" s="1126"/>
      <c r="P32" s="3269" t="s">
        <v>2553</v>
      </c>
      <c r="Q32" s="1805" t="str">
        <f t="shared" si="11"/>
        <v>车位类型</v>
      </c>
      <c r="R32" s="771" t="s">
        <v>17</v>
      </c>
      <c r="S32" s="772">
        <f t="shared" si="12"/>
        <v>100</v>
      </c>
      <c r="T32" s="771" t="s">
        <v>17</v>
      </c>
      <c r="U32" s="772">
        <f t="shared" si="13"/>
        <v>100</v>
      </c>
      <c r="V32" s="771" t="s">
        <v>17</v>
      </c>
      <c r="W32" s="772">
        <f t="shared" si="14"/>
        <v>100</v>
      </c>
      <c r="X32" s="1808"/>
      <c r="Y32" s="3269" t="s">
        <v>2553</v>
      </c>
      <c r="Z32" s="1809" t="str">
        <f t="shared" si="15"/>
        <v>车位类型</v>
      </c>
      <c r="AA32" s="1806">
        <f t="shared" si="3"/>
        <v>1</v>
      </c>
      <c r="AB32" s="1806">
        <f t="shared" si="4"/>
        <v>1</v>
      </c>
      <c r="AC32" s="1806">
        <f t="shared" si="5"/>
        <v>1</v>
      </c>
    </row>
    <row r="33" spans="1:29" ht="15.75" thickBot="1">
      <c r="A33" s="653"/>
      <c r="B33" s="651" t="s">
        <v>2706</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69"/>
      <c r="Q33" s="1805" t="str">
        <f t="shared" si="11"/>
        <v>是否直接入户</v>
      </c>
      <c r="R33" s="771" t="s">
        <v>17</v>
      </c>
      <c r="S33" s="772">
        <f t="shared" si="12"/>
        <v>100</v>
      </c>
      <c r="T33" s="771" t="s">
        <v>17</v>
      </c>
      <c r="U33" s="772">
        <f t="shared" si="13"/>
        <v>100</v>
      </c>
      <c r="V33" s="771" t="s">
        <v>17</v>
      </c>
      <c r="W33" s="772">
        <f t="shared" si="14"/>
        <v>100</v>
      </c>
      <c r="X33" s="1808"/>
      <c r="Y33" s="3269"/>
      <c r="Z33" s="1809" t="str">
        <f t="shared" si="15"/>
        <v>是否直接入户</v>
      </c>
      <c r="AA33" s="1806">
        <f t="shared" si="3"/>
        <v>1</v>
      </c>
      <c r="AB33" s="1806">
        <f t="shared" si="4"/>
        <v>1</v>
      </c>
      <c r="AC33" s="1806">
        <f t="shared" si="5"/>
        <v>1</v>
      </c>
    </row>
    <row r="34" spans="1:29" ht="15" hidden="1">
      <c r="A34" s="653"/>
      <c r="B34" s="645"/>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69"/>
      <c r="Q34" s="1805">
        <f t="shared" si="11"/>
        <v>0</v>
      </c>
      <c r="R34" s="771" t="s">
        <v>17</v>
      </c>
      <c r="S34" s="772">
        <f t="shared" si="12"/>
        <v>100</v>
      </c>
      <c r="T34" s="771" t="s">
        <v>17</v>
      </c>
      <c r="U34" s="772">
        <f t="shared" si="13"/>
        <v>100</v>
      </c>
      <c r="V34" s="771" t="s">
        <v>17</v>
      </c>
      <c r="W34" s="772">
        <f t="shared" si="14"/>
        <v>100</v>
      </c>
      <c r="X34" s="1808"/>
      <c r="Y34" s="3269"/>
      <c r="Z34" s="1809">
        <f t="shared" si="15"/>
        <v>0</v>
      </c>
      <c r="AA34" s="1806">
        <f t="shared" si="3"/>
        <v>1</v>
      </c>
      <c r="AB34" s="1806">
        <f t="shared" si="4"/>
        <v>1</v>
      </c>
      <c r="AC34" s="1806">
        <f t="shared" si="5"/>
        <v>1</v>
      </c>
    </row>
    <row r="35" spans="1:29" s="470" customFormat="1" ht="15" hidden="1">
      <c r="A35" s="650"/>
      <c r="B35" s="645"/>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69"/>
      <c r="Q35" s="773">
        <f t="shared" si="11"/>
        <v>0</v>
      </c>
      <c r="R35" s="774" t="s">
        <v>17</v>
      </c>
      <c r="S35" s="775">
        <f t="shared" si="12"/>
        <v>100</v>
      </c>
      <c r="T35" s="774" t="s">
        <v>17</v>
      </c>
      <c r="U35" s="775">
        <f t="shared" si="13"/>
        <v>100</v>
      </c>
      <c r="V35" s="774" t="s">
        <v>17</v>
      </c>
      <c r="W35" s="775">
        <f t="shared" si="14"/>
        <v>100</v>
      </c>
      <c r="X35" s="776"/>
      <c r="Y35" s="3269"/>
      <c r="Z35" s="777">
        <f t="shared" si="15"/>
        <v>0</v>
      </c>
      <c r="AA35" s="1806">
        <f t="shared" si="3"/>
        <v>1</v>
      </c>
      <c r="AB35" s="1806">
        <f t="shared" si="4"/>
        <v>1</v>
      </c>
      <c r="AC35" s="1806">
        <f t="shared" si="5"/>
        <v>1</v>
      </c>
    </row>
    <row r="36" spans="1:29" ht="15.75" hidden="1" thickBot="1">
      <c r="A36" s="656"/>
      <c r="B36" s="632"/>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69"/>
      <c r="Q36" s="1805">
        <f t="shared" si="11"/>
        <v>0</v>
      </c>
      <c r="R36" s="771" t="s">
        <v>17</v>
      </c>
      <c r="S36" s="772">
        <f t="shared" si="12"/>
        <v>100</v>
      </c>
      <c r="T36" s="771" t="s">
        <v>17</v>
      </c>
      <c r="U36" s="772">
        <f t="shared" si="13"/>
        <v>100</v>
      </c>
      <c r="V36" s="771" t="s">
        <v>17</v>
      </c>
      <c r="W36" s="772">
        <f t="shared" si="14"/>
        <v>100</v>
      </c>
      <c r="X36" s="1808"/>
      <c r="Y36" s="3269"/>
      <c r="Z36" s="1809">
        <f t="shared" si="15"/>
        <v>0</v>
      </c>
      <c r="AA36" s="1806">
        <f t="shared" si="3"/>
        <v>1</v>
      </c>
      <c r="AB36" s="1806">
        <f t="shared" si="4"/>
        <v>1</v>
      </c>
      <c r="AC36" s="1806">
        <f t="shared" si="5"/>
        <v>1</v>
      </c>
    </row>
    <row r="37" spans="1:29" ht="15">
      <c r="A37" s="478" t="s">
        <v>2707</v>
      </c>
      <c r="B37" s="2688" t="s">
        <v>3105</v>
      </c>
      <c r="C37" s="1402" t="s">
        <v>1</v>
      </c>
      <c r="D37" s="1403"/>
      <c r="E37" s="1404">
        <v>210000</v>
      </c>
      <c r="F37" s="1405"/>
      <c r="G37" s="1406">
        <v>210000</v>
      </c>
      <c r="H37" s="1407"/>
      <c r="I37" s="1404">
        <v>210000</v>
      </c>
      <c r="J37" s="1407"/>
      <c r="K37" s="616"/>
      <c r="L37" s="1138"/>
      <c r="M37" s="1139"/>
      <c r="N37" s="1126"/>
      <c r="O37" s="1139"/>
      <c r="P37" s="3271" t="str">
        <f>A37</f>
        <v>成交单价</v>
      </c>
      <c r="Q37" s="3271"/>
      <c r="R37" s="3272">
        <f>E37</f>
        <v>210000</v>
      </c>
      <c r="S37" s="3272"/>
      <c r="T37" s="3272">
        <f>G37</f>
        <v>210000</v>
      </c>
      <c r="U37" s="3272"/>
      <c r="V37" s="3272">
        <f>I37</f>
        <v>210000</v>
      </c>
      <c r="W37" s="3272"/>
      <c r="X37" s="756"/>
      <c r="Y37" s="778"/>
      <c r="Z37" s="756"/>
      <c r="AA37" s="756"/>
      <c r="AB37" s="756"/>
      <c r="AC37" s="756"/>
    </row>
    <row r="38" spans="1:29" ht="15.75" thickBot="1">
      <c r="A38" s="485" t="s">
        <v>2708</v>
      </c>
      <c r="B38" s="486" t="str">
        <f>B37</f>
        <v>元/车位</v>
      </c>
      <c r="C38" s="1408">
        <f>R39</f>
        <v>210000</v>
      </c>
      <c r="D38" s="1409"/>
      <c r="E38" s="1410">
        <f>R38</f>
        <v>210000</v>
      </c>
      <c r="F38" s="1410"/>
      <c r="G38" s="1408">
        <f>T38</f>
        <v>210000</v>
      </c>
      <c r="H38" s="1409"/>
      <c r="I38" s="1410">
        <f>V38</f>
        <v>210000</v>
      </c>
      <c r="J38" s="1409"/>
      <c r="K38" s="617"/>
      <c r="L38" s="1138"/>
      <c r="M38" s="1139"/>
      <c r="N38" s="1139"/>
      <c r="O38" s="1139"/>
      <c r="P38" s="3271" t="str">
        <f>A38</f>
        <v>比较价值（元/平方米）</v>
      </c>
      <c r="Q38" s="3271"/>
      <c r="R38" s="3272">
        <f>IF(F1="售价",ROUND(PRODUCT(R37,AA7:AA36),0),ROUND(PRODUCT(R37,AA7:AA36),1))</f>
        <v>210000</v>
      </c>
      <c r="S38" s="3272"/>
      <c r="T38" s="3272">
        <f>IF(F1="售价",ROUND(PRODUCT(T37,AB7:AB36),0),ROUND(PRODUCT(T37,AB7:AB36),1))</f>
        <v>210000</v>
      </c>
      <c r="U38" s="3272"/>
      <c r="V38" s="3272">
        <f>IF(F1="售价",ROUND(PRODUCT(V37,AC7:AC36),0),ROUND(PRODUCT(V37,AC7:AC36),1))</f>
        <v>210000</v>
      </c>
      <c r="W38" s="3272"/>
      <c r="X38" s="756"/>
      <c r="Y38" s="756"/>
      <c r="Z38" s="756"/>
      <c r="AA38" s="756"/>
      <c r="AB38" s="756"/>
      <c r="AC38" s="756"/>
    </row>
    <row r="39" spans="1:29" ht="15.75" thickBot="1">
      <c r="A39" s="491" t="s">
        <v>2709</v>
      </c>
      <c r="B39" s="492"/>
      <c r="C39" s="1412">
        <f>R39</f>
        <v>210000</v>
      </c>
      <c r="D39" s="1412"/>
      <c r="E39" s="1412"/>
      <c r="F39" s="1412"/>
      <c r="G39" s="1412"/>
      <c r="H39" s="1412"/>
      <c r="I39" s="1412"/>
      <c r="J39" s="1412"/>
      <c r="K39" s="618"/>
      <c r="L39" s="1138"/>
      <c r="M39" s="1139"/>
      <c r="N39" s="1139"/>
      <c r="O39" s="1139"/>
      <c r="P39" s="3288" t="str">
        <f>A39</f>
        <v>估价对象XX用房的比较价值（楼面单价，元/平方米）</v>
      </c>
      <c r="Q39" s="3289"/>
      <c r="R39" s="3290">
        <f>IF(F1="售价",ROUND(AVERAGE(R38:V38),0),ROUND(AVERAGE(R38:V38),1))</f>
        <v>210000</v>
      </c>
      <c r="S39" s="3290"/>
      <c r="T39" s="3290"/>
      <c r="U39" s="3290"/>
      <c r="V39" s="3290"/>
      <c r="W39" s="3290"/>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2710</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2711</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2712</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2714</v>
      </c>
      <c r="B48" s="505"/>
      <c r="C48" s="1569" t="str">
        <f>YEAR(C7)&amp;"-"&amp;MONTH(C7)</f>
        <v>2018-3</v>
      </c>
      <c r="D48" s="1570">
        <f>EDATE(C48,-1)</f>
        <v>43132</v>
      </c>
      <c r="E48" s="1570">
        <f t="shared" ref="E48:O48" si="16">EDATE(D48,-1)</f>
        <v>43101</v>
      </c>
      <c r="F48" s="1570">
        <f t="shared" si="16"/>
        <v>43070</v>
      </c>
      <c r="G48" s="1570">
        <f t="shared" si="16"/>
        <v>43040</v>
      </c>
      <c r="H48" s="1570">
        <f t="shared" si="16"/>
        <v>43009</v>
      </c>
      <c r="I48" s="1570">
        <f t="shared" si="16"/>
        <v>42979</v>
      </c>
      <c r="J48" s="1570">
        <f t="shared" si="16"/>
        <v>42948</v>
      </c>
      <c r="K48" s="1570">
        <f t="shared" si="16"/>
        <v>42917</v>
      </c>
      <c r="L48" s="1570">
        <f t="shared" si="16"/>
        <v>42887</v>
      </c>
      <c r="M48" s="1570">
        <f t="shared" si="16"/>
        <v>42856</v>
      </c>
      <c r="N48" s="1570">
        <f t="shared" si="16"/>
        <v>42826</v>
      </c>
      <c r="O48" s="1570">
        <f t="shared" si="16"/>
        <v>42795</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2573</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2538</v>
      </c>
      <c r="B51" s="509"/>
      <c r="C51" s="521" t="s">
        <v>2640</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6">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2576</v>
      </c>
      <c r="B53" s="527" t="s">
        <v>2542</v>
      </c>
      <c r="C53" s="528" t="str">
        <f>C9</f>
        <v>车库</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8.5" thickTop="1">
      <c r="A55" s="533"/>
      <c r="B55" s="537" t="s">
        <v>2545</v>
      </c>
      <c r="C55" s="538" t="s">
        <v>2577</v>
      </c>
      <c r="D55" s="538" t="s">
        <v>2578</v>
      </c>
      <c r="E55" s="538" t="s">
        <v>2579</v>
      </c>
      <c r="F55" s="538" t="s">
        <v>2580</v>
      </c>
      <c r="G55" s="538" t="s">
        <v>2581</v>
      </c>
      <c r="H55" s="538" t="s">
        <v>2582</v>
      </c>
      <c r="I55" s="538" t="s">
        <v>2583</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7">
        <f>B11</f>
        <v>0</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0</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0</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97</v>
      </c>
      <c r="E64" s="543">
        <f>D64-$K14</f>
        <v>94</v>
      </c>
      <c r="F64" s="543">
        <f>E64-$K14</f>
        <v>91</v>
      </c>
      <c r="G64" s="543">
        <f>F64-$K14</f>
        <v>88</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2591</v>
      </c>
      <c r="C65" s="577" t="s">
        <v>2585</v>
      </c>
      <c r="D65" s="577" t="s">
        <v>2586</v>
      </c>
      <c r="E65" s="577" t="s">
        <v>2587</v>
      </c>
      <c r="F65" s="577" t="s">
        <v>2588</v>
      </c>
      <c r="G65" s="577" t="s">
        <v>2589</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97</v>
      </c>
      <c r="E66" s="543">
        <f>D66-$K16</f>
        <v>94</v>
      </c>
      <c r="F66" s="543">
        <f>E66-$K16</f>
        <v>91</v>
      </c>
      <c r="G66" s="543">
        <f>F66-$K16</f>
        <v>88</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2676</v>
      </c>
      <c r="C67" s="657" t="s">
        <v>2662</v>
      </c>
      <c r="D67" s="657" t="s">
        <v>2663</v>
      </c>
      <c r="E67" s="657" t="s">
        <v>2664</v>
      </c>
      <c r="F67" s="657" t="s">
        <v>2665</v>
      </c>
      <c r="G67" s="657" t="s">
        <v>2666</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98</v>
      </c>
      <c r="E68" s="543">
        <f>D68-$K18</f>
        <v>96</v>
      </c>
      <c r="F68" s="543">
        <f>E68-$K18</f>
        <v>94</v>
      </c>
      <c r="G68" s="543">
        <f>F68-$K18</f>
        <v>92</v>
      </c>
      <c r="H68" s="657"/>
      <c r="I68" s="657"/>
      <c r="J68" s="657"/>
      <c r="K68" s="657"/>
      <c r="L68" s="657"/>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2597</v>
      </c>
      <c r="C69" s="577" t="s">
        <v>2585</v>
      </c>
      <c r="D69" s="577" t="s">
        <v>2586</v>
      </c>
      <c r="E69" s="577" t="s">
        <v>2587</v>
      </c>
      <c r="F69" s="577" t="s">
        <v>2588</v>
      </c>
      <c r="G69" s="577" t="s">
        <v>2589</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98</v>
      </c>
      <c r="E70" s="543">
        <f>D70-$K20</f>
        <v>96</v>
      </c>
      <c r="F70" s="543">
        <f>E70-$K20</f>
        <v>94</v>
      </c>
      <c r="G70" s="543">
        <f>F70-$K20</f>
        <v>92</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2715</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0</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0</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0</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2551</v>
      </c>
      <c r="B79" s="527" t="s">
        <v>2716</v>
      </c>
      <c r="C79" s="528" t="str">
        <f>C26</f>
        <v>车库</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2604</v>
      </c>
      <c r="C83" s="2948" t="s">
        <v>3241</v>
      </c>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29.2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2719</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2720</v>
      </c>
      <c r="C90" s="577" t="str">
        <f>C91&amp;"(含)"&amp;"-"&amp;D91</f>
        <v>0(含)-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v>0</v>
      </c>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2721</v>
      </c>
      <c r="C93" s="2948" t="s">
        <v>3242</v>
      </c>
      <c r="D93" s="2948" t="s">
        <v>3244</v>
      </c>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2722</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3">
        <f>B34</f>
        <v>0</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0</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0</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0" customWidth="1"/>
    <col min="2" max="2" width="12" style="1940" customWidth="1"/>
    <col min="3" max="3" width="8.875" style="1940"/>
    <col min="4" max="4" width="14.125" style="1940" customWidth="1"/>
    <col min="5" max="5" width="8.875" style="1940"/>
    <col min="6" max="6" width="12.875" style="1940" customWidth="1"/>
    <col min="7" max="16384" width="8.875" style="1940"/>
  </cols>
  <sheetData>
    <row r="1" spans="1:6" ht="21">
      <c r="A1" s="2554" t="s">
        <v>2514</v>
      </c>
      <c r="B1" s="2555"/>
      <c r="C1" s="2555"/>
      <c r="D1" s="2555"/>
      <c r="E1" s="2556"/>
    </row>
    <row r="2" spans="1:6" ht="15.75">
      <c r="A2" s="2557" t="s">
        <v>2315</v>
      </c>
      <c r="B2" s="2558">
        <f ca="1">SUMIF(B6:B13,"&lt;&gt;#ref!",B6:B13)</f>
        <v>37810</v>
      </c>
      <c r="C2" s="2559" t="s">
        <v>2507</v>
      </c>
      <c r="D2" s="2560" t="s">
        <v>2508</v>
      </c>
      <c r="E2" s="2561">
        <f>SUM(E6:E13)</f>
        <v>11628.210000000001</v>
      </c>
    </row>
    <row r="3" spans="1:6" ht="15.75">
      <c r="A3" s="2557" t="s">
        <v>1395</v>
      </c>
      <c r="B3" s="2558">
        <f ca="1">ROUND(B2*10000/E2,0)</f>
        <v>32516</v>
      </c>
      <c r="C3" s="2559" t="s">
        <v>2515</v>
      </c>
      <c r="D3" s="2562"/>
      <c r="E3" s="2563"/>
    </row>
    <row r="4" spans="1:6" ht="15.75">
      <c r="A4" s="2564"/>
      <c r="B4" s="2562"/>
      <c r="C4" s="2562"/>
      <c r="D4" s="2562"/>
      <c r="E4" s="2563"/>
    </row>
    <row r="5" spans="1:6" ht="15">
      <c r="A5" s="2565" t="s">
        <v>2509</v>
      </c>
      <c r="B5" s="3292" t="s">
        <v>2510</v>
      </c>
      <c r="C5" s="3292"/>
      <c r="D5" s="2566"/>
      <c r="E5" s="2567" t="s">
        <v>2511</v>
      </c>
      <c r="F5" s="2568" t="s">
        <v>2512</v>
      </c>
    </row>
    <row r="6" spans="1:6">
      <c r="A6" s="2569" t="str">
        <f>'数据-取费表'!AN6</f>
        <v>收益法（办公）</v>
      </c>
      <c r="B6" s="2568">
        <f ca="1">IF(F6="是",'数据-取费表'!AO6,0)</f>
        <v>28616</v>
      </c>
      <c r="C6" s="2559" t="s">
        <v>2507</v>
      </c>
      <c r="D6" s="2562"/>
      <c r="E6" s="2570">
        <f>IF(OR(A6=0,F6="否"),0,'数据-取费表'!K6+'数据-取费表'!S6)</f>
        <v>8532.39</v>
      </c>
      <c r="F6" s="2571" t="s">
        <v>2513</v>
      </c>
    </row>
    <row r="7" spans="1:6">
      <c r="A7" s="2569" t="str">
        <f>'数据-取费表'!AN7</f>
        <v>收益法（商业）</v>
      </c>
      <c r="B7" s="2568">
        <f ca="1">IF(F7="是",'数据-取费表'!AO7,0)</f>
        <v>8914</v>
      </c>
      <c r="C7" s="2559" t="s">
        <v>2507</v>
      </c>
      <c r="D7" s="2562"/>
      <c r="E7" s="2570">
        <f>IF(OR(A7=0,F7="否"),0,'数据-取费表'!K7+'数据-取费表'!S7)</f>
        <v>2104.29</v>
      </c>
      <c r="F7" s="2571" t="s">
        <v>2513</v>
      </c>
    </row>
    <row r="8" spans="1:6">
      <c r="A8" s="2569" t="str">
        <f>'数据-取费表'!AN8</f>
        <v>收益法（车位）</v>
      </c>
      <c r="B8" s="2568">
        <f ca="1">IF(F8="是",'数据-取费表'!AO8,0)</f>
        <v>280</v>
      </c>
      <c r="C8" s="2559" t="s">
        <v>2507</v>
      </c>
      <c r="D8" s="2562"/>
      <c r="E8" s="2570">
        <f>IF(OR(A8=0,F8="否"),0,'数据-取费表'!K8+'数据-取费表'!S8)</f>
        <v>991.5300000000002</v>
      </c>
      <c r="F8" s="2571" t="s">
        <v>2513</v>
      </c>
    </row>
    <row r="9" spans="1:6">
      <c r="A9" s="2569">
        <f>'数据-取费表'!AN9</f>
        <v>0</v>
      </c>
      <c r="B9" s="2568" t="e">
        <f ca="1">IF(F9="是",'数据-取费表'!AO9,0)</f>
        <v>#REF!</v>
      </c>
      <c r="C9" s="2559" t="s">
        <v>2507</v>
      </c>
      <c r="D9" s="2562"/>
      <c r="E9" s="2570">
        <f>IF(OR(A9=0,F9="否"),0,'数据-取费表'!K9+'数据-取费表'!S9)</f>
        <v>0</v>
      </c>
      <c r="F9" s="2571" t="s">
        <v>2513</v>
      </c>
    </row>
    <row r="10" spans="1:6">
      <c r="A10" s="2569">
        <f>'数据-取费表'!AN10</f>
        <v>0</v>
      </c>
      <c r="B10" s="2568" t="e">
        <f ca="1">IF(F10="是",'数据-取费表'!AO10,0)</f>
        <v>#REF!</v>
      </c>
      <c r="C10" s="2559" t="s">
        <v>2507</v>
      </c>
      <c r="D10" s="2562"/>
      <c r="E10" s="2570">
        <f>IF(OR(A10=0,F10="否"),0,'数据-取费表'!K10+'数据-取费表'!S10)</f>
        <v>0</v>
      </c>
      <c r="F10" s="2571" t="s">
        <v>2513</v>
      </c>
    </row>
    <row r="11" spans="1:6">
      <c r="A11" s="2569">
        <f>'数据-取费表'!AN11</f>
        <v>0</v>
      </c>
      <c r="B11" s="2568" t="e">
        <f ca="1">IF(F11="是",'数据-取费表'!AO11,0)</f>
        <v>#REF!</v>
      </c>
      <c r="C11" s="2559" t="s">
        <v>2507</v>
      </c>
      <c r="D11" s="2562"/>
      <c r="E11" s="2570">
        <f>IF(OR(A11=0,F11="否"),0,'数据-取费表'!K11+'数据-取费表'!S11)</f>
        <v>0</v>
      </c>
      <c r="F11" s="2571" t="s">
        <v>2513</v>
      </c>
    </row>
    <row r="12" spans="1:6">
      <c r="A12" s="2569">
        <f>'数据-取费表'!AN12</f>
        <v>0</v>
      </c>
      <c r="B12" s="2568" t="e">
        <f ca="1">IF(F12="是",'数据-取费表'!AO12,0)</f>
        <v>#REF!</v>
      </c>
      <c r="C12" s="2559" t="s">
        <v>2507</v>
      </c>
      <c r="D12" s="2562"/>
      <c r="E12" s="2570">
        <f>IF(OR(A12=0,F12="否"),0,'数据-取费表'!K12+'数据-取费表'!S12)</f>
        <v>0</v>
      </c>
      <c r="F12" s="2571" t="s">
        <v>2513</v>
      </c>
    </row>
    <row r="13" spans="1:6" ht="15" thickBot="1">
      <c r="A13" s="2572">
        <f>'数据-取费表'!AN13</f>
        <v>0</v>
      </c>
      <c r="B13" s="2568" t="e">
        <f ca="1">IF(F13="是",'数据-取费表'!AO13,0)</f>
        <v>#REF!</v>
      </c>
      <c r="C13" s="2573" t="s">
        <v>2507</v>
      </c>
      <c r="D13" s="2574"/>
      <c r="E13" s="2570">
        <f>IF(OR(A13=0,F13="否"),0,'数据-取费表'!K13+'数据-取费表'!S13)</f>
        <v>0</v>
      </c>
      <c r="F13" s="2571"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27</v>
      </c>
      <c r="D1" s="1815" t="s">
        <v>70</v>
      </c>
      <c r="E1" s="1816" t="s">
        <v>1387</v>
      </c>
      <c r="F1" s="1278">
        <f ca="1">J53</f>
        <v>41.23</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28616</v>
      </c>
      <c r="C2" s="1840" t="s">
        <v>1517</v>
      </c>
      <c r="D2" s="1840"/>
      <c r="E2" s="1841"/>
      <c r="F2" s="1842"/>
      <c r="G2" s="1843"/>
      <c r="H2" s="1835"/>
      <c r="I2" s="1835"/>
      <c r="J2" s="1835"/>
      <c r="K2" s="1836"/>
      <c r="L2" s="1835"/>
      <c r="M2" s="1835"/>
    </row>
    <row r="3" spans="1:37" ht="18" customHeight="1" thickBot="1">
      <c r="A3" s="1844" t="s">
        <v>1518</v>
      </c>
      <c r="B3" s="1845">
        <f ca="1">IF(ISERROR(B2*10000/F43),0,ROUND(B2*10000/F43,0))</f>
        <v>33538</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1628</v>
      </c>
      <c r="D5" s="1817" t="s">
        <v>1402</v>
      </c>
      <c r="E5" s="1288"/>
      <c r="F5" s="1289"/>
      <c r="G5" s="1846"/>
      <c r="H5" s="343">
        <v>1</v>
      </c>
      <c r="I5" s="344" t="s">
        <v>1401</v>
      </c>
      <c r="J5" s="1287">
        <f ca="1">J6+J10+J12</f>
        <v>0</v>
      </c>
      <c r="K5" s="1817" t="s">
        <v>1402</v>
      </c>
      <c r="L5" s="1288"/>
      <c r="M5" s="1289"/>
    </row>
    <row r="6" spans="1:37" ht="18" customHeight="1">
      <c r="A6" s="1286" t="s">
        <v>1035</v>
      </c>
      <c r="B6" s="3295" t="s">
        <v>1403</v>
      </c>
      <c r="C6" s="1291">
        <f ca="1">ROUND(F6*F8*F7*(1-F9)/10000,0)</f>
        <v>1626</v>
      </c>
      <c r="D6" s="163" t="s">
        <v>3022</v>
      </c>
      <c r="E6" s="346" t="s">
        <v>1405</v>
      </c>
      <c r="F6" s="347">
        <f ca="1">INDIRECT("'数据-取费表'!u"&amp;$G$1)</f>
        <v>5.8</v>
      </c>
      <c r="G6" s="1846"/>
      <c r="H6" s="1286" t="s">
        <v>1035</v>
      </c>
      <c r="I6" s="3295" t="s">
        <v>1403</v>
      </c>
      <c r="J6" s="345">
        <f ca="1">ROUND(M6*M8*M7*(1-M9)/10000,0)</f>
        <v>0</v>
      </c>
      <c r="K6" s="163" t="s">
        <v>3021</v>
      </c>
      <c r="L6" s="346" t="s">
        <v>1405</v>
      </c>
      <c r="M6" s="347">
        <f ca="1">INDIRECT("'数据-取费表'!z"&amp;$G$1)</f>
        <v>0</v>
      </c>
    </row>
    <row r="7" spans="1:37" ht="18" customHeight="1">
      <c r="A7" s="1290"/>
      <c r="B7" s="3296"/>
      <c r="C7" s="1292"/>
      <c r="D7" s="351"/>
      <c r="E7" s="1293" t="s">
        <v>1406</v>
      </c>
      <c r="F7" s="347">
        <f ca="1">IF(INDIRECT("'数据-取费表'!ah"&amp;$G$1)="",INDIRECT("'数据-取费表'!k"&amp;$G$1),INDIRECT("'数据-取费表'!ah"&amp;$G$1))</f>
        <v>8532.39</v>
      </c>
      <c r="G7" s="1846"/>
      <c r="H7" s="348"/>
      <c r="I7" s="3296"/>
      <c r="J7" s="350"/>
      <c r="K7" s="351"/>
      <c r="L7" s="346" t="s">
        <v>1406</v>
      </c>
      <c r="M7" s="347">
        <f ca="1">F7</f>
        <v>8532.39</v>
      </c>
    </row>
    <row r="8" spans="1:37" ht="18" customHeight="1">
      <c r="A8" s="348"/>
      <c r="B8" s="3296"/>
      <c r="C8" s="350"/>
      <c r="D8" s="351"/>
      <c r="E8" s="346" t="s">
        <v>1407</v>
      </c>
      <c r="F8" s="347">
        <f ca="1">INDIRECT("'数据-取费表'!ai"&amp;$G$1)</f>
        <v>365</v>
      </c>
      <c r="G8" s="1846"/>
      <c r="H8" s="348"/>
      <c r="I8" s="3296"/>
      <c r="J8" s="350"/>
      <c r="K8" s="351"/>
      <c r="L8" s="346" t="s">
        <v>1407</v>
      </c>
      <c r="M8" s="347">
        <f ca="1">INDIRECT("'数据-取费表'!ai"&amp;$G$1)</f>
        <v>365</v>
      </c>
    </row>
    <row r="9" spans="1:37" ht="18" customHeight="1">
      <c r="A9" s="348"/>
      <c r="B9" s="3297"/>
      <c r="C9" s="350"/>
      <c r="D9" s="351"/>
      <c r="E9" s="346" t="s">
        <v>1408</v>
      </c>
      <c r="F9" s="356">
        <f ca="1">INDIRECT("'数据-取费表'!w"&amp;$G$1)</f>
        <v>0.1</v>
      </c>
      <c r="G9" s="1846"/>
      <c r="H9" s="348"/>
      <c r="I9" s="3297"/>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2</v>
      </c>
      <c r="D10" s="1819" t="s">
        <v>3023</v>
      </c>
      <c r="E10" s="357" t="s">
        <v>1411</v>
      </c>
      <c r="F10" s="1361" t="s">
        <v>3068</v>
      </c>
      <c r="G10" s="1846"/>
      <c r="H10" s="1286" t="s">
        <v>1039</v>
      </c>
      <c r="I10" s="1818" t="s">
        <v>1409</v>
      </c>
      <c r="J10" s="345">
        <f ca="1">ROUND(IF(M10="押一",M6*M8*M7/12*M11,IF(M10="押二",M6*M8*M7/12*2*M11,IF(M10="押三",M6*M8*M7/12*3*M11,J11*M11)))/10000,0)</f>
        <v>0</v>
      </c>
      <c r="K10" s="1819" t="s">
        <v>3024</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3434</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2560</v>
      </c>
      <c r="D14" s="1795" t="s">
        <v>1419</v>
      </c>
      <c r="E14" s="1789"/>
      <c r="F14" s="363"/>
      <c r="G14" s="1846"/>
      <c r="H14" s="1196" t="s">
        <v>1035</v>
      </c>
      <c r="I14" s="346" t="s">
        <v>1420</v>
      </c>
      <c r="J14" s="24">
        <f ca="1">C29</f>
        <v>3816</v>
      </c>
      <c r="K14" s="15"/>
      <c r="L14" s="974"/>
      <c r="M14" s="975"/>
    </row>
    <row r="15" spans="1:37" s="1853" customFormat="1" ht="18" customHeight="1" thickBot="1">
      <c r="A15" s="1196" t="s">
        <v>1036</v>
      </c>
      <c r="B15" s="346" t="s">
        <v>1421</v>
      </c>
      <c r="C15" s="24">
        <f ca="1">ROUND(C14*F15,0)</f>
        <v>77</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89</v>
      </c>
      <c r="K16" s="1332" t="s">
        <v>1426</v>
      </c>
      <c r="L16" s="1333"/>
      <c r="M16" s="1289"/>
    </row>
    <row r="17" spans="1:37" s="1853" customFormat="1" ht="18" customHeight="1">
      <c r="A17" s="1196" t="s">
        <v>1390</v>
      </c>
      <c r="B17" s="346" t="s">
        <v>1427</v>
      </c>
      <c r="C17" s="24">
        <f ca="1">ROUND(F17*(F43+INDIRECT("'数据-取费表'!S"&amp;$G$1))/10000,0)</f>
        <v>171</v>
      </c>
      <c r="D17" s="346" t="s">
        <v>1428</v>
      </c>
      <c r="E17" s="346" t="s">
        <v>1429</v>
      </c>
      <c r="F17" s="26">
        <f>'数据-取费表'!B35</f>
        <v>200</v>
      </c>
      <c r="G17" s="1849"/>
      <c r="H17" s="1196" t="s">
        <v>1035</v>
      </c>
      <c r="I17" s="346" t="s">
        <v>1430</v>
      </c>
      <c r="J17" s="24">
        <f ca="1">ROUND(IF(项目基本情况!B11="自然人",J5*M17,J18+J19+J20),1)</f>
        <v>32.1</v>
      </c>
      <c r="K17" s="1795" t="s">
        <v>1431</v>
      </c>
      <c r="L17" s="179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38</v>
      </c>
      <c r="D18" s="346" t="s">
        <v>1422</v>
      </c>
      <c r="E18" s="346" t="s">
        <v>1423</v>
      </c>
      <c r="F18" s="366">
        <f>'数据-取费表'!B36</f>
        <v>1.4999999999999999E-2</v>
      </c>
      <c r="G18" s="1849"/>
      <c r="H18" s="1196" t="s">
        <v>1034</v>
      </c>
      <c r="I18" s="346" t="s">
        <v>1434</v>
      </c>
      <c r="J18" s="24">
        <f ca="1">ROUND(J5*M18/(1+'数据-取费表'!C42),2)</f>
        <v>0</v>
      </c>
      <c r="K18" s="179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2846</v>
      </c>
      <c r="D19" s="140" t="s">
        <v>1437</v>
      </c>
      <c r="E19" s="1813"/>
      <c r="F19" s="26"/>
      <c r="G19" s="1846"/>
      <c r="H19" s="1196" t="s">
        <v>1036</v>
      </c>
      <c r="I19" s="346" t="s">
        <v>1438</v>
      </c>
      <c r="J19" s="24">
        <f ca="1">IF(K19="按租金收入计税",ROUND(J5*M19,2),ROUND(C29*M19*0.7,2))</f>
        <v>32.049999999999997</v>
      </c>
      <c r="K19" s="1823" t="s">
        <v>1439</v>
      </c>
      <c r="L19" s="346" t="s">
        <v>1423</v>
      </c>
      <c r="M19" s="366">
        <f>IF(K19="按租金收入计税",'数据-取费表'!B51,'数据-取费表'!B50)</f>
        <v>1.2E-2</v>
      </c>
    </row>
    <row r="20" spans="1:37" s="1853" customFormat="1" ht="18" customHeight="1">
      <c r="A20" s="1196" t="s">
        <v>1039</v>
      </c>
      <c r="B20" s="346" t="s">
        <v>1440</v>
      </c>
      <c r="C20" s="24">
        <f ca="1">ROUND(C19*F20,0)</f>
        <v>57</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1813"/>
      <c r="F22" s="26"/>
      <c r="G22" s="1846"/>
      <c r="H22" s="1196" t="s">
        <v>1039</v>
      </c>
      <c r="I22" s="346" t="s">
        <v>1450</v>
      </c>
      <c r="J22" s="24">
        <f ca="1">ROUND(J14*M22,1)</f>
        <v>57.2</v>
      </c>
      <c r="K22" s="179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138</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1793" t="s">
        <v>1455</v>
      </c>
      <c r="L23" s="346" t="s">
        <v>1456</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1393</v>
      </c>
      <c r="I24" s="1335" t="s">
        <v>1440</v>
      </c>
      <c r="J24" s="1336">
        <f ca="1">ROUND(J5*M24,1)</f>
        <v>0</v>
      </c>
      <c r="K24" s="1337" t="s">
        <v>1460</v>
      </c>
      <c r="L24" s="1335" t="s">
        <v>1456</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1813"/>
      <c r="F25" s="26"/>
      <c r="G25" s="1846"/>
      <c r="H25" s="1324" t="s">
        <v>1031</v>
      </c>
      <c r="I25" s="1339" t="s">
        <v>1464</v>
      </c>
      <c r="J25" s="354">
        <f ca="1">J5-J16</f>
        <v>-89</v>
      </c>
      <c r="K25" s="1340" t="s">
        <v>1465</v>
      </c>
      <c r="L25" s="1341"/>
      <c r="M25" s="1342"/>
    </row>
    <row r="26" spans="1:37">
      <c r="A26" s="1196" t="s">
        <v>1034</v>
      </c>
      <c r="B26" s="346" t="s">
        <v>1466</v>
      </c>
      <c r="C26" s="24">
        <f ca="1">ROUND((C19+C20)*F26,0)</f>
        <v>435</v>
      </c>
      <c r="D26" s="368" t="s">
        <v>1467</v>
      </c>
      <c r="E26" s="357" t="s">
        <v>1468</v>
      </c>
      <c r="F26" s="356">
        <f ca="1">INDIRECT("'数据-取费表'!q"&amp;$G$1)</f>
        <v>0.15</v>
      </c>
      <c r="G26" s="1846"/>
      <c r="H26" s="343" t="s">
        <v>1032</v>
      </c>
      <c r="I26" s="344" t="s">
        <v>1469</v>
      </c>
      <c r="J26" s="345">
        <f ca="1">IF(J5&lt;&gt;0,ROUND(J25*(1-((1+M28)/(1+M26))^M27)/(M26-M28),0),0)</f>
        <v>0</v>
      </c>
      <c r="K26" s="369" t="s">
        <v>1470</v>
      </c>
      <c r="L26" s="346" t="s">
        <v>1471</v>
      </c>
      <c r="M26" s="356">
        <f ca="1">INDIRECT("'数据-取费表'!I"&amp;$G$1)</f>
        <v>0.06</v>
      </c>
    </row>
    <row r="27" spans="1:37" ht="18" customHeight="1">
      <c r="A27" s="1196" t="s">
        <v>1036</v>
      </c>
      <c r="B27" s="346" t="s">
        <v>1472</v>
      </c>
      <c r="C27" s="24">
        <f ca="1">ROUND(F21*F26,4)</f>
        <v>4.4999999999999997E-3</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3816</v>
      </c>
      <c r="D29" s="1337"/>
      <c r="E29" s="1335"/>
      <c r="F29" s="1338"/>
      <c r="G29" s="1849"/>
      <c r="H29" s="379" t="s">
        <v>1033</v>
      </c>
      <c r="I29" s="380" t="s">
        <v>1480</v>
      </c>
      <c r="J29" s="381">
        <f ca="1">ROUND(J26/(1+F40)^F41,0)</f>
        <v>0</v>
      </c>
      <c r="K29" s="382" t="s">
        <v>1481</v>
      </c>
      <c r="L29" s="383"/>
      <c r="M29" s="384">
        <f ca="1">INDIRECT("'数据-取费表'!k"&amp;$G$1)</f>
        <v>8532.39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393</v>
      </c>
      <c r="D30" s="1332" t="s">
        <v>1426</v>
      </c>
      <c r="E30" s="1333"/>
      <c r="F30" s="1289"/>
      <c r="G30" s="1846"/>
      <c r="H30" s="742"/>
      <c r="I30" s="743"/>
      <c r="J30" s="744"/>
      <c r="K30" s="745"/>
      <c r="L30" s="746"/>
      <c r="M30" s="747"/>
    </row>
    <row r="31" spans="1:37" ht="18" customHeight="1">
      <c r="A31" s="1196" t="s">
        <v>1035</v>
      </c>
      <c r="B31" s="346" t="s">
        <v>1430</v>
      </c>
      <c r="C31" s="24">
        <f ca="1">ROUND(IF(项目基本情况!B11="自然人",C5*F31,C32+C33+C34),1)</f>
        <v>282.2</v>
      </c>
      <c r="D31" s="1795" t="s">
        <v>1431</v>
      </c>
      <c r="E31" s="179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86.83</v>
      </c>
      <c r="D32" s="179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195.36</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57.2</v>
      </c>
      <c r="D36" s="179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5.2</v>
      </c>
      <c r="D37" s="1793" t="s">
        <v>1455</v>
      </c>
      <c r="E37" s="346" t="s">
        <v>1456</v>
      </c>
      <c r="F37" s="375">
        <f ca="1">INDIRECT("'数据-取费表'!Al"&amp;$G$1)</f>
        <v>1.5E-3</v>
      </c>
      <c r="G37" s="1846"/>
      <c r="H37" s="1854"/>
      <c r="I37" s="1855"/>
      <c r="J37" s="1856"/>
      <c r="K37" s="748"/>
      <c r="L37" s="1854"/>
      <c r="M37" s="1854"/>
    </row>
    <row r="38" spans="1:18" ht="18" customHeight="1" thickBot="1">
      <c r="A38" s="1334" t="s">
        <v>1393</v>
      </c>
      <c r="B38" s="1335" t="s">
        <v>1440</v>
      </c>
      <c r="C38" s="1336">
        <f ca="1">ROUND(C5*F38,1)</f>
        <v>48.8</v>
      </c>
      <c r="D38" s="1337" t="s">
        <v>1460</v>
      </c>
      <c r="E38" s="1335" t="s">
        <v>1456</v>
      </c>
      <c r="F38" s="1331">
        <f ca="1">INDIRECT("'数据-取费表'!Am"&amp;$G$1)</f>
        <v>0.03</v>
      </c>
      <c r="G38" s="1846"/>
      <c r="H38" s="1854"/>
      <c r="I38" s="1855"/>
      <c r="J38" s="1856"/>
      <c r="K38" s="1860"/>
      <c r="L38" s="1854"/>
      <c r="M38" s="1854"/>
    </row>
    <row r="39" spans="1:18" ht="24.6" customHeight="1" thickTop="1">
      <c r="A39" s="1324" t="s">
        <v>1031</v>
      </c>
      <c r="B39" s="1339" t="s">
        <v>1484</v>
      </c>
      <c r="C39" s="354">
        <f ca="1">C5-C30</f>
        <v>1235</v>
      </c>
      <c r="D39" s="1340" t="s">
        <v>1485</v>
      </c>
      <c r="E39" s="1341"/>
      <c r="F39" s="1342"/>
      <c r="G39" s="1846"/>
      <c r="H39" s="1854"/>
      <c r="I39" s="1855"/>
      <c r="J39" s="1856"/>
      <c r="K39" s="1860"/>
      <c r="L39" s="1854"/>
      <c r="M39" s="1854"/>
    </row>
    <row r="40" spans="1:18" ht="18" customHeight="1">
      <c r="A40" s="343" t="s">
        <v>1032</v>
      </c>
      <c r="B40" s="344" t="s">
        <v>1486</v>
      </c>
      <c r="C40" s="345">
        <f ca="1">ROUND(C39*(1-((1+F42)/(1+F40))^F41)/(F40-F42),0)</f>
        <v>28564</v>
      </c>
      <c r="D40" s="369" t="s">
        <v>1470</v>
      </c>
      <c r="E40" s="346" t="s">
        <v>1471</v>
      </c>
      <c r="F40" s="356">
        <f ca="1">INDIRECT("'数据-取费表'!I"&amp;$G$1)</f>
        <v>0.06</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41.23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33477</v>
      </c>
      <c r="D43" s="382" t="s">
        <v>1489</v>
      </c>
      <c r="E43" s="383" t="s">
        <v>1490</v>
      </c>
      <c r="F43" s="384">
        <f ca="1">INDIRECT("'数据-取费表'!k"&amp;$G$1)</f>
        <v>8532.39</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-34370</v>
      </c>
      <c r="D46" s="1867" t="str">
        <f>C2</f>
        <v>万元</v>
      </c>
      <c r="E46" s="1861"/>
      <c r="F46" s="1861"/>
      <c r="I46" s="1868" t="s">
        <v>1522</v>
      </c>
      <c r="J46" s="1869"/>
      <c r="K46" s="1870"/>
      <c r="L46" s="1871">
        <f ca="1">IF(M47="住宅",0,IF(L48&gt;J51,L60,J60))</f>
        <v>52</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50</v>
      </c>
      <c r="M47" s="1833" t="str">
        <f>IF(ISNUMBER(FIND("住宅",C1)),"住宅","非住宅")</f>
        <v>非住宅</v>
      </c>
      <c r="O47" s="1879" t="s">
        <v>1040</v>
      </c>
      <c r="P47" s="1880" t="s">
        <v>1529</v>
      </c>
      <c r="Q47" s="1881">
        <f ca="1">C40+J29</f>
        <v>28564</v>
      </c>
      <c r="R47" s="1881" t="s">
        <v>1530</v>
      </c>
    </row>
    <row r="48" spans="1:18" s="1837" customFormat="1" ht="28.5" thickBot="1">
      <c r="A48" s="1355" t="s">
        <v>1135</v>
      </c>
      <c r="B48" s="344" t="s">
        <v>1401</v>
      </c>
      <c r="C48" s="1812">
        <f ca="1">C49+C53+C55</f>
        <v>0</v>
      </c>
      <c r="D48" s="1357"/>
      <c r="E48" s="1358"/>
      <c r="F48" s="1176"/>
      <c r="G48" s="789"/>
      <c r="H48" s="790"/>
      <c r="I48" s="1882" t="s">
        <v>1531</v>
      </c>
      <c r="J48" s="1883" t="s">
        <v>3065</v>
      </c>
      <c r="K48" s="1884" t="s">
        <v>1532</v>
      </c>
      <c r="L48" s="1885">
        <f ca="1">INDIRECT("'数据-取费表'!f"&amp;$G$1)</f>
        <v>41.23</v>
      </c>
      <c r="O48" s="1879" t="s">
        <v>1041</v>
      </c>
      <c r="P48" s="1880" t="s">
        <v>1533</v>
      </c>
      <c r="Q48" s="1881">
        <f ca="1">J60</f>
        <v>52</v>
      </c>
      <c r="R48" s="1881" t="s">
        <v>1534</v>
      </c>
    </row>
    <row r="49" spans="1:18" s="1837" customFormat="1" ht="13.5" thickBot="1">
      <c r="A49" s="1189" t="s">
        <v>1136</v>
      </c>
      <c r="B49" s="1824" t="s">
        <v>1491</v>
      </c>
      <c r="C49" s="1359">
        <f ca="1">ROUND(F49*F51*F50*(1-F52)/10000,0)</f>
        <v>0</v>
      </c>
      <c r="D49" s="1271" t="s">
        <v>3025</v>
      </c>
      <c r="E49" s="1825" t="s">
        <v>1492</v>
      </c>
      <c r="F49" s="1276"/>
      <c r="G49" s="1886"/>
      <c r="H49" s="790"/>
      <c r="I49" s="1882" t="s">
        <v>1535</v>
      </c>
      <c r="J49" s="1887">
        <v>2012</v>
      </c>
      <c r="K49" s="1884" t="s">
        <v>1536</v>
      </c>
      <c r="L49" s="1888"/>
      <c r="O49" s="1889" t="s">
        <v>1042</v>
      </c>
      <c r="P49" s="1880" t="s">
        <v>1537</v>
      </c>
      <c r="Q49" s="1881">
        <f ca="1">C29</f>
        <v>3816</v>
      </c>
      <c r="R49" s="1881" t="s">
        <v>1530</v>
      </c>
    </row>
    <row r="50" spans="1:18" s="1837" customFormat="1" ht="13.5" thickBot="1">
      <c r="A50" s="1190"/>
      <c r="B50" s="1193"/>
      <c r="C50" s="1363"/>
      <c r="D50" s="1167"/>
      <c r="E50" s="1272" t="s">
        <v>1406</v>
      </c>
      <c r="F50" s="1273">
        <f ca="1">F7</f>
        <v>8532.39</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365</v>
      </c>
      <c r="I51" s="1893" t="s">
        <v>1541</v>
      </c>
      <c r="J51" s="1894">
        <f>IF(J49="",J50,J49+J50-YEAR('数据-取费表'!B2))</f>
        <v>54</v>
      </c>
      <c r="K51" s="1895" t="s">
        <v>1542</v>
      </c>
      <c r="L51" s="1896">
        <f ca="1">ROUND(-PV(INDIRECT("'数据-取费表'!h"&amp;$G$1),L48,(C39-C13*C76),0),0)</f>
        <v>16339</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41.23</v>
      </c>
      <c r="R52" s="1881" t="s">
        <v>1547</v>
      </c>
    </row>
    <row r="53" spans="1:18" s="1837" customFormat="1" ht="24.75" thickBot="1">
      <c r="A53" s="1400" t="s">
        <v>1137</v>
      </c>
      <c r="B53" s="1826" t="s">
        <v>1409</v>
      </c>
      <c r="C53" s="360">
        <f ca="1">ROUND(IF(F53="押一",F49*F51*F50/12*F11,IF(F53="押二",F49*F51*F50/12*2*F11,IF(F53="押三",F49*F51*F50/12*3*F11,C54*F11)))/10000,0)</f>
        <v>0</v>
      </c>
      <c r="D53" s="1819" t="s">
        <v>3023</v>
      </c>
      <c r="E53" s="357" t="s">
        <v>1411</v>
      </c>
      <c r="F53" s="1361"/>
      <c r="I53" s="1900" t="s">
        <v>1548</v>
      </c>
      <c r="J53" s="1901">
        <f ca="1">IF(M47="住宅",J51,IF(D1="——",MIN(J51,L48),IF(D1="在建（套用方法）",MIN(J51,L48-'数据-取费表'!B24),IF(D1="土地（套用方法）",MIN(J51,L48-'数据-取费表'!B20)))))</f>
        <v>41.23</v>
      </c>
      <c r="K53" s="3293" t="s">
        <v>1549</v>
      </c>
      <c r="L53" s="3294"/>
      <c r="O53" s="1879" t="s">
        <v>1046</v>
      </c>
      <c r="P53" s="1880" t="s">
        <v>1550</v>
      </c>
      <c r="Q53" s="1881">
        <f ca="1">Q47+Q48</f>
        <v>28616</v>
      </c>
      <c r="R53" s="1881" t="s">
        <v>1047</v>
      </c>
    </row>
    <row r="54" spans="1:18" s="1837" customFormat="1" ht="13.5" thickBot="1">
      <c r="A54" s="1401"/>
      <c r="B54" s="1820" t="s">
        <v>1388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1827"/>
      <c r="F55" s="1902"/>
      <c r="I55" s="1905" t="s">
        <v>1552</v>
      </c>
      <c r="J55" s="1906">
        <f ca="1">ROUND(IF(J47="钢混",J57/J50,1-(1-2%)*(J50-J57)/J50),3)</f>
        <v>0.21299999999999999</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3434</v>
      </c>
      <c r="D56" s="1909"/>
      <c r="E56" s="1910"/>
      <c r="F56" s="1902"/>
      <c r="I56" s="1911" t="s">
        <v>1555</v>
      </c>
      <c r="J56" s="1912" t="s">
        <v>3041</v>
      </c>
      <c r="K56" s="1882" t="s">
        <v>1556</v>
      </c>
      <c r="L56" s="1885" t="str">
        <f ca="1">IF(L48&lt;J51,"——",L48-J53)</f>
        <v>——</v>
      </c>
      <c r="O56" s="1879" t="s">
        <v>1040</v>
      </c>
      <c r="P56" s="1880" t="s">
        <v>1529</v>
      </c>
      <c r="Q56" s="1881">
        <f ca="1">C40+J29</f>
        <v>28564</v>
      </c>
      <c r="R56" s="1881" t="s">
        <v>1530</v>
      </c>
    </row>
    <row r="57" spans="1:18" s="1837" customFormat="1" ht="24.75" thickBot="1">
      <c r="A57" s="1913"/>
      <c r="B57" s="1164" t="s">
        <v>1479</v>
      </c>
      <c r="C57" s="281">
        <f ca="1">C29</f>
        <v>3816</v>
      </c>
      <c r="D57" s="1914"/>
      <c r="E57" s="1915"/>
      <c r="F57" s="1916"/>
      <c r="I57" s="1917" t="s">
        <v>1557</v>
      </c>
      <c r="J57" s="1918">
        <f ca="1">IF(OR(M47="住宅",J51&lt;L48,J56="是"),"——",J51-L48)</f>
        <v>12.770000000000003</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383</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320.5</v>
      </c>
      <c r="D59" s="1177" t="s">
        <v>1431</v>
      </c>
      <c r="E59" s="1178" t="s">
        <v>1432</v>
      </c>
      <c r="F59" s="367" t="str">
        <f ca="1">IF(项目基本情况!B11="企业","",IF(INDIRECT("'数据-取费表'!c"&amp;$G$1)="住宅",5%,IF(F49*F50*F51/12/(1+'数据-取费表'!C42)&gt;20000,12%,7%)))</f>
        <v/>
      </c>
      <c r="I59" s="1917" t="s">
        <v>1564</v>
      </c>
      <c r="J59" s="1918">
        <f ca="1">IF(OR(M47="住宅",J51&lt;L48,J56="是"),"——",ROUND(C29*J58,0))</f>
        <v>1526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52</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1494</v>
      </c>
      <c r="C61" s="24">
        <f ca="1">IF(项目基本情况!B11="自然人","——",IF(D61="按租金收入计税",ROUND(C48*F61,2),IF(D61="按房产原值计税",ROUND(C57*F61*0.7,2),INDIRECT("'数据-取费表'!Aj"&amp;$G$1))))</f>
        <v>320.54000000000002</v>
      </c>
      <c r="D61" s="1823" t="s">
        <v>1439</v>
      </c>
      <c r="E61" s="1164" t="s">
        <v>1495</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1497</v>
      </c>
      <c r="C62" s="25">
        <f ca="1">IF(项目基本情况!B11="自然人","——",ROUND(F62*F63/10000,2))</f>
        <v>0</v>
      </c>
      <c r="D62" s="1179" t="s">
        <v>1498</v>
      </c>
      <c r="E62" s="1164" t="s">
        <v>1499</v>
      </c>
      <c r="F62" s="370">
        <f t="shared" si="0"/>
        <v>18</v>
      </c>
      <c r="I62" s="1924" t="s">
        <v>1571</v>
      </c>
      <c r="J62" s="1925" t="s">
        <v>1572</v>
      </c>
      <c r="K62" s="1925" t="s">
        <v>1573</v>
      </c>
      <c r="L62" s="1925" t="s">
        <v>1574</v>
      </c>
      <c r="M62" s="1926" t="s">
        <v>1575</v>
      </c>
      <c r="O62" s="1879" t="s">
        <v>1046</v>
      </c>
      <c r="P62" s="1880" t="s">
        <v>1576</v>
      </c>
      <c r="Q62" s="1881">
        <f ca="1">Q56+Q57</f>
        <v>28564</v>
      </c>
      <c r="R62" s="1881" t="s">
        <v>1047</v>
      </c>
    </row>
    <row r="63" spans="1:18" s="1837" customFormat="1" ht="13.5" thickBot="1">
      <c r="A63" s="371"/>
      <c r="B63" s="1170"/>
      <c r="C63" s="29"/>
      <c r="D63" s="1180"/>
      <c r="E63" s="1164" t="s">
        <v>1500</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1501</v>
      </c>
      <c r="B64" s="1164" t="s">
        <v>1502</v>
      </c>
      <c r="C64" s="24">
        <f ca="1">ROUND(C57*F64,1)</f>
        <v>57.2</v>
      </c>
      <c r="D64" s="1178" t="s">
        <v>1503</v>
      </c>
      <c r="E64" s="1164" t="s">
        <v>1495</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5.2</v>
      </c>
      <c r="D65" s="1178" t="s">
        <v>1455</v>
      </c>
      <c r="E65" s="1164" t="s">
        <v>1456</v>
      </c>
      <c r="F65" s="375">
        <f t="shared" ca="1" si="0"/>
        <v>1.5E-3</v>
      </c>
      <c r="I65" s="1924" t="s">
        <v>1580</v>
      </c>
      <c r="J65" s="1925">
        <v>40</v>
      </c>
      <c r="K65" s="1925">
        <v>30</v>
      </c>
      <c r="L65" s="1925">
        <v>50</v>
      </c>
      <c r="M65" s="1927">
        <v>0.02</v>
      </c>
      <c r="O65" s="1879" t="s">
        <v>1040</v>
      </c>
      <c r="P65" s="1880" t="s">
        <v>1581</v>
      </c>
      <c r="Q65" s="1881">
        <f ca="1">C40+J29</f>
        <v>28564</v>
      </c>
      <c r="R65" s="1881" t="s">
        <v>1530</v>
      </c>
    </row>
    <row r="66" spans="1:18" s="1837" customFormat="1" ht="16.5" thickBot="1">
      <c r="A66" s="1196" t="s">
        <v>1505</v>
      </c>
      <c r="B66" s="1164" t="s">
        <v>1440</v>
      </c>
      <c r="C66" s="24">
        <f ca="1">ROUND(C48*F66,1)</f>
        <v>0</v>
      </c>
      <c r="D66" s="1178" t="s">
        <v>1506</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-383</v>
      </c>
      <c r="D67" s="1177" t="s">
        <v>1465</v>
      </c>
      <c r="E67" s="1182"/>
      <c r="F67" s="1183"/>
      <c r="O67" s="1889" t="s">
        <v>1042</v>
      </c>
      <c r="P67" s="1880" t="s">
        <v>1563</v>
      </c>
      <c r="Q67" s="1928">
        <f ca="1">L51</f>
        <v>16339</v>
      </c>
      <c r="R67" s="1881" t="s">
        <v>1583</v>
      </c>
    </row>
    <row r="68" spans="1:18" s="1837" customFormat="1" ht="16.5" thickBot="1">
      <c r="A68" s="1161" t="s">
        <v>1032</v>
      </c>
      <c r="B68" s="1162" t="s">
        <v>1486</v>
      </c>
      <c r="C68" s="345">
        <f ca="1">ROUND(C67*(1-((1+F70)/(1+F68))^F69)/(F68-F70),0)</f>
        <v>-5806</v>
      </c>
      <c r="D68" s="1179" t="s">
        <v>1470</v>
      </c>
      <c r="E68" s="1164" t="s">
        <v>1471</v>
      </c>
      <c r="F68" s="356">
        <f ca="1">F40</f>
        <v>0.06</v>
      </c>
      <c r="O68" s="1889" t="s">
        <v>1043</v>
      </c>
      <c r="P68" s="1929" t="s">
        <v>1584</v>
      </c>
      <c r="Q68" s="1881">
        <f ca="1">ROUND(Q69-Q70*Q71,0)</f>
        <v>943</v>
      </c>
      <c r="R68" s="1881" t="s">
        <v>1051</v>
      </c>
    </row>
    <row r="69" spans="1:18" s="1837" customFormat="1" ht="13.5" thickBot="1">
      <c r="A69" s="1165"/>
      <c r="B69" s="1166"/>
      <c r="C69" s="350"/>
      <c r="D69" s="1184" t="s">
        <v>1474</v>
      </c>
      <c r="E69" s="1164" t="s">
        <v>1475</v>
      </c>
      <c r="F69" s="378">
        <f ca="1">F41</f>
        <v>41.23</v>
      </c>
      <c r="O69" s="1889" t="s">
        <v>1048</v>
      </c>
      <c r="P69" s="1929" t="s">
        <v>1585</v>
      </c>
      <c r="Q69" s="1881">
        <f ca="1">C39</f>
        <v>1235</v>
      </c>
      <c r="R69" s="1881" t="s">
        <v>1530</v>
      </c>
    </row>
    <row r="70" spans="1:18" s="1837" customFormat="1" ht="13.5" thickBot="1">
      <c r="A70" s="1168"/>
      <c r="B70" s="1169"/>
      <c r="C70" s="354"/>
      <c r="D70" s="1180"/>
      <c r="E70" s="1164" t="s">
        <v>1478</v>
      </c>
      <c r="F70" s="1270"/>
      <c r="O70" s="1889" t="s">
        <v>1049</v>
      </c>
      <c r="P70" s="1929" t="s">
        <v>1586</v>
      </c>
      <c r="Q70" s="1881">
        <f ca="1">C13</f>
        <v>3434</v>
      </c>
      <c r="R70" s="1881" t="s">
        <v>1530</v>
      </c>
    </row>
    <row r="71" spans="1:18" s="1837" customFormat="1" ht="13.5" thickBot="1">
      <c r="A71" s="1185" t="s">
        <v>1033</v>
      </c>
      <c r="B71" s="1186" t="s">
        <v>1488</v>
      </c>
      <c r="C71" s="381">
        <f ca="1">ROUND(C68*10000/F71,0)</f>
        <v>-6805</v>
      </c>
      <c r="D71" s="1187" t="s">
        <v>1489</v>
      </c>
      <c r="E71" s="1188" t="s">
        <v>1490</v>
      </c>
      <c r="F71" s="384">
        <f ca="1">F43</f>
        <v>8532.39</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292</v>
      </c>
      <c r="D75" s="1837"/>
      <c r="E75" s="1837"/>
      <c r="F75" s="1837"/>
      <c r="K75" s="1863"/>
      <c r="L75" s="1837"/>
      <c r="O75" s="1879" t="s">
        <v>1046</v>
      </c>
      <c r="P75" s="1880" t="s">
        <v>1550</v>
      </c>
      <c r="Q75" s="1881">
        <f ca="1">Q65+Q66</f>
        <v>28564</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0.76400000000000001</v>
      </c>
    </row>
    <row r="80" spans="1:18">
      <c r="B80" s="385" t="s">
        <v>1512</v>
      </c>
      <c r="C80" s="317">
        <f ca="1">ROUND(C75/C39,3)</f>
        <v>0.23599999999999999</v>
      </c>
    </row>
    <row r="81" spans="2:3">
      <c r="B81" s="313" t="s">
        <v>1513</v>
      </c>
      <c r="C81" s="281"/>
    </row>
    <row r="82" spans="2:3">
      <c r="B82" s="316" t="s">
        <v>1514</v>
      </c>
      <c r="C82" s="318">
        <f ca="1">1-C83</f>
        <v>0.88</v>
      </c>
    </row>
    <row r="83" spans="2:3">
      <c r="B83" s="316" t="s">
        <v>1515</v>
      </c>
      <c r="C83" s="317">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c r="D1" s="1815"/>
      <c r="E1" s="1816" t="s">
        <v>1387</v>
      </c>
      <c r="F1" s="1278" t="b">
        <f>J53</f>
        <v>0</v>
      </c>
      <c r="G1" s="1831">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1591</v>
      </c>
      <c r="B2" s="1839" t="e">
        <f ca="1">ROUND(D2/10000,0)</f>
        <v>#DIV/0!</v>
      </c>
      <c r="C2" s="1840" t="s">
        <v>1592</v>
      </c>
      <c r="D2" s="1933" t="e">
        <f ca="1">C40+J29+L46</f>
        <v>#DIV/0!</v>
      </c>
      <c r="E2" s="1841" t="s">
        <v>1593</v>
      </c>
      <c r="F2" s="1842"/>
      <c r="G2" s="1843"/>
      <c r="H2" s="1835"/>
      <c r="I2" s="1835"/>
      <c r="J2" s="1835"/>
      <c r="K2" s="1836"/>
      <c r="L2" s="1835"/>
      <c r="M2" s="1835"/>
    </row>
    <row r="3" spans="1:37" ht="18" customHeight="1" thickBot="1">
      <c r="A3" s="1844" t="s">
        <v>1594</v>
      </c>
      <c r="B3" s="1845">
        <f ca="1">IF(ISERROR(D2/F43),0,ROUND(D2/F43,0))</f>
        <v>0</v>
      </c>
      <c r="C3" s="1840" t="s">
        <v>1595</v>
      </c>
      <c r="D3" s="1840"/>
      <c r="E3" s="1841"/>
      <c r="F3" s="1842"/>
      <c r="G3" s="1843"/>
      <c r="H3" s="741" t="s">
        <v>1589</v>
      </c>
      <c r="I3" s="1835"/>
      <c r="J3" s="1835"/>
      <c r="K3" s="1836"/>
      <c r="L3" s="1835"/>
      <c r="M3" s="1835"/>
    </row>
    <row r="4" spans="1:37" ht="18" customHeight="1">
      <c r="A4" s="339" t="s">
        <v>1596</v>
      </c>
      <c r="B4" s="340" t="s">
        <v>1597</v>
      </c>
      <c r="C4" s="340" t="s">
        <v>1598</v>
      </c>
      <c r="D4" s="340" t="s">
        <v>1599</v>
      </c>
      <c r="E4" s="341" t="s">
        <v>1600</v>
      </c>
      <c r="F4" s="342"/>
      <c r="G4" s="1846"/>
      <c r="H4" s="339" t="s">
        <v>1596</v>
      </c>
      <c r="I4" s="340" t="s">
        <v>1597</v>
      </c>
      <c r="J4" s="340" t="s">
        <v>1598</v>
      </c>
      <c r="K4" s="340" t="s">
        <v>1599</v>
      </c>
      <c r="L4" s="341" t="s">
        <v>1600</v>
      </c>
      <c r="M4" s="342"/>
    </row>
    <row r="5" spans="1:37" ht="18" customHeight="1">
      <c r="A5" s="343">
        <v>1</v>
      </c>
      <c r="B5" s="344" t="s">
        <v>1601</v>
      </c>
      <c r="C5" s="1287">
        <f ca="1">C6+C10+C12</f>
        <v>0</v>
      </c>
      <c r="D5" s="1817" t="s">
        <v>1602</v>
      </c>
      <c r="E5" s="1288"/>
      <c r="F5" s="1289"/>
      <c r="G5" s="1846"/>
      <c r="H5" s="343">
        <v>1</v>
      </c>
      <c r="I5" s="344" t="s">
        <v>1601</v>
      </c>
      <c r="J5" s="1287">
        <f ca="1">J6+J10+J12</f>
        <v>0</v>
      </c>
      <c r="K5" s="1817" t="s">
        <v>1602</v>
      </c>
      <c r="L5" s="1288"/>
      <c r="M5" s="1289"/>
    </row>
    <row r="6" spans="1:37" ht="18" customHeight="1">
      <c r="A6" s="1286" t="s">
        <v>1035</v>
      </c>
      <c r="B6" s="3295" t="s">
        <v>1403</v>
      </c>
      <c r="C6" s="1291">
        <f ca="1">ROUND(F6*F8*F7*(1-F9),0)</f>
        <v>0</v>
      </c>
      <c r="D6" s="163" t="s">
        <v>3017</v>
      </c>
      <c r="E6" s="346" t="s">
        <v>1405</v>
      </c>
      <c r="F6" s="347">
        <f ca="1">INDIRECT("'数据-取费表'!u"&amp;$G$1)</f>
        <v>0</v>
      </c>
      <c r="G6" s="1846"/>
      <c r="H6" s="1286" t="s">
        <v>1035</v>
      </c>
      <c r="I6" s="3295" t="s">
        <v>1403</v>
      </c>
      <c r="J6" s="345">
        <f ca="1">ROUND(M6*M8*M7*(1-M9),0)</f>
        <v>0</v>
      </c>
      <c r="K6" s="1829" t="s">
        <v>3020</v>
      </c>
      <c r="L6" s="346" t="s">
        <v>1405</v>
      </c>
      <c r="M6" s="347">
        <f ca="1">INDIRECT("'数据-取费表'!z"&amp;$G$1)</f>
        <v>0</v>
      </c>
    </row>
    <row r="7" spans="1:37" ht="18" customHeight="1">
      <c r="A7" s="1290"/>
      <c r="B7" s="3296"/>
      <c r="C7" s="1292"/>
      <c r="D7" s="351"/>
      <c r="E7" s="1293" t="s">
        <v>1406</v>
      </c>
      <c r="F7" s="347">
        <f ca="1">IF(INDIRECT("'数据-取费表'!ah"&amp;$G$1)="",INDIRECT("'数据-取费表'!k"&amp;$G$1),INDIRECT("'数据-取费表'!ah"&amp;$G$1))</f>
        <v>0</v>
      </c>
      <c r="G7" s="1846"/>
      <c r="H7" s="348"/>
      <c r="I7" s="3296"/>
      <c r="J7" s="350"/>
      <c r="K7" s="351"/>
      <c r="L7" s="346" t="s">
        <v>1406</v>
      </c>
      <c r="M7" s="347">
        <f ca="1">F7</f>
        <v>0</v>
      </c>
    </row>
    <row r="8" spans="1:37" ht="18" customHeight="1">
      <c r="A8" s="348"/>
      <c r="B8" s="3296"/>
      <c r="C8" s="350"/>
      <c r="D8" s="351"/>
      <c r="E8" s="346" t="s">
        <v>1407</v>
      </c>
      <c r="F8" s="347">
        <f ca="1">INDIRECT("'数据-取费表'!ai"&amp;$G$1)</f>
        <v>0</v>
      </c>
      <c r="G8" s="1846"/>
      <c r="H8" s="348"/>
      <c r="I8" s="3296"/>
      <c r="J8" s="350"/>
      <c r="K8" s="351"/>
      <c r="L8" s="346" t="s">
        <v>1407</v>
      </c>
      <c r="M8" s="347">
        <f ca="1">INDIRECT("'数据-取费表'!ai"&amp;$G$1)</f>
        <v>0</v>
      </c>
    </row>
    <row r="9" spans="1:37" ht="18" customHeight="1">
      <c r="A9" s="348"/>
      <c r="B9" s="3297"/>
      <c r="C9" s="350"/>
      <c r="D9" s="351"/>
      <c r="E9" s="346" t="s">
        <v>1408</v>
      </c>
      <c r="F9" s="356">
        <f ca="1">INDIRECT("'数据-取费表'!w"&amp;$G$1)</f>
        <v>0</v>
      </c>
      <c r="G9" s="1846"/>
      <c r="H9" s="348"/>
      <c r="I9" s="3297"/>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ROUND(IF(F10="押一",F6*F8*F7/12*F11,IF(F10="押二",F6*F8*F7/12*2*F11,IF(F10="押三",F6*F8*F7/12*3*F11,C11*F11))),0)</f>
        <v>0</v>
      </c>
      <c r="D10" s="1819" t="s">
        <v>3018</v>
      </c>
      <c r="E10" s="357" t="s">
        <v>1411</v>
      </c>
      <c r="F10" s="1361"/>
      <c r="G10" s="1846"/>
      <c r="H10" s="1286" t="s">
        <v>1039</v>
      </c>
      <c r="I10" s="1818" t="s">
        <v>1409</v>
      </c>
      <c r="J10" s="345">
        <f ca="1">ROUND(IF(M10="押一",M6*M8*M7/12*M11,IF(M10="押二",M6*M8*M7/12*2*M11,IF(M10="押三",M6*M8*M7/12*3*M11,J11*M11))),0)</f>
        <v>0</v>
      </c>
      <c r="K10" s="1830" t="s">
        <v>3019</v>
      </c>
      <c r="L10" s="357" t="s">
        <v>1411</v>
      </c>
      <c r="M10" s="1361"/>
    </row>
    <row r="11" spans="1:37" ht="18" customHeight="1">
      <c r="A11" s="352"/>
      <c r="B11" s="1820" t="s">
        <v>1603</v>
      </c>
      <c r="C11" s="1173"/>
      <c r="D11" s="351"/>
      <c r="E11" s="357" t="s">
        <v>1413</v>
      </c>
      <c r="F11" s="358">
        <f ca="1">'数据-取费表'!B39</f>
        <v>1.4999999999999999E-2</v>
      </c>
      <c r="G11" s="1846"/>
      <c r="H11" s="1294"/>
      <c r="I11" s="1820" t="s">
        <v>1604</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0</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ROUND(INDIRECT("'数据-取费表'!l"&amp;$G$1)*F43+'数据-取费表'!L14*INDIRECT("'数据-取费表'!S"&amp;$G$1),0)</f>
        <v>0</v>
      </c>
      <c r="D14" s="1795" t="s">
        <v>1419</v>
      </c>
      <c r="E14" s="1789"/>
      <c r="F14" s="363"/>
      <c r="G14" s="1846"/>
      <c r="H14" s="1196" t="s">
        <v>1035</v>
      </c>
      <c r="I14" s="346" t="s">
        <v>1420</v>
      </c>
      <c r="J14" s="24">
        <f ca="1">C29</f>
        <v>0</v>
      </c>
      <c r="K14" s="15"/>
      <c r="L14" s="974"/>
      <c r="M14" s="975"/>
    </row>
    <row r="15" spans="1:37" s="1853" customFormat="1" ht="18" customHeight="1" thickBot="1">
      <c r="A15" s="1196" t="s">
        <v>1036</v>
      </c>
      <c r="B15" s="346" t="s">
        <v>1421</v>
      </c>
      <c r="C15" s="24">
        <f ca="1">ROUND(C14*F15,0)</f>
        <v>0</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ROUND(INDIRECT("'数据-取费表'!l"&amp;$G$1)*F43*F16,0)</f>
        <v>0</v>
      </c>
      <c r="D16" s="346" t="s">
        <v>1422</v>
      </c>
      <c r="E16" s="346" t="s">
        <v>1423</v>
      </c>
      <c r="F16" s="366">
        <f ca="1">IF(INDIRECT("'数据-取费表'!c"&amp;$G$1)="住宅",'数据-取费表'!B34,0)</f>
        <v>0</v>
      </c>
      <c r="G16" s="1846"/>
      <c r="H16" s="1324" t="s">
        <v>1030</v>
      </c>
      <c r="I16" s="1325" t="s">
        <v>1425</v>
      </c>
      <c r="J16" s="354">
        <f ca="1">ROUND(J17+J22+J23+J24,0)</f>
        <v>0</v>
      </c>
      <c r="K16" s="1332" t="s">
        <v>1426</v>
      </c>
      <c r="L16" s="1333"/>
      <c r="M16" s="1289"/>
    </row>
    <row r="17" spans="1:37" s="1853" customFormat="1" ht="18" customHeight="1">
      <c r="A17" s="1196" t="s">
        <v>1390</v>
      </c>
      <c r="B17" s="346" t="s">
        <v>1427</v>
      </c>
      <c r="C17" s="24">
        <f ca="1">ROUND(F17*(F43+INDIRECT("'数据-取费表'!S"&amp;$G$1)),0)</f>
        <v>0</v>
      </c>
      <c r="D17" s="346" t="s">
        <v>1428</v>
      </c>
      <c r="E17" s="346" t="s">
        <v>1429</v>
      </c>
      <c r="F17" s="26">
        <f>'数据-取费表'!B35</f>
        <v>200</v>
      </c>
      <c r="G17" s="1849"/>
      <c r="H17" s="1196" t="s">
        <v>1035</v>
      </c>
      <c r="I17" s="346" t="s">
        <v>1430</v>
      </c>
      <c r="J17" s="24">
        <f ca="1">ROUND(IF(项目基本情况!B11="自然人",J5*M17,J18+J19+J20),0)</f>
        <v>0</v>
      </c>
      <c r="K17" s="1795" t="s">
        <v>1431</v>
      </c>
      <c r="L17" s="179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0</v>
      </c>
      <c r="D18" s="346" t="s">
        <v>1422</v>
      </c>
      <c r="E18" s="346" t="s">
        <v>1423</v>
      </c>
      <c r="F18" s="366">
        <f>'数据-取费表'!B36</f>
        <v>1.4999999999999999E-2</v>
      </c>
      <c r="G18" s="1849"/>
      <c r="H18" s="1196" t="s">
        <v>1034</v>
      </c>
      <c r="I18" s="346" t="s">
        <v>1434</v>
      </c>
      <c r="J18" s="24">
        <f ca="1">ROUND(J5*M18/(1+'数据-取费表'!C42),0)</f>
        <v>0</v>
      </c>
      <c r="K18" s="179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0</v>
      </c>
      <c r="D19" s="140" t="s">
        <v>1437</v>
      </c>
      <c r="E19" s="1813"/>
      <c r="F19" s="26"/>
      <c r="G19" s="1846"/>
      <c r="H19" s="1196" t="s">
        <v>1036</v>
      </c>
      <c r="I19" s="346" t="s">
        <v>1438</v>
      </c>
      <c r="J19" s="24">
        <f ca="1">IF(K19="按租金收入计税",ROUND(J5*M19,0),ROUND(C29*M19*0.7,0))</f>
        <v>0</v>
      </c>
      <c r="K19" s="1823" t="s">
        <v>1439</v>
      </c>
      <c r="L19" s="346" t="s">
        <v>1423</v>
      </c>
      <c r="M19" s="366">
        <f>IF(K19="按租金收入计税",'数据-取费表'!B51,'数据-取费表'!B50)</f>
        <v>1.2E-2</v>
      </c>
    </row>
    <row r="20" spans="1:37" s="1853" customFormat="1" ht="18" customHeight="1">
      <c r="A20" s="1196" t="s">
        <v>1039</v>
      </c>
      <c r="B20" s="346" t="s">
        <v>1440</v>
      </c>
      <c r="C20" s="24">
        <f ca="1">ROUND(C19*F20,0)</f>
        <v>0</v>
      </c>
      <c r="D20" s="368" t="s">
        <v>1441</v>
      </c>
      <c r="E20" s="346" t="s">
        <v>1423</v>
      </c>
      <c r="F20" s="366">
        <f>'数据-取费表'!B37</f>
        <v>0.02</v>
      </c>
      <c r="G20" s="1849"/>
      <c r="H20" s="1196" t="s">
        <v>1389</v>
      </c>
      <c r="I20" s="163" t="s">
        <v>1442</v>
      </c>
      <c r="J20" s="25">
        <f ca="1">ROUND(M20*M21,0)</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1813"/>
      <c r="F22" s="26"/>
      <c r="G22" s="1846"/>
      <c r="H22" s="1196" t="s">
        <v>1039</v>
      </c>
      <c r="I22" s="346" t="s">
        <v>1450</v>
      </c>
      <c r="J22" s="24">
        <f ca="1">ROUND(J14*M22,0)</f>
        <v>0</v>
      </c>
      <c r="K22" s="1793" t="s">
        <v>1451</v>
      </c>
      <c r="L22" s="346" t="s">
        <v>1423</v>
      </c>
      <c r="M22" s="373">
        <f ca="1">INDIRECT("'数据-取费表'!Ak"&amp;$G$1)</f>
        <v>0</v>
      </c>
    </row>
    <row r="23" spans="1:37" s="1853" customFormat="1" ht="18" customHeight="1">
      <c r="A23" s="1196"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ROUND(J13*M23,0)</f>
        <v>0</v>
      </c>
      <c r="K23" s="1793" t="s">
        <v>1455</v>
      </c>
      <c r="L23" s="346" t="s">
        <v>1456</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1457</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1393</v>
      </c>
      <c r="I24" s="1335" t="s">
        <v>1440</v>
      </c>
      <c r="J24" s="1336">
        <f ca="1">ROUND(J5*M24,0)</f>
        <v>0</v>
      </c>
      <c r="K24" s="1337" t="s">
        <v>1460</v>
      </c>
      <c r="L24" s="1335" t="s">
        <v>1456</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1461</v>
      </c>
      <c r="B25" s="346" t="s">
        <v>1462</v>
      </c>
      <c r="C25" s="24"/>
      <c r="D25" s="140" t="s">
        <v>1463</v>
      </c>
      <c r="E25" s="1813"/>
      <c r="F25" s="26"/>
      <c r="G25" s="1846"/>
      <c r="H25" s="1324" t="s">
        <v>1031</v>
      </c>
      <c r="I25" s="1339" t="s">
        <v>1464</v>
      </c>
      <c r="J25" s="354">
        <f ca="1">J5-J16</f>
        <v>0</v>
      </c>
      <c r="K25" s="1340" t="s">
        <v>1465</v>
      </c>
      <c r="L25" s="1341"/>
      <c r="M25" s="1342"/>
    </row>
    <row r="26" spans="1:37" ht="18" customHeight="1">
      <c r="A26" s="1196" t="s">
        <v>1034</v>
      </c>
      <c r="B26" s="346" t="s">
        <v>1466</v>
      </c>
      <c r="C26" s="24">
        <f ca="1">ROUND((C19+C20)*F26,0)</f>
        <v>0</v>
      </c>
      <c r="D26" s="368" t="s">
        <v>1467</v>
      </c>
      <c r="E26" s="357" t="s">
        <v>1468</v>
      </c>
      <c r="F26" s="356">
        <f ca="1">INDIRECT("'数据-取费表'!q"&amp;$G$1)</f>
        <v>0</v>
      </c>
      <c r="G26" s="1846"/>
      <c r="H26" s="343" t="s">
        <v>1032</v>
      </c>
      <c r="I26" s="344" t="s">
        <v>1469</v>
      </c>
      <c r="J26" s="345">
        <f ca="1">IF(J5&lt;&gt;0,ROUND(J25*(1-((1+M28)/(1+M26))^M27)/(M26-M28),0),0)</f>
        <v>0</v>
      </c>
      <c r="K26" s="369" t="s">
        <v>1470</v>
      </c>
      <c r="L26" s="346" t="s">
        <v>1471</v>
      </c>
      <c r="M26" s="356">
        <f ca="1">INDIRECT("'数据-取费表'!I"&amp;$G$1)</f>
        <v>0</v>
      </c>
    </row>
    <row r="27" spans="1:37" ht="18" customHeight="1">
      <c r="A27" s="1196" t="s">
        <v>1036</v>
      </c>
      <c r="B27" s="346" t="s">
        <v>1472</v>
      </c>
      <c r="C27" s="24">
        <f ca="1">ROUND(F21*F26,4)</f>
        <v>0</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0</v>
      </c>
      <c r="D29" s="1337"/>
      <c r="E29" s="1335"/>
      <c r="F29" s="1338"/>
      <c r="G29" s="1849"/>
      <c r="H29" s="379" t="s">
        <v>1033</v>
      </c>
      <c r="I29" s="380" t="s">
        <v>1480</v>
      </c>
      <c r="J29" s="381">
        <f ca="1">ROUND(J26/(1+F40)^F41,0)</f>
        <v>0</v>
      </c>
      <c r="K29" s="382" t="s">
        <v>1481</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0</v>
      </c>
      <c r="D30" s="1332" t="s">
        <v>1426</v>
      </c>
      <c r="E30" s="1333"/>
      <c r="F30" s="1289"/>
      <c r="G30" s="1846"/>
      <c r="H30" s="742"/>
      <c r="I30" s="743"/>
      <c r="J30" s="744"/>
      <c r="K30" s="745"/>
      <c r="L30" s="746"/>
      <c r="M30" s="747"/>
    </row>
    <row r="31" spans="1:37" ht="18" customHeight="1">
      <c r="A31" s="1196" t="s">
        <v>1035</v>
      </c>
      <c r="B31" s="346" t="s">
        <v>1430</v>
      </c>
      <c r="C31" s="24">
        <f ca="1">ROUND(IF(项目基本情况!B11="自然人",C5*F31,C32+C33+C34),0)</f>
        <v>0</v>
      </c>
      <c r="D31" s="1795" t="s">
        <v>1431</v>
      </c>
      <c r="E31" s="179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IF(项目基本情况!B11="自然人","——",ROUND(C5*F32/(1+'数据-取费表'!C42),0))</f>
        <v>0</v>
      </c>
      <c r="D32" s="179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IF(项目基本情况!B11="自然人","——",IF(D33="按租金收入计税",ROUND(C5*F33,0),IF(D33="按房产原值计税",ROUND(C29*F33*0.7,0),INDIRECT("'数据-取费表'!Aj"&amp;$G$1))))</f>
        <v>0</v>
      </c>
      <c r="D33" s="1823" t="s">
        <v>1439</v>
      </c>
      <c r="E33" s="346" t="s">
        <v>1423</v>
      </c>
      <c r="F33" s="366">
        <f>IF(D33="按票据","——",IF(D33="按租金收入计税",'数据-取费表'!B51,'数据-取费表'!B50))</f>
        <v>1.2E-2</v>
      </c>
      <c r="G33" s="1846"/>
      <c r="H33" s="1854"/>
      <c r="I33" s="1855"/>
      <c r="J33" s="1856"/>
      <c r="K33" s="1857"/>
      <c r="L33" s="1854"/>
      <c r="M33" s="1854"/>
    </row>
    <row r="34" spans="1:18" ht="18" customHeight="1">
      <c r="A34" s="1286" t="s">
        <v>1389</v>
      </c>
      <c r="B34" s="163" t="s">
        <v>1442</v>
      </c>
      <c r="C34" s="25">
        <f ca="1">IF(项目基本情况!B11="自然人","——",ROUND(F34*F35,))</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ROUND(C29*F36,0)</f>
        <v>0</v>
      </c>
      <c r="D36" s="1793" t="s">
        <v>1483</v>
      </c>
      <c r="E36" s="346" t="s">
        <v>1423</v>
      </c>
      <c r="F36" s="373">
        <f ca="1">INDIRECT("'数据-取费表'!Ak"&amp;$G$1)</f>
        <v>0</v>
      </c>
      <c r="G36" s="1846"/>
      <c r="H36" s="1854"/>
      <c r="I36" s="1855"/>
      <c r="J36" s="1856"/>
      <c r="K36" s="748"/>
      <c r="L36" s="1854"/>
      <c r="M36" s="1854"/>
    </row>
    <row r="37" spans="1:18" ht="18" customHeight="1">
      <c r="A37" s="1196" t="s">
        <v>1075</v>
      </c>
      <c r="B37" s="346" t="s">
        <v>1454</v>
      </c>
      <c r="C37" s="24">
        <f ca="1">ROUND(C13*F37,0)</f>
        <v>0</v>
      </c>
      <c r="D37" s="1793" t="s">
        <v>1455</v>
      </c>
      <c r="E37" s="346" t="s">
        <v>1456</v>
      </c>
      <c r="F37" s="375">
        <f ca="1">INDIRECT("'数据-取费表'!Al"&amp;$G$1)</f>
        <v>0</v>
      </c>
      <c r="G37" s="1846"/>
      <c r="H37" s="1854"/>
      <c r="I37" s="1855"/>
      <c r="J37" s="1856"/>
      <c r="K37" s="748"/>
      <c r="L37" s="1854"/>
      <c r="M37" s="1854"/>
    </row>
    <row r="38" spans="1:18" ht="18" customHeight="1" thickBot="1">
      <c r="A38" s="1334" t="s">
        <v>1393</v>
      </c>
      <c r="B38" s="1335" t="s">
        <v>1440</v>
      </c>
      <c r="C38" s="1336">
        <f ca="1">ROUND(C5*F38,1)</f>
        <v>0</v>
      </c>
      <c r="D38" s="1337" t="s">
        <v>1460</v>
      </c>
      <c r="E38" s="1335" t="s">
        <v>1456</v>
      </c>
      <c r="F38" s="1331">
        <f ca="1">INDIRECT("'数据-取费表'!Am"&amp;$G$1)</f>
        <v>0</v>
      </c>
      <c r="G38" s="1846"/>
      <c r="H38" s="1854"/>
      <c r="I38" s="1855"/>
      <c r="J38" s="1856"/>
      <c r="K38" s="1860"/>
      <c r="L38" s="1854"/>
      <c r="M38" s="1854"/>
    </row>
    <row r="39" spans="1:18" ht="24.6" customHeight="1" thickTop="1">
      <c r="A39" s="1324" t="s">
        <v>1031</v>
      </c>
      <c r="B39" s="1339" t="s">
        <v>1484</v>
      </c>
      <c r="C39" s="354">
        <f ca="1">C5-C30</f>
        <v>0</v>
      </c>
      <c r="D39" s="1340" t="s">
        <v>1485</v>
      </c>
      <c r="E39" s="1341"/>
      <c r="F39" s="1342"/>
      <c r="G39" s="1846"/>
      <c r="H39" s="1854"/>
      <c r="I39" s="1855"/>
      <c r="J39" s="1856"/>
      <c r="K39" s="1860"/>
      <c r="L39" s="1854"/>
      <c r="M39" s="1854"/>
    </row>
    <row r="40" spans="1:18" ht="18" customHeight="1">
      <c r="A40" s="343" t="s">
        <v>1032</v>
      </c>
      <c r="B40" s="344" t="s">
        <v>1486</v>
      </c>
      <c r="C40" s="345" t="e">
        <f ca="1">ROUND(C39*(1-((1+F42)/(1+F40))^F41)/(F40-F42),0)</f>
        <v>#DIV/0!</v>
      </c>
      <c r="D40" s="369" t="s">
        <v>1470</v>
      </c>
      <c r="E40" s="346" t="s">
        <v>1471</v>
      </c>
      <c r="F40" s="356">
        <f ca="1">INDIRECT("'数据-取费表'!I"&amp;$G$1)</f>
        <v>0</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0</v>
      </c>
      <c r="G41" s="1846"/>
      <c r="H41" s="729"/>
      <c r="I41" s="1855"/>
      <c r="J41" s="1856"/>
      <c r="K41" s="748"/>
      <c r="L41" s="729"/>
      <c r="M41" s="729"/>
    </row>
    <row r="42" spans="1:18" ht="18" customHeight="1">
      <c r="A42" s="352"/>
      <c r="B42" s="353"/>
      <c r="C42" s="354"/>
      <c r="D42" s="372"/>
      <c r="E42" s="346" t="s">
        <v>1478</v>
      </c>
      <c r="F42" s="356">
        <f ca="1">INDIRECT("'数据-取费表'!v"&amp;$G$1)</f>
        <v>0</v>
      </c>
      <c r="G42" s="1846"/>
      <c r="H42" s="729"/>
      <c r="I42" s="1855"/>
      <c r="J42" s="1856"/>
      <c r="K42" s="748"/>
      <c r="L42" s="729"/>
      <c r="M42" s="729"/>
    </row>
    <row r="43" spans="1:18" ht="18" customHeight="1" thickBot="1">
      <c r="A43" s="379" t="s">
        <v>1033</v>
      </c>
      <c r="B43" s="380" t="s">
        <v>1488</v>
      </c>
      <c r="C43" s="381" t="e">
        <f ca="1">ROUND(C40/F43,0)</f>
        <v>#DIV/0!</v>
      </c>
      <c r="D43" s="382" t="s">
        <v>1489</v>
      </c>
      <c r="E43" s="383" t="s">
        <v>1490</v>
      </c>
      <c r="F43" s="384">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1605</v>
      </c>
      <c r="E45" s="1861"/>
      <c r="F45" s="1861"/>
      <c r="O45" s="1864" t="s">
        <v>1520</v>
      </c>
      <c r="P45" s="1834"/>
      <c r="Q45" s="1834"/>
      <c r="R45" s="1834"/>
    </row>
    <row r="46" spans="1:18" s="1837" customFormat="1" ht="13.5" thickBot="1">
      <c r="A46" s="1865" t="s">
        <v>1521</v>
      </c>
      <c r="C46" s="1866" t="e">
        <f ca="1">ROUND(C45/10000,0)</f>
        <v>#DIV/0!</v>
      </c>
      <c r="D46" s="1867" t="str">
        <f>C2</f>
        <v>万元</v>
      </c>
      <c r="I46" s="1868" t="s">
        <v>1522</v>
      </c>
      <c r="J46" s="1869"/>
      <c r="K46" s="1870"/>
      <c r="L46" s="1871" t="e">
        <f ca="1">IF(M47="住宅",0,IF(L48&gt;J51,L60,J60))</f>
        <v>#DIV/0!</v>
      </c>
      <c r="O46" s="1872" t="s">
        <v>1523</v>
      </c>
      <c r="P46" s="1873" t="s">
        <v>1524</v>
      </c>
      <c r="Q46" s="1874" t="s">
        <v>1525</v>
      </c>
      <c r="R46" s="1874" t="s">
        <v>1526</v>
      </c>
    </row>
    <row r="47" spans="1:18" s="1837" customFormat="1" ht="13.5" thickBot="1">
      <c r="A47" s="1160" t="s">
        <v>1396</v>
      </c>
      <c r="B47" s="1192" t="s">
        <v>1397</v>
      </c>
      <c r="C47" s="1192" t="s">
        <v>1398</v>
      </c>
      <c r="D47" s="1192" t="s">
        <v>1399</v>
      </c>
      <c r="E47" s="1274" t="s">
        <v>1400</v>
      </c>
      <c r="F47" s="1275"/>
      <c r="G47" s="789"/>
      <c r="I47" s="1875" t="s">
        <v>1527</v>
      </c>
      <c r="J47" s="1876"/>
      <c r="K47" s="1877" t="s">
        <v>1528</v>
      </c>
      <c r="L47" s="1878">
        <f ca="1">INDIRECT("'数据-取费表'!d"&amp;$G$1)</f>
        <v>0</v>
      </c>
      <c r="M47" s="1833" t="str">
        <f>IF(ISNUMBER(FIND("住宅",C1)),"住宅","非住宅")</f>
        <v>非住宅</v>
      </c>
      <c r="O47" s="1879" t="s">
        <v>1040</v>
      </c>
      <c r="P47" s="1880" t="s">
        <v>1529</v>
      </c>
      <c r="Q47" s="1881" t="e">
        <f ca="1">C40+J29</f>
        <v>#DIV/0!</v>
      </c>
      <c r="R47" s="1881" t="s">
        <v>1530</v>
      </c>
    </row>
    <row r="48" spans="1:18" s="1837" customFormat="1" ht="28.5" thickBot="1">
      <c r="A48" s="1355" t="s">
        <v>1135</v>
      </c>
      <c r="B48" s="344" t="s">
        <v>1401</v>
      </c>
      <c r="C48" s="1812">
        <f ca="1">C49+C53+C55</f>
        <v>0</v>
      </c>
      <c r="D48" s="1357"/>
      <c r="E48" s="1358"/>
      <c r="F48" s="1176"/>
      <c r="G48" s="789"/>
      <c r="H48" s="790"/>
      <c r="I48" s="1882" t="s">
        <v>1531</v>
      </c>
      <c r="J48" s="1883"/>
      <c r="K48" s="1884" t="s">
        <v>1532</v>
      </c>
      <c r="L48" s="1885">
        <f ca="1">INDIRECT("'数据-取费表'!f"&amp;$G$1)</f>
        <v>0</v>
      </c>
      <c r="O48" s="1879" t="s">
        <v>1041</v>
      </c>
      <c r="P48" s="1880" t="s">
        <v>1533</v>
      </c>
      <c r="Q48" s="1881" t="e">
        <f ca="1">J60</f>
        <v>#DIV/0!</v>
      </c>
      <c r="R48" s="1881" t="s">
        <v>1534</v>
      </c>
    </row>
    <row r="49" spans="1:18" s="1837" customFormat="1" ht="13.5" thickBot="1">
      <c r="A49" s="1189" t="s">
        <v>1136</v>
      </c>
      <c r="B49" s="1824" t="s">
        <v>1491</v>
      </c>
      <c r="C49" s="1359">
        <f ca="1">ROUND(F49*F51*F50*(1-F52),0)</f>
        <v>0</v>
      </c>
      <c r="D49" s="1271" t="s">
        <v>1404</v>
      </c>
      <c r="E49" s="1825" t="s">
        <v>1492</v>
      </c>
      <c r="F49" s="1276"/>
      <c r="G49" s="1886"/>
      <c r="H49" s="790"/>
      <c r="I49" s="1882" t="s">
        <v>1535</v>
      </c>
      <c r="J49" s="1887"/>
      <c r="K49" s="1884" t="s">
        <v>1536</v>
      </c>
      <c r="L49" s="1888"/>
      <c r="O49" s="1889" t="s">
        <v>1042</v>
      </c>
      <c r="P49" s="1880" t="s">
        <v>1537</v>
      </c>
      <c r="Q49" s="1881">
        <f ca="1">C29</f>
        <v>0</v>
      </c>
      <c r="R49" s="1881" t="s">
        <v>1530</v>
      </c>
    </row>
    <row r="50" spans="1:18" s="1837" customFormat="1" ht="13.5" thickBot="1">
      <c r="A50" s="1190"/>
      <c r="B50" s="1193"/>
      <c r="C50" s="1194"/>
      <c r="D50" s="1167"/>
      <c r="E50" s="1272" t="s">
        <v>1406</v>
      </c>
      <c r="F50" s="1273">
        <f ca="1">F7</f>
        <v>0</v>
      </c>
      <c r="H50" s="790"/>
      <c r="I50" s="1882" t="s">
        <v>1538</v>
      </c>
      <c r="J50" s="1890">
        <f>SUMPRODUCT((I63:I65=J47)*(J62:L62=J48)*(J63:L65))</f>
        <v>0</v>
      </c>
      <c r="K50" s="1884" t="s">
        <v>1539</v>
      </c>
      <c r="L50" s="1888"/>
      <c r="M50" s="1891"/>
      <c r="O50" s="1889" t="s">
        <v>1043</v>
      </c>
      <c r="P50" s="1880" t="s">
        <v>1540</v>
      </c>
      <c r="Q50" s="1892" t="e">
        <f ca="1">J58</f>
        <v>#DIV/0!</v>
      </c>
      <c r="R50" s="1881"/>
    </row>
    <row r="51" spans="1:18" s="1837" customFormat="1" ht="13.5" thickBot="1">
      <c r="A51" s="1191"/>
      <c r="B51" s="1193"/>
      <c r="C51" s="1194"/>
      <c r="D51" s="1167"/>
      <c r="E51" s="1195" t="s">
        <v>1407</v>
      </c>
      <c r="F51" s="347">
        <f ca="1">F8</f>
        <v>0</v>
      </c>
      <c r="I51" s="1893" t="s">
        <v>1541</v>
      </c>
      <c r="J51" s="1894">
        <f>IF(J49="",J50,J49+J50-YEAR('数据-取费表'!B2))</f>
        <v>0</v>
      </c>
      <c r="K51" s="1895" t="s">
        <v>1542</v>
      </c>
      <c r="L51" s="1896">
        <f ca="1">ROUND(-PV(INDIRECT("'数据-取费表'!h"&amp;$G$1),L48,(C39-C13*C76),0),0)</f>
        <v>0</v>
      </c>
      <c r="M51" s="1897"/>
      <c r="O51" s="1889" t="s">
        <v>1044</v>
      </c>
      <c r="P51" s="1880" t="s">
        <v>1543</v>
      </c>
      <c r="Q51" s="1892">
        <f>J52</f>
        <v>0</v>
      </c>
      <c r="R51" s="1881"/>
    </row>
    <row r="52" spans="1:18" s="1837" customFormat="1" ht="13.5" thickBot="1">
      <c r="A52" s="1191"/>
      <c r="B52" s="1193"/>
      <c r="C52" s="1194"/>
      <c r="D52" s="1167"/>
      <c r="E52" s="1195" t="s">
        <v>1408</v>
      </c>
      <c r="F52" s="1270"/>
      <c r="I52" s="1898" t="s">
        <v>1544</v>
      </c>
      <c r="J52" s="1899"/>
      <c r="K52" s="1898" t="s">
        <v>1545</v>
      </c>
      <c r="L52" s="1899"/>
      <c r="O52" s="1889" t="s">
        <v>1045</v>
      </c>
      <c r="P52" s="1880" t="s">
        <v>1546</v>
      </c>
      <c r="Q52" s="1881" t="b">
        <f>J53</f>
        <v>0</v>
      </c>
      <c r="R52" s="1881" t="s">
        <v>1547</v>
      </c>
    </row>
    <row r="53" spans="1:18" s="1837" customFormat="1" ht="30.75" customHeight="1" thickBot="1">
      <c r="A53" s="1356" t="s">
        <v>1137</v>
      </c>
      <c r="B53" s="368" t="s">
        <v>1409</v>
      </c>
      <c r="C53" s="360">
        <f ca="1">ROUND(IF(F53="押一",F49*F51*F50/12*F11,IF(F53="押二",F49*F51*F50/12*2*F11,IF(F53="押三",F49*F51*F50/12*3*F11,C54*F11))),0)</f>
        <v>0</v>
      </c>
      <c r="D53" s="1819" t="s">
        <v>1410</v>
      </c>
      <c r="E53" s="357" t="s">
        <v>1411</v>
      </c>
      <c r="F53" s="1361"/>
      <c r="I53" s="1900" t="s">
        <v>1548</v>
      </c>
      <c r="J53" s="1901" t="b">
        <f>IF(M47="住宅",J51,IF(D1="——",MIN(J51,L48),IF(D1="在建（套用方法）",MIN(J51,L48-'数据-取费表'!B24),IF(D1="土地（套用方法）",MIN(J51,L48-'数据-取费表'!B20)))))</f>
        <v>0</v>
      </c>
      <c r="K53" s="3293" t="s">
        <v>1549</v>
      </c>
      <c r="L53" s="3294"/>
      <c r="O53" s="1879" t="s">
        <v>1046</v>
      </c>
      <c r="P53" s="1880" t="s">
        <v>1550</v>
      </c>
      <c r="Q53" s="1881" t="e">
        <f ca="1">Q47+Q48</f>
        <v>#DIV/0!</v>
      </c>
      <c r="R53" s="1881" t="s">
        <v>1047</v>
      </c>
    </row>
    <row r="54" spans="1:18" s="1837" customFormat="1" ht="13.5" thickBot="1">
      <c r="A54" s="1189"/>
      <c r="B54" s="1936" t="s">
        <v>1604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1551</v>
      </c>
      <c r="P54" s="1834"/>
      <c r="Q54" s="1834"/>
      <c r="R54" s="1834"/>
    </row>
    <row r="55" spans="1:18" s="1837" customFormat="1" ht="13.5" thickBot="1">
      <c r="A55" s="1328" t="s">
        <v>1075</v>
      </c>
      <c r="B55" s="1822" t="s">
        <v>1414</v>
      </c>
      <c r="C55" s="1329"/>
      <c r="D55" s="1819"/>
      <c r="E55" s="1827"/>
      <c r="F55" s="1902"/>
      <c r="I55" s="1905" t="s">
        <v>1552</v>
      </c>
      <c r="J55" s="1906" t="e">
        <f ca="1">ROUND(IF(J47="钢混",J57/J50,1-(1-2%)*(J50-J57)/J50),3)</f>
        <v>#DIV/0!</v>
      </c>
      <c r="K55" s="1907" t="s">
        <v>1553</v>
      </c>
      <c r="L55" s="1908"/>
      <c r="O55" s="1872" t="s">
        <v>1523</v>
      </c>
      <c r="P55" s="1873" t="s">
        <v>1524</v>
      </c>
      <c r="Q55" s="1874" t="s">
        <v>1525</v>
      </c>
      <c r="R55" s="1874" t="s">
        <v>1526</v>
      </c>
    </row>
    <row r="56" spans="1:18" s="1837" customFormat="1" ht="36" customHeight="1" thickTop="1" thickBot="1">
      <c r="A56" s="1171">
        <v>2</v>
      </c>
      <c r="B56" s="1172" t="s">
        <v>1415</v>
      </c>
      <c r="C56" s="275">
        <f ca="1">C13</f>
        <v>0</v>
      </c>
      <c r="D56" s="1909"/>
      <c r="E56" s="1910"/>
      <c r="F56" s="1902"/>
      <c r="I56" s="1911" t="s">
        <v>1555</v>
      </c>
      <c r="J56" s="1912"/>
      <c r="K56" s="1882" t="s">
        <v>1556</v>
      </c>
      <c r="L56" s="1885">
        <f ca="1">IF(L48&lt;J51,"——",L48-J51)</f>
        <v>0</v>
      </c>
      <c r="O56" s="1879" t="s">
        <v>1040</v>
      </c>
      <c r="P56" s="1880" t="s">
        <v>1529</v>
      </c>
      <c r="Q56" s="1881" t="e">
        <f ca="1">C40+J29</f>
        <v>#DIV/0!</v>
      </c>
      <c r="R56" s="1881" t="s">
        <v>1530</v>
      </c>
    </row>
    <row r="57" spans="1:18" s="1837" customFormat="1" ht="24.75" thickBot="1">
      <c r="A57" s="1913"/>
      <c r="B57" s="1164" t="s">
        <v>1479</v>
      </c>
      <c r="C57" s="281">
        <f ca="1">C29</f>
        <v>0</v>
      </c>
      <c r="D57" s="1914"/>
      <c r="E57" s="1915"/>
      <c r="F57" s="1916"/>
      <c r="I57" s="1917" t="s">
        <v>1557</v>
      </c>
      <c r="J57" s="1918">
        <f ca="1">IF(OR(M47="住宅",J51&lt;L48,J56="是"),"——",J51-L48)</f>
        <v>0</v>
      </c>
      <c r="K57" s="1882" t="s">
        <v>1606</v>
      </c>
      <c r="L57" s="1885">
        <f ca="1">IF(L48&lt;J51,"——",IF(L55="比较法",L49,IF(L55="基准地价",L50,L51)))</f>
        <v>0</v>
      </c>
      <c r="O57" s="1879" t="s">
        <v>1041</v>
      </c>
      <c r="P57" s="1880" t="s">
        <v>1607</v>
      </c>
      <c r="Q57" s="1881" t="e">
        <f ca="1">L60</f>
        <v>#DIV/0!</v>
      </c>
      <c r="R57" s="1881" t="s">
        <v>1608</v>
      </c>
    </row>
    <row r="58" spans="1:18" s="1837" customFormat="1" ht="24.75" thickBot="1">
      <c r="A58" s="359" t="s">
        <v>1030</v>
      </c>
      <c r="B58" s="1172" t="s">
        <v>1425</v>
      </c>
      <c r="C58" s="360">
        <f ca="1">ROUND(C59+C64+C65+C66,0)</f>
        <v>0</v>
      </c>
      <c r="D58" s="1174" t="s">
        <v>1426</v>
      </c>
      <c r="E58" s="1175"/>
      <c r="F58" s="1176"/>
      <c r="I58" s="1917" t="s">
        <v>1561</v>
      </c>
      <c r="J58" s="1919" t="e">
        <f ca="1">IF(J55&lt;0.4,0.4,J55)</f>
        <v>#DIV/0!</v>
      </c>
      <c r="K58" s="1895" t="s">
        <v>1609</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ROUND(IF(项目基本情况!B11="自然人",C48*F59,C60+C61+C62),0)</f>
        <v>0</v>
      </c>
      <c r="D59" s="1177" t="s">
        <v>1431</v>
      </c>
      <c r="E59" s="1178" t="s">
        <v>1432</v>
      </c>
      <c r="F59" s="367" t="str">
        <f ca="1">IF(项目基本情况!B11="企业","",IF(INDIRECT("'数据-取费表'!c"&amp;$G$1)="住宅",5%,IF(F49*F50*F51/12/(1+'数据-取费表'!C42)&gt;20000,12%,7%)))</f>
        <v/>
      </c>
      <c r="I59" s="1917" t="s">
        <v>1564</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IF(项目基本情况!B11="自然人","——",ROUND(C48*F60/(1+'数据-取费表'!C42),0))</f>
        <v>0</v>
      </c>
      <c r="D60" s="1178" t="s">
        <v>1435</v>
      </c>
      <c r="E60" s="1164" t="s">
        <v>1423</v>
      </c>
      <c r="F60" s="376">
        <f t="shared" ref="F60:F66" si="0">F32</f>
        <v>5.6000000000000001E-2</v>
      </c>
      <c r="I60" s="1920" t="s">
        <v>1566</v>
      </c>
      <c r="J60" s="1921" t="e">
        <f ca="1">IF(OR(M47="住宅",J51&lt;L48,J56="是"),"0",ROUND(J59/(1+J52)^J53,0))</f>
        <v>#DIV/0!</v>
      </c>
      <c r="K60" s="1922" t="s">
        <v>1567</v>
      </c>
      <c r="L60" s="1921" t="e">
        <f ca="1">IF(OR(M47="住宅",L48&lt;J51),0,ROUND(L57*(L58/L59-1),0))</f>
        <v>#DIV/0!</v>
      </c>
      <c r="O60" s="1889" t="s">
        <v>1044</v>
      </c>
      <c r="P60" s="1880" t="s">
        <v>1568</v>
      </c>
      <c r="Q60" s="1881" t="e">
        <f ca="1">L58</f>
        <v>#DIV/0!</v>
      </c>
      <c r="R60" s="1881" t="s">
        <v>1569</v>
      </c>
    </row>
    <row r="61" spans="1:18" s="1837" customFormat="1" ht="13.5" thickBot="1">
      <c r="A61" s="1196" t="s">
        <v>1493</v>
      </c>
      <c r="B61" s="1164" t="s">
        <v>1494</v>
      </c>
      <c r="C61" s="24">
        <f ca="1">IF(项目基本情况!B11="自然人","——",IF(D61="按租金收入计税",ROUND(C48*F61,0),IF(D61="按房产原值计税",ROUND(C57*F61*0.7,0),INDIRECT("'数据-取费表'!Aj"&amp;$G$1))))</f>
        <v>0</v>
      </c>
      <c r="D61" s="1823" t="s">
        <v>1439</v>
      </c>
      <c r="E61" s="1164" t="s">
        <v>1495</v>
      </c>
      <c r="F61" s="366">
        <f t="shared" si="0"/>
        <v>1.2E-2</v>
      </c>
      <c r="I61" s="1923"/>
      <c r="J61" s="1923"/>
      <c r="K61" s="1923"/>
      <c r="L61" s="1923"/>
      <c r="O61" s="1889" t="s">
        <v>1045</v>
      </c>
      <c r="P61" s="1880" t="str">
        <f>K59</f>
        <v>建设期及建筑物耐用年限下的土地年期修正系数Kn</v>
      </c>
      <c r="Q61" s="1881" t="e">
        <f ca="1">L59</f>
        <v>#DIV/0!</v>
      </c>
      <c r="R61" s="1881" t="s">
        <v>1570</v>
      </c>
    </row>
    <row r="62" spans="1:18" s="1837" customFormat="1" ht="13.5" thickBot="1">
      <c r="A62" s="1196" t="s">
        <v>1496</v>
      </c>
      <c r="B62" s="1163" t="s">
        <v>1497</v>
      </c>
      <c r="C62" s="25">
        <f ca="1">IF(项目基本情况!B11="自然人","——",ROUND(F62*F63,0))</f>
        <v>0</v>
      </c>
      <c r="D62" s="1179" t="s">
        <v>1498</v>
      </c>
      <c r="E62" s="1164" t="s">
        <v>1499</v>
      </c>
      <c r="F62" s="370">
        <f t="shared" si="0"/>
        <v>18</v>
      </c>
      <c r="I62" s="1924" t="s">
        <v>1571</v>
      </c>
      <c r="J62" s="1925" t="s">
        <v>1572</v>
      </c>
      <c r="K62" s="1925" t="s">
        <v>1573</v>
      </c>
      <c r="L62" s="1925" t="s">
        <v>1574</v>
      </c>
      <c r="M62" s="1926" t="s">
        <v>1575</v>
      </c>
      <c r="O62" s="1879" t="s">
        <v>1046</v>
      </c>
      <c r="P62" s="1880" t="s">
        <v>1576</v>
      </c>
      <c r="Q62" s="1881" t="e">
        <f ca="1">Q56+Q57</f>
        <v>#DIV/0!</v>
      </c>
      <c r="R62" s="1881" t="s">
        <v>1047</v>
      </c>
    </row>
    <row r="63" spans="1:18" s="1837" customFormat="1" ht="13.5" thickBot="1">
      <c r="A63" s="371"/>
      <c r="B63" s="1170"/>
      <c r="C63" s="29"/>
      <c r="D63" s="1180"/>
      <c r="E63" s="1164" t="s">
        <v>1500</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1501</v>
      </c>
      <c r="B64" s="1164" t="s">
        <v>1502</v>
      </c>
      <c r="C64" s="24">
        <f ca="1">ROUND(C57*F64,0)</f>
        <v>0</v>
      </c>
      <c r="D64" s="1178" t="s">
        <v>1503</v>
      </c>
      <c r="E64" s="1164" t="s">
        <v>1495</v>
      </c>
      <c r="F64" s="373">
        <f t="shared" ca="1" si="0"/>
        <v>0</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ROUND(C56*F65,0)</f>
        <v>0</v>
      </c>
      <c r="D65" s="1178" t="s">
        <v>1455</v>
      </c>
      <c r="E65" s="1164" t="s">
        <v>1456</v>
      </c>
      <c r="F65" s="375">
        <f t="shared" ca="1" si="0"/>
        <v>0</v>
      </c>
      <c r="I65" s="1924" t="s">
        <v>1580</v>
      </c>
      <c r="J65" s="1925">
        <v>40</v>
      </c>
      <c r="K65" s="1925">
        <v>30</v>
      </c>
      <c r="L65" s="1925">
        <v>50</v>
      </c>
      <c r="M65" s="1927">
        <v>0.02</v>
      </c>
      <c r="O65" s="1879" t="s">
        <v>1040</v>
      </c>
      <c r="P65" s="1880" t="s">
        <v>1581</v>
      </c>
      <c r="Q65" s="1881" t="e">
        <f ca="1">C40+J29</f>
        <v>#DIV/0!</v>
      </c>
      <c r="R65" s="1881" t="s">
        <v>1530</v>
      </c>
    </row>
    <row r="66" spans="1:18" s="1837" customFormat="1" ht="16.5" thickBot="1">
      <c r="A66" s="1196" t="s">
        <v>1505</v>
      </c>
      <c r="B66" s="1164" t="s">
        <v>1440</v>
      </c>
      <c r="C66" s="24">
        <f ca="1">ROUND(C48*F66,0)</f>
        <v>0</v>
      </c>
      <c r="D66" s="1178" t="s">
        <v>1506</v>
      </c>
      <c r="E66" s="1164" t="s">
        <v>1423</v>
      </c>
      <c r="F66" s="356">
        <f t="shared" ca="1" si="0"/>
        <v>0</v>
      </c>
      <c r="O66" s="1879" t="s">
        <v>1041</v>
      </c>
      <c r="P66" s="1880" t="s">
        <v>1559</v>
      </c>
      <c r="Q66" s="1881" t="e">
        <f ca="1">L60</f>
        <v>#DIV/0!</v>
      </c>
      <c r="R66" s="1881" t="s">
        <v>1582</v>
      </c>
    </row>
    <row r="67" spans="1:18" s="1837" customFormat="1" ht="16.5" thickBot="1">
      <c r="A67" s="1171" t="s">
        <v>1031</v>
      </c>
      <c r="B67" s="1181" t="s">
        <v>1464</v>
      </c>
      <c r="C67" s="360">
        <f ca="1">C48-C58</f>
        <v>0</v>
      </c>
      <c r="D67" s="1177" t="s">
        <v>1465</v>
      </c>
      <c r="E67" s="1182"/>
      <c r="F67" s="1183"/>
      <c r="O67" s="1889" t="s">
        <v>1042</v>
      </c>
      <c r="P67" s="1880" t="s">
        <v>1563</v>
      </c>
      <c r="Q67" s="1928">
        <f ca="1">L51</f>
        <v>0</v>
      </c>
      <c r="R67" s="1881" t="s">
        <v>1583</v>
      </c>
    </row>
    <row r="68" spans="1:18" s="1837" customFormat="1" ht="16.5" thickBot="1">
      <c r="A68" s="1161" t="s">
        <v>1032</v>
      </c>
      <c r="B68" s="1162" t="s">
        <v>1486</v>
      </c>
      <c r="C68" s="345" t="e">
        <f ca="1">ROUND(C67*(1-((1+F70)/(1+F68))^F69)/(F68-F70),0)</f>
        <v>#DIV/0!</v>
      </c>
      <c r="D68" s="1179" t="s">
        <v>1470</v>
      </c>
      <c r="E68" s="1164" t="s">
        <v>1471</v>
      </c>
      <c r="F68" s="356">
        <f ca="1">F40</f>
        <v>0</v>
      </c>
      <c r="O68" s="1889" t="s">
        <v>1043</v>
      </c>
      <c r="P68" s="1929" t="s">
        <v>1584</v>
      </c>
      <c r="Q68" s="1881">
        <f ca="1">ROUND(Q69-Q70*Q71,0)</f>
        <v>0</v>
      </c>
      <c r="R68" s="1881" t="s">
        <v>1051</v>
      </c>
    </row>
    <row r="69" spans="1:18" s="1837" customFormat="1" ht="13.5" thickBot="1">
      <c r="A69" s="1165"/>
      <c r="B69" s="1166"/>
      <c r="C69" s="350"/>
      <c r="D69" s="1184" t="s">
        <v>1474</v>
      </c>
      <c r="E69" s="1164" t="s">
        <v>1475</v>
      </c>
      <c r="F69" s="378">
        <f ca="1">F41</f>
        <v>0</v>
      </c>
      <c r="O69" s="1889" t="s">
        <v>1048</v>
      </c>
      <c r="P69" s="1929" t="s">
        <v>1585</v>
      </c>
      <c r="Q69" s="1881">
        <f ca="1">C39</f>
        <v>0</v>
      </c>
      <c r="R69" s="1881" t="s">
        <v>1530</v>
      </c>
    </row>
    <row r="70" spans="1:18" s="1837" customFormat="1" ht="13.5" thickBot="1">
      <c r="A70" s="1168"/>
      <c r="B70" s="1169"/>
      <c r="C70" s="354"/>
      <c r="D70" s="1180"/>
      <c r="E70" s="1164" t="s">
        <v>1478</v>
      </c>
      <c r="F70" s="1270">
        <f ca="1">F42</f>
        <v>0</v>
      </c>
      <c r="O70" s="1889" t="s">
        <v>1049</v>
      </c>
      <c r="P70" s="1929" t="s">
        <v>1586</v>
      </c>
      <c r="Q70" s="1881">
        <f ca="1">C13</f>
        <v>0</v>
      </c>
      <c r="R70" s="1881" t="s">
        <v>1530</v>
      </c>
    </row>
    <row r="71" spans="1:18" s="1837" customFormat="1" ht="13.5" thickBot="1">
      <c r="A71" s="1185" t="s">
        <v>1033</v>
      </c>
      <c r="B71" s="1186" t="s">
        <v>1488</v>
      </c>
      <c r="C71" s="381" t="e">
        <f ca="1">ROUND(C68/F71,0)</f>
        <v>#DIV/0!</v>
      </c>
      <c r="D71" s="1187" t="s">
        <v>1489</v>
      </c>
      <c r="E71" s="1188" t="s">
        <v>1490</v>
      </c>
      <c r="F71" s="384">
        <f ca="1">F43</f>
        <v>0</v>
      </c>
      <c r="O71" s="1889" t="s">
        <v>1050</v>
      </c>
      <c r="P71" s="1929" t="s">
        <v>1587</v>
      </c>
      <c r="Q71" s="1892">
        <f ca="1">C76</f>
        <v>0</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建设期及建筑物耐用年限下的土地年期修正系数Kn</v>
      </c>
      <c r="Q74" s="1881" t="e">
        <f ca="1">L59</f>
        <v>#DIV/0!</v>
      </c>
      <c r="R74" s="1881" t="s">
        <v>1570</v>
      </c>
    </row>
    <row r="75" spans="1:18" ht="13.5" thickBot="1">
      <c r="A75" s="1837"/>
      <c r="B75" s="385" t="s">
        <v>1507</v>
      </c>
      <c r="C75" s="386">
        <f ca="1">ROUND(C13*C76,0)</f>
        <v>0</v>
      </c>
      <c r="D75" s="1837"/>
      <c r="E75" s="1837"/>
      <c r="F75" s="1837"/>
      <c r="K75" s="1863"/>
      <c r="L75" s="1837"/>
      <c r="O75" s="1879" t="s">
        <v>1046</v>
      </c>
      <c r="P75" s="1880" t="s">
        <v>1550</v>
      </c>
      <c r="Q75" s="1881" t="e">
        <f ca="1">Q65+Q66</f>
        <v>#DIV/0!</v>
      </c>
      <c r="R75" s="1881" t="s">
        <v>1047</v>
      </c>
    </row>
    <row r="76" spans="1:18">
      <c r="B76" s="387" t="s">
        <v>1508</v>
      </c>
      <c r="C76" s="388">
        <f ca="1">INDIRECT("'数据-取费表'!j"&amp;$G$1)</f>
        <v>0</v>
      </c>
      <c r="I76" s="1837"/>
      <c r="J76" s="1837"/>
      <c r="K76" s="1863"/>
      <c r="L76" s="1837"/>
    </row>
    <row r="77" spans="1:18">
      <c r="B77" s="389" t="s">
        <v>1509</v>
      </c>
      <c r="C77" s="390"/>
      <c r="I77" s="1837"/>
      <c r="J77" s="1837"/>
      <c r="K77" s="1863"/>
      <c r="L77" s="1837"/>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298" t="s">
        <v>1076</v>
      </c>
      <c r="B1" s="3299"/>
      <c r="C1" s="3300"/>
      <c r="D1" s="3301">
        <f>SUM(I10,I15,I20,I21,I23)</f>
        <v>0</v>
      </c>
      <c r="E1" s="3301"/>
      <c r="F1" s="3301"/>
      <c r="G1" s="3301"/>
      <c r="H1" s="3301"/>
      <c r="I1" s="3302"/>
    </row>
    <row r="2" spans="1:9">
      <c r="A2" s="3303" t="s">
        <v>1077</v>
      </c>
      <c r="B2" s="3304" t="s">
        <v>1078</v>
      </c>
      <c r="C2" s="3304"/>
      <c r="D2" s="1296" t="s">
        <v>1079</v>
      </c>
      <c r="E2" s="1296" t="s">
        <v>1080</v>
      </c>
      <c r="F2" s="1296" t="s">
        <v>1081</v>
      </c>
      <c r="G2" s="1296" t="s">
        <v>1082</v>
      </c>
      <c r="H2" s="1296" t="s">
        <v>1083</v>
      </c>
      <c r="I2" s="1297" t="s">
        <v>1084</v>
      </c>
    </row>
    <row r="3" spans="1:9">
      <c r="A3" s="3303"/>
      <c r="B3" s="3304" t="s">
        <v>1085</v>
      </c>
      <c r="C3" s="3304"/>
      <c r="D3" s="1298"/>
      <c r="E3" s="1296"/>
      <c r="F3" s="1299"/>
      <c r="G3" s="1299"/>
      <c r="H3" s="1300"/>
      <c r="I3" s="1301">
        <f>ROUND(D3*E3*F3*G3*H3/10000,0)</f>
        <v>0</v>
      </c>
    </row>
    <row r="4" spans="1:9">
      <c r="A4" s="3303"/>
      <c r="B4" s="3304" t="s">
        <v>1086</v>
      </c>
      <c r="C4" s="3304"/>
      <c r="D4" s="1298"/>
      <c r="E4" s="1296"/>
      <c r="F4" s="1299"/>
      <c r="G4" s="1299"/>
      <c r="H4" s="1300"/>
      <c r="I4" s="1301">
        <f t="shared" ref="I4:I9" si="0">ROUND(D4*E4*F4*G4*H4/10000,0)</f>
        <v>0</v>
      </c>
    </row>
    <row r="5" spans="1:9">
      <c r="A5" s="3303"/>
      <c r="B5" s="3304" t="s">
        <v>1087</v>
      </c>
      <c r="C5" s="3304"/>
      <c r="D5" s="1298"/>
      <c r="E5" s="1296"/>
      <c r="F5" s="1299"/>
      <c r="G5" s="1299"/>
      <c r="H5" s="1300"/>
      <c r="I5" s="1301">
        <f t="shared" si="0"/>
        <v>0</v>
      </c>
    </row>
    <row r="6" spans="1:9">
      <c r="A6" s="3303"/>
      <c r="B6" s="3304" t="s">
        <v>1088</v>
      </c>
      <c r="C6" s="3304"/>
      <c r="D6" s="1298"/>
      <c r="E6" s="1296"/>
      <c r="F6" s="1299"/>
      <c r="G6" s="1299"/>
      <c r="H6" s="1300"/>
      <c r="I6" s="1301">
        <f t="shared" si="0"/>
        <v>0</v>
      </c>
    </row>
    <row r="7" spans="1:9">
      <c r="A7" s="3303"/>
      <c r="B7" s="3304" t="s">
        <v>1089</v>
      </c>
      <c r="C7" s="3304"/>
      <c r="D7" s="1298"/>
      <c r="E7" s="1296"/>
      <c r="F7" s="1299"/>
      <c r="G7" s="1299"/>
      <c r="H7" s="1300"/>
      <c r="I7" s="1301">
        <f t="shared" si="0"/>
        <v>0</v>
      </c>
    </row>
    <row r="8" spans="1:9">
      <c r="A8" s="3303"/>
      <c r="B8" s="3304" t="s">
        <v>1090</v>
      </c>
      <c r="C8" s="3304"/>
      <c r="D8" s="1298"/>
      <c r="E8" s="1296"/>
      <c r="F8" s="1299"/>
      <c r="G8" s="1299"/>
      <c r="H8" s="1300"/>
      <c r="I8" s="1301">
        <f t="shared" si="0"/>
        <v>0</v>
      </c>
    </row>
    <row r="9" spans="1:9">
      <c r="A9" s="3303"/>
      <c r="B9" s="3304" t="s">
        <v>1091</v>
      </c>
      <c r="C9" s="3304"/>
      <c r="D9" s="1298"/>
      <c r="E9" s="1296"/>
      <c r="F9" s="1299"/>
      <c r="G9" s="1299"/>
      <c r="H9" s="1300"/>
      <c r="I9" s="1301">
        <f t="shared" si="0"/>
        <v>0</v>
      </c>
    </row>
    <row r="10" spans="1:9">
      <c r="A10" s="3303"/>
      <c r="B10" s="3305" t="s">
        <v>1092</v>
      </c>
      <c r="C10" s="3305"/>
      <c r="D10" s="1302"/>
      <c r="E10" s="1302" t="e">
        <f>ROUND(D1*10000/D10/H9,0)</f>
        <v>#DIV/0!</v>
      </c>
      <c r="F10" s="1303"/>
      <c r="G10" s="1303"/>
      <c r="H10" s="1304"/>
      <c r="I10" s="1305">
        <f>SUM(I3:I9)</f>
        <v>0</v>
      </c>
    </row>
    <row r="11" spans="1:9" ht="14.25">
      <c r="A11" s="3303" t="s">
        <v>1093</v>
      </c>
      <c r="B11" s="3304" t="s">
        <v>1094</v>
      </c>
      <c r="C11" s="3304"/>
      <c r="D11" s="1298" t="s">
        <v>1095</v>
      </c>
      <c r="E11" s="1298" t="s">
        <v>1096</v>
      </c>
      <c r="F11" s="1299" t="s">
        <v>1097</v>
      </c>
      <c r="G11" s="1299" t="s">
        <v>1083</v>
      </c>
      <c r="H11" s="1306" t="s">
        <v>1098</v>
      </c>
      <c r="I11" s="1297" t="s">
        <v>1084</v>
      </c>
    </row>
    <row r="12" spans="1:9">
      <c r="A12" s="3303"/>
      <c r="B12" s="3304" t="s">
        <v>1099</v>
      </c>
      <c r="C12" s="3304"/>
      <c r="D12" s="1298"/>
      <c r="E12" s="1298"/>
      <c r="F12" s="1299"/>
      <c r="G12" s="1300"/>
      <c r="H12" s="1307"/>
      <c r="I12" s="1297">
        <f>ROUND(D12*E12*F12*G12/10000,0)</f>
        <v>0</v>
      </c>
    </row>
    <row r="13" spans="1:9">
      <c r="A13" s="3303"/>
      <c r="B13" s="3304" t="s">
        <v>1100</v>
      </c>
      <c r="C13" s="3304"/>
      <c r="D13" s="1298"/>
      <c r="E13" s="1298"/>
      <c r="F13" s="1299"/>
      <c r="G13" s="1300"/>
      <c r="H13" s="1307"/>
      <c r="I13" s="1297">
        <f>ROUND(D13*E13*F13*G13/10000,0)</f>
        <v>0</v>
      </c>
    </row>
    <row r="14" spans="1:9">
      <c r="A14" s="3303"/>
      <c r="B14" s="3304" t="s">
        <v>1101</v>
      </c>
      <c r="C14" s="3304"/>
      <c r="D14" s="1298"/>
      <c r="E14" s="1298"/>
      <c r="F14" s="1299"/>
      <c r="G14" s="1300"/>
      <c r="H14" s="1307"/>
      <c r="I14" s="1297">
        <f>ROUND(D14*E14*F14*G14/10000,0)</f>
        <v>0</v>
      </c>
    </row>
    <row r="15" spans="1:9">
      <c r="A15" s="3303"/>
      <c r="B15" s="3305" t="s">
        <v>1092</v>
      </c>
      <c r="C15" s="3305"/>
      <c r="D15" s="1302"/>
      <c r="E15" s="1302">
        <f>SUM(E12:E14)</f>
        <v>0</v>
      </c>
      <c r="F15" s="1303"/>
      <c r="G15" s="1300"/>
      <c r="H15" s="1307"/>
      <c r="I15" s="1308">
        <f>SUM(I12:I14)</f>
        <v>0</v>
      </c>
    </row>
    <row r="16" spans="1:9" ht="24">
      <c r="A16" s="3303" t="s">
        <v>1102</v>
      </c>
      <c r="B16" s="3304" t="s">
        <v>1103</v>
      </c>
      <c r="C16" s="3304"/>
      <c r="D16" s="1298" t="s">
        <v>1079</v>
      </c>
      <c r="E16" s="1309" t="s">
        <v>1104</v>
      </c>
      <c r="F16" s="1299" t="s">
        <v>1105</v>
      </c>
      <c r="G16" s="1300" t="s">
        <v>1083</v>
      </c>
      <c r="H16" s="1306" t="s">
        <v>1098</v>
      </c>
      <c r="I16" s="1297" t="s">
        <v>1084</v>
      </c>
    </row>
    <row r="17" spans="1:9" ht="14.25">
      <c r="A17" s="3303"/>
      <c r="B17" s="3304" t="s">
        <v>1106</v>
      </c>
      <c r="C17" s="3304"/>
      <c r="D17" s="1298"/>
      <c r="E17" s="1298"/>
      <c r="F17" s="1299"/>
      <c r="G17" s="1300"/>
      <c r="H17" s="1310"/>
      <c r="I17" s="1311">
        <f>ROUND(D17*E17*F17*G17/10000,0)</f>
        <v>0</v>
      </c>
    </row>
    <row r="18" spans="1:9" ht="14.25">
      <c r="A18" s="3303"/>
      <c r="B18" s="3304" t="s">
        <v>1107</v>
      </c>
      <c r="C18" s="3304"/>
      <c r="D18" s="1298"/>
      <c r="E18" s="1298"/>
      <c r="F18" s="1299"/>
      <c r="G18" s="1300"/>
      <c r="H18" s="1310"/>
      <c r="I18" s="1311">
        <f>ROUND(D18*E18*F18*G18/10000,0)</f>
        <v>0</v>
      </c>
    </row>
    <row r="19" spans="1:9" ht="14.25">
      <c r="A19" s="3303"/>
      <c r="B19" s="3304" t="s">
        <v>1108</v>
      </c>
      <c r="C19" s="3304"/>
      <c r="D19" s="1298"/>
      <c r="E19" s="1298"/>
      <c r="F19" s="1299"/>
      <c r="G19" s="1300"/>
      <c r="H19" s="1310"/>
      <c r="I19" s="1311">
        <f>ROUND(D19*E19*F19*G19/10000,0)</f>
        <v>0</v>
      </c>
    </row>
    <row r="20" spans="1:9">
      <c r="A20" s="3303"/>
      <c r="B20" s="3305" t="s">
        <v>1092</v>
      </c>
      <c r="C20" s="3305"/>
      <c r="D20" s="1302">
        <f>SUM(D17:D19)</f>
        <v>0</v>
      </c>
      <c r="E20" s="1302"/>
      <c r="F20" s="1303"/>
      <c r="G20" s="1300"/>
      <c r="H20" s="1307"/>
      <c r="I20" s="1308">
        <f>SUM(I17:I19)</f>
        <v>0</v>
      </c>
    </row>
    <row r="21" spans="1:9">
      <c r="A21" s="3303" t="s">
        <v>1109</v>
      </c>
      <c r="B21" s="3307"/>
      <c r="C21" s="3307"/>
      <c r="D21" s="3307"/>
      <c r="E21" s="3307"/>
      <c r="F21" s="3307"/>
      <c r="G21" s="3307"/>
      <c r="H21" s="1760">
        <v>0.1</v>
      </c>
      <c r="I21" s="1305">
        <f>ROUND(I10*H21,0)</f>
        <v>0</v>
      </c>
    </row>
    <row r="22" spans="1:9" ht="14.25">
      <c r="A22" s="3308" t="s">
        <v>1110</v>
      </c>
      <c r="B22" s="3309"/>
      <c r="C22" s="3310"/>
      <c r="D22" s="1312" t="s">
        <v>1111</v>
      </c>
      <c r="E22" s="1312" t="s">
        <v>1112</v>
      </c>
      <c r="F22" s="1313" t="s">
        <v>1113</v>
      </c>
      <c r="G22" s="1313" t="s">
        <v>1114</v>
      </c>
      <c r="H22" s="1306" t="s">
        <v>1115</v>
      </c>
      <c r="I22" s="1297" t="s">
        <v>1116</v>
      </c>
    </row>
    <row r="23" spans="1:9" ht="14.25" thickBot="1">
      <c r="A23" s="3311"/>
      <c r="B23" s="3312"/>
      <c r="C23" s="3313"/>
      <c r="D23" s="1314"/>
      <c r="E23" s="1314"/>
      <c r="F23" s="1314"/>
      <c r="G23" s="1315"/>
      <c r="H23" s="1316"/>
      <c r="I23" s="1317">
        <f>ROUND(E23*D23*F23*(1-G23)/10000,0)</f>
        <v>0</v>
      </c>
    </row>
    <row r="26" spans="1:9">
      <c r="A26" s="1318" t="s">
        <v>1117</v>
      </c>
      <c r="B26" s="1318"/>
      <c r="C26" s="1318"/>
      <c r="D26" s="1318"/>
      <c r="E26" s="3314">
        <f>C27-C30-C31-C32</f>
        <v>0</v>
      </c>
      <c r="F26" s="3314"/>
      <c r="G26" s="3314"/>
      <c r="H26" s="1732" t="s">
        <v>1340</v>
      </c>
    </row>
    <row r="27" spans="1:9">
      <c r="A27" s="1319">
        <v>1</v>
      </c>
      <c r="B27" s="1320" t="s">
        <v>1118</v>
      </c>
      <c r="C27" s="1320">
        <f>C28+C29</f>
        <v>0</v>
      </c>
      <c r="D27" s="1320"/>
      <c r="E27" s="3315"/>
      <c r="F27" s="3315"/>
      <c r="G27" s="3315"/>
    </row>
    <row r="28" spans="1:9">
      <c r="A28" s="1321" t="s">
        <v>1119</v>
      </c>
      <c r="B28" s="1320" t="s">
        <v>1120</v>
      </c>
      <c r="C28" s="1320"/>
      <c r="D28" s="1320"/>
      <c r="E28" s="3315"/>
      <c r="F28" s="3315"/>
      <c r="G28" s="3315"/>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06"/>
      <c r="F32" s="3306"/>
      <c r="G32" s="3306"/>
    </row>
    <row r="33" spans="1:7" hidden="1">
      <c r="A33" s="3316" t="s">
        <v>1129</v>
      </c>
      <c r="B33" s="3317"/>
      <c r="C33" s="3317"/>
      <c r="D33" s="3318"/>
      <c r="E33" s="3314"/>
      <c r="F33" s="3314"/>
      <c r="G33" s="3314"/>
    </row>
    <row r="34" spans="1:7" hidden="1">
      <c r="A34" s="1323">
        <v>1</v>
      </c>
      <c r="B34" s="1320" t="s">
        <v>1130</v>
      </c>
      <c r="C34" s="1320"/>
      <c r="D34" s="1320"/>
      <c r="E34" s="3315"/>
      <c r="F34" s="3315"/>
      <c r="G34" s="3315"/>
    </row>
    <row r="35" spans="1:7" hidden="1">
      <c r="A35" s="1323">
        <v>2</v>
      </c>
      <c r="B35" s="1320" t="s">
        <v>1131</v>
      </c>
      <c r="C35" s="1320"/>
      <c r="D35" s="1320"/>
      <c r="E35" s="3315"/>
      <c r="F35" s="3315"/>
      <c r="G35" s="3315"/>
    </row>
    <row r="36" spans="1:7" hidden="1">
      <c r="A36" s="1323">
        <v>3</v>
      </c>
      <c r="B36" s="1320" t="s">
        <v>1132</v>
      </c>
      <c r="C36" s="1320"/>
      <c r="D36" s="1320"/>
      <c r="E36" s="3315"/>
      <c r="F36" s="3315"/>
      <c r="G36" s="3315"/>
    </row>
    <row r="37" spans="1:7" hidden="1">
      <c r="A37" s="1323">
        <v>4</v>
      </c>
      <c r="B37" s="1320" t="s">
        <v>1133</v>
      </c>
      <c r="C37" s="1320"/>
      <c r="D37" s="1320"/>
      <c r="E37" s="3315"/>
      <c r="F37" s="3315"/>
      <c r="G37" s="3315"/>
    </row>
    <row r="38" spans="1:7" hidden="1">
      <c r="A38" s="3316" t="s">
        <v>1134</v>
      </c>
      <c r="B38" s="3317"/>
      <c r="C38" s="3317"/>
      <c r="D38" s="3318"/>
      <c r="E38" s="3314"/>
      <c r="F38" s="3314"/>
      <c r="G38" s="33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0" customWidth="1"/>
    <col min="2" max="16384" width="8.875" style="1940"/>
  </cols>
  <sheetData>
    <row r="1" spans="1:1" ht="23.25">
      <c r="A1" s="1939" t="s">
        <v>1612</v>
      </c>
    </row>
    <row r="2" spans="1:1">
      <c r="A2" s="1941"/>
    </row>
    <row r="3" spans="1:1" ht="18">
      <c r="A3" s="1942" t="str">
        <f>项目基本情况!B5&amp;"："</f>
        <v>昆仑信托有限责任公司：</v>
      </c>
    </row>
    <row r="4" spans="1:1" ht="36">
      <c r="A4" s="1943" t="str">
        <f>"受贵公司委托，我公司对"&amp;项目基本情况!S1&amp;"进行了预评估。"</f>
        <v>受贵公司委托，我公司对北京市海淀区西四环北路160号房地产抵押价值进行了预评估。</v>
      </c>
    </row>
    <row r="5" spans="1:1" ht="18.75">
      <c r="A5" s="1944" t="s">
        <v>1613</v>
      </c>
    </row>
    <row r="6" spans="1:1" ht="18.75">
      <c r="A6" s="1945" t="s">
        <v>1614</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6" t="s">
        <v>1615</v>
      </c>
    </row>
    <row r="9" spans="1:1" ht="18.75">
      <c r="A9" s="1945" t="s">
        <v>1616</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6" t="s">
        <v>1617</v>
      </c>
    </row>
    <row r="12" spans="1:1" ht="18.75">
      <c r="A12" s="1944" t="s">
        <v>1618</v>
      </c>
    </row>
    <row r="13" spans="1:1" ht="38.25" customHeight="1">
      <c r="A13" s="1947"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8" t="s">
        <v>1619</v>
      </c>
    </row>
    <row r="15" spans="1:1" ht="18">
      <c r="A15" s="1949" t="str">
        <f>TEXT(项目基本情况!D3,"yyyy年m月d日;;")&amp;IF(项目基本情况!D3=项目基本情况!B3,"（评估专业人员实地查勘之日）","")</f>
        <v>2018年3月26日（评估专业人员实地查勘之日）</v>
      </c>
    </row>
    <row r="16" spans="1:1" ht="18.75">
      <c r="A16" s="1948" t="s">
        <v>1620</v>
      </c>
    </row>
    <row r="17" spans="1:1" ht="75">
      <c r="A17" s="1943" t="s">
        <v>1621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1610</v>
      </c>
    </row>
    <row r="24" spans="1:1" ht="18">
      <c r="A24" s="1950" t="str">
        <f>"本次评估采用的主估价方法为"&amp;结果表!K4&amp;"和"&amp;结果表!L4&amp;"。"</f>
        <v>本次评估采用的主估价方法为比较法和收益法。</v>
      </c>
    </row>
    <row r="25" spans="1:1" ht="18">
      <c r="A25" s="1950"/>
    </row>
    <row r="26" spans="1:1" ht="18.75">
      <c r="A26" s="1951" t="s">
        <v>1611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7"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575" t="s">
        <v>2517</v>
      </c>
      <c r="C1" s="1629" t="s">
        <v>2518</v>
      </c>
      <c r="D1" s="1616"/>
      <c r="E1" s="2576"/>
      <c r="F1" s="2577" t="s">
        <v>2519</v>
      </c>
      <c r="G1" s="1626" t="s">
        <v>2520</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3" t="e">
        <f ca="1">IF(C2="——",ROUND(C49*D3/10000,0),ROUND(C49*D3/10000,0)-D2)</f>
        <v>#DIV/0!</v>
      </c>
      <c r="C2" s="2579"/>
      <c r="D2" s="1360" t="e">
        <f ca="1">SUMIF(INDIRECT("'"&amp;F2&amp;"'"&amp;"!A:A"),"承租人权益价值",INDIRECT("'"&amp;F2&amp;"'"&amp;"!c:c"))</f>
        <v>#REF!</v>
      </c>
      <c r="E2" s="2580" t="s">
        <v>2521</v>
      </c>
      <c r="F2" s="2581"/>
      <c r="G2" s="1119"/>
      <c r="H2" s="1119"/>
      <c r="I2" s="1119"/>
      <c r="J2" s="1119"/>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2522</v>
      </c>
      <c r="D3" s="398">
        <f>IF(D1="",'数据-汇总表'!E3,SUMIF('数据-汇总表'!$C19:$C33,D1,'数据-汇总表'!$E19:$E33))</f>
        <v>11628.210000000001</v>
      </c>
      <c r="E3" s="1119"/>
      <c r="F3" s="2588"/>
      <c r="G3" s="1119"/>
      <c r="H3" s="1119"/>
      <c r="I3" s="1119"/>
      <c r="J3" s="1119"/>
      <c r="K3" s="2582"/>
      <c r="L3" s="2583"/>
      <c r="M3" s="2584"/>
      <c r="N3" s="2584"/>
      <c r="O3" s="2584"/>
      <c r="P3" s="2585"/>
      <c r="Q3" s="2586"/>
      <c r="R3" s="2586"/>
      <c r="S3" s="2586"/>
      <c r="T3" s="2586"/>
      <c r="U3" s="2586"/>
      <c r="V3" s="2586"/>
      <c r="W3" s="2586"/>
      <c r="X3" s="2586"/>
      <c r="Y3" s="2586"/>
      <c r="Z3" s="2586"/>
      <c r="AA3" s="2586"/>
      <c r="AB3" s="2586"/>
      <c r="AC3" s="1277"/>
    </row>
    <row r="4" spans="1:29" ht="15">
      <c r="A4" s="400" t="s">
        <v>2523</v>
      </c>
      <c r="B4" s="401"/>
      <c r="C4" s="3246" t="s">
        <v>2524</v>
      </c>
      <c r="D4" s="3247"/>
      <c r="E4" s="3248" t="s">
        <v>2525</v>
      </c>
      <c r="F4" s="3249"/>
      <c r="G4" s="3246" t="s">
        <v>2526</v>
      </c>
      <c r="H4" s="3247"/>
      <c r="I4" s="3246" t="s">
        <v>2527</v>
      </c>
      <c r="J4" s="3247"/>
      <c r="K4" s="2589" t="s">
        <v>2528</v>
      </c>
      <c r="L4" s="1125"/>
      <c r="M4" s="1126"/>
      <c r="N4" s="1126"/>
      <c r="O4" s="1126"/>
      <c r="P4" s="3282" t="s">
        <v>2529</v>
      </c>
      <c r="Q4" s="3283"/>
      <c r="R4" s="3277" t="s">
        <v>2525</v>
      </c>
      <c r="S4" s="3278"/>
      <c r="T4" s="3277" t="s">
        <v>2526</v>
      </c>
      <c r="U4" s="3278"/>
      <c r="V4" s="3259" t="s">
        <v>2527</v>
      </c>
      <c r="W4" s="3259"/>
      <c r="X4" s="1808"/>
      <c r="Y4" s="3277" t="s">
        <v>2529</v>
      </c>
      <c r="Z4" s="3278"/>
      <c r="AA4" s="3276" t="s">
        <v>2525</v>
      </c>
      <c r="AB4" s="3276" t="s">
        <v>2526</v>
      </c>
      <c r="AC4" s="3276" t="s">
        <v>2527</v>
      </c>
    </row>
    <row r="5" spans="1:29" ht="15">
      <c r="A5" s="403"/>
      <c r="B5" s="404"/>
      <c r="C5" s="3234" t="s">
        <v>2530</v>
      </c>
      <c r="D5" s="3235"/>
      <c r="E5" s="3319" t="s">
        <v>2531</v>
      </c>
      <c r="F5" s="3233"/>
      <c r="G5" s="3234" t="s">
        <v>2532</v>
      </c>
      <c r="H5" s="3235"/>
      <c r="I5" s="3234" t="s">
        <v>2533</v>
      </c>
      <c r="J5" s="3235"/>
      <c r="K5" s="2590"/>
      <c r="L5" s="1125"/>
      <c r="M5" s="1126"/>
      <c r="N5" s="1126"/>
      <c r="O5" s="1126"/>
      <c r="P5" s="3284"/>
      <c r="Q5" s="3253"/>
      <c r="R5" s="3230"/>
      <c r="S5" s="3231"/>
      <c r="T5" s="3230"/>
      <c r="U5" s="3231"/>
      <c r="V5" s="3259"/>
      <c r="W5" s="3259"/>
      <c r="X5" s="1808"/>
      <c r="Y5" s="3230"/>
      <c r="Z5" s="3231"/>
      <c r="AA5" s="3224"/>
      <c r="AB5" s="3224"/>
      <c r="AC5" s="3224"/>
    </row>
    <row r="6" spans="1:29" ht="15.75" thickBot="1">
      <c r="A6" s="405"/>
      <c r="B6" s="406"/>
      <c r="C6" s="3236" t="s">
        <v>2534</v>
      </c>
      <c r="D6" s="3237"/>
      <c r="E6" s="3279" t="s">
        <v>2534</v>
      </c>
      <c r="F6" s="3240"/>
      <c r="G6" s="3236" t="s">
        <v>2534</v>
      </c>
      <c r="H6" s="3237"/>
      <c r="I6" s="3236" t="s">
        <v>2534</v>
      </c>
      <c r="J6" s="3237"/>
      <c r="K6" s="2590" t="s">
        <v>2535</v>
      </c>
      <c r="L6" s="1125"/>
      <c r="M6" s="1126"/>
      <c r="N6" s="1126"/>
      <c r="O6" s="1126"/>
      <c r="P6" s="3285"/>
      <c r="Q6" s="3255"/>
      <c r="R6" s="3230"/>
      <c r="S6" s="3231"/>
      <c r="T6" s="3256"/>
      <c r="U6" s="3257"/>
      <c r="V6" s="3259"/>
      <c r="W6" s="3259"/>
      <c r="X6" s="1808"/>
      <c r="Y6" s="3256"/>
      <c r="Z6" s="3257"/>
      <c r="AA6" s="3225"/>
      <c r="AB6" s="3225"/>
      <c r="AC6" s="3225"/>
    </row>
    <row r="7" spans="1:29" s="117" customFormat="1" ht="15.75" thickBot="1">
      <c r="A7" s="407" t="s">
        <v>2536</v>
      </c>
      <c r="B7" s="408"/>
      <c r="C7" s="409">
        <f>'数据-取费表'!B2</f>
        <v>43185</v>
      </c>
      <c r="D7" s="410">
        <v>100</v>
      </c>
      <c r="E7" s="411"/>
      <c r="F7" s="412">
        <f>SUMIF(58:58,YEAR(E7)&amp;"-"&amp;MONTH(E7),59:59)</f>
        <v>0</v>
      </c>
      <c r="G7" s="411"/>
      <c r="H7" s="410">
        <f>SUMIF(58:58,YEAR(G7)&amp;"-"&amp;MONTH(G7),59:59)</f>
        <v>0</v>
      </c>
      <c r="I7" s="411"/>
      <c r="J7" s="410">
        <f>SUMIF(58:58,YEAR(I7)&amp;"-"&amp;MONTH(I7),59:59)</f>
        <v>0</v>
      </c>
      <c r="K7" s="2591"/>
      <c r="L7" s="1127"/>
      <c r="M7" s="1128"/>
      <c r="N7" s="1128"/>
      <c r="O7" s="1128"/>
      <c r="P7" s="3226" t="s">
        <v>2537</v>
      </c>
      <c r="Q7" s="3261"/>
      <c r="R7" s="767" t="s">
        <v>23</v>
      </c>
      <c r="S7" s="768">
        <f t="shared" ref="S7:S15" si="0">F7</f>
        <v>0</v>
      </c>
      <c r="T7" s="767" t="s">
        <v>23</v>
      </c>
      <c r="U7" s="768">
        <f t="shared" ref="U7:U15" si="1">H7</f>
        <v>0</v>
      </c>
      <c r="V7" s="767" t="s">
        <v>23</v>
      </c>
      <c r="W7" s="768">
        <f t="shared" ref="W7:W15" si="2">J7</f>
        <v>0</v>
      </c>
      <c r="X7" s="769"/>
      <c r="Y7" s="3226" t="s">
        <v>2537</v>
      </c>
      <c r="Z7" s="3227"/>
      <c r="AA7" s="770" t="e">
        <f>D7/F7</f>
        <v>#DIV/0!</v>
      </c>
      <c r="AB7" s="770" t="e">
        <f>D7/H7</f>
        <v>#DIV/0!</v>
      </c>
      <c r="AC7" s="770" t="e">
        <f>D7/J7</f>
        <v>#DIV/0!</v>
      </c>
    </row>
    <row r="8" spans="1:29" s="117" customFormat="1" ht="15.75" thickBot="1">
      <c r="A8" s="407" t="s">
        <v>2538</v>
      </c>
      <c r="B8" s="408"/>
      <c r="C8" s="413" t="s">
        <v>2539</v>
      </c>
      <c r="D8" s="410">
        <v>100</v>
      </c>
      <c r="E8" s="2592"/>
      <c r="F8" s="412">
        <f>SUMIF(61:61,E8,62:62)-SUMIF(61:61,C8,62:62)+100</f>
        <v>0</v>
      </c>
      <c r="G8" s="413"/>
      <c r="H8" s="410">
        <f>SUMIF(61:61,G8,62:62)-SUMIF(61:61,C8,62:62)+100</f>
        <v>0</v>
      </c>
      <c r="I8" s="2592"/>
      <c r="J8" s="410">
        <f>SUMIF(61:61,I8,62:62)-SUMIF(61:61,C8,62:62)+100</f>
        <v>0</v>
      </c>
      <c r="K8" s="2591"/>
      <c r="L8" s="1127"/>
      <c r="M8" s="1128"/>
      <c r="N8" s="1128"/>
      <c r="O8" s="1128"/>
      <c r="P8" s="3226" t="s">
        <v>2540</v>
      </c>
      <c r="Q8" s="3227"/>
      <c r="R8" s="767" t="s">
        <v>23</v>
      </c>
      <c r="S8" s="768">
        <f t="shared" si="0"/>
        <v>0</v>
      </c>
      <c r="T8" s="767" t="s">
        <v>23</v>
      </c>
      <c r="U8" s="768">
        <f t="shared" si="1"/>
        <v>0</v>
      </c>
      <c r="V8" s="767" t="s">
        <v>23</v>
      </c>
      <c r="W8" s="768">
        <f t="shared" si="2"/>
        <v>0</v>
      </c>
      <c r="X8" s="769"/>
      <c r="Y8" s="3226" t="s">
        <v>2540</v>
      </c>
      <c r="Z8" s="3227"/>
      <c r="AA8" s="770" t="e">
        <f t="shared" ref="AA8:AA19" si="3">D8/F8</f>
        <v>#DIV/0!</v>
      </c>
      <c r="AB8" s="770" t="e">
        <f t="shared" ref="AB8:AB19" si="4">D8/H8</f>
        <v>#DIV/0!</v>
      </c>
      <c r="AC8" s="770"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91"/>
      <c r="L9" s="1127"/>
      <c r="M9" s="1128"/>
      <c r="N9" s="1128"/>
      <c r="O9" s="1128"/>
      <c r="P9" s="3242"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770">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30"/>
      <c r="M10" s="1131"/>
      <c r="N10" s="1131"/>
      <c r="O10" s="1131"/>
      <c r="P10" s="3242"/>
      <c r="Q10" s="1790" t="str">
        <f t="shared" si="6"/>
        <v>土地使用年限（年）</v>
      </c>
      <c r="R10" s="767" t="s">
        <v>17</v>
      </c>
      <c r="S10" s="768">
        <f t="shared" si="0"/>
        <v>100</v>
      </c>
      <c r="T10" s="767" t="s">
        <v>17</v>
      </c>
      <c r="U10" s="768">
        <f t="shared" si="1"/>
        <v>100</v>
      </c>
      <c r="V10" s="767" t="s">
        <v>17</v>
      </c>
      <c r="W10" s="768">
        <f t="shared" si="2"/>
        <v>100</v>
      </c>
      <c r="X10" s="769"/>
      <c r="Y10" s="3100"/>
      <c r="Z10" s="55" t="str">
        <f t="shared" si="7"/>
        <v>土地使用年限（年）</v>
      </c>
      <c r="AA10" s="770">
        <f t="shared" si="3"/>
        <v>1</v>
      </c>
      <c r="AB10" s="770">
        <f t="shared" si="4"/>
        <v>1</v>
      </c>
      <c r="AC10" s="770">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3"/>
      <c r="M11" s="1126"/>
      <c r="N11" s="1126"/>
      <c r="O11" s="1126"/>
      <c r="P11" s="3242"/>
      <c r="Q11" s="1790" t="str">
        <f t="shared" si="6"/>
        <v>容积率</v>
      </c>
      <c r="R11" s="767" t="s">
        <v>21</v>
      </c>
      <c r="S11" s="768" t="e">
        <f t="shared" si="0"/>
        <v>#N/A</v>
      </c>
      <c r="T11" s="767" t="s">
        <v>21</v>
      </c>
      <c r="U11" s="768" t="e">
        <f t="shared" si="1"/>
        <v>#N/A</v>
      </c>
      <c r="V11" s="767" t="s">
        <v>21</v>
      </c>
      <c r="W11" s="768" t="e">
        <f t="shared" si="2"/>
        <v>#N/A</v>
      </c>
      <c r="X11" s="769"/>
      <c r="Y11" s="3100"/>
      <c r="Z11" s="55" t="str">
        <f t="shared" si="7"/>
        <v>容积率</v>
      </c>
      <c r="AA11" s="770" t="e">
        <f t="shared" si="3"/>
        <v>#N/A</v>
      </c>
      <c r="AB11" s="770" t="e">
        <f t="shared" si="4"/>
        <v>#N/A</v>
      </c>
      <c r="AC11" s="770" t="e">
        <f t="shared" si="5"/>
        <v>#N/A</v>
      </c>
    </row>
    <row r="12" spans="1:29" s="117" customFormat="1" ht="15">
      <c r="A12" s="430"/>
      <c r="B12" s="2593">
        <v>111</v>
      </c>
      <c r="C12" s="431"/>
      <c r="D12" s="432">
        <v>100</v>
      </c>
      <c r="E12" s="431"/>
      <c r="F12" s="424">
        <f>SUMIF(70:70,E12,71:71)-SUMIF(70:70,C12,71:71)+100</f>
        <v>100</v>
      </c>
      <c r="G12" s="431"/>
      <c r="H12" s="136">
        <f>SUMIF(70:70,G12,71:71)-SUMIF(70:70,C12,71:71)+100</f>
        <v>100</v>
      </c>
      <c r="I12" s="431"/>
      <c r="J12" s="136">
        <f>SUMIF(70:70,I12,71:71)-SUMIF(70:70,C12,71:71)+100</f>
        <v>100</v>
      </c>
      <c r="K12" s="2594"/>
      <c r="L12" s="1127"/>
      <c r="M12" s="1128"/>
      <c r="N12" s="1128"/>
      <c r="O12" s="1128"/>
      <c r="P12" s="3242"/>
      <c r="Q12" s="1790">
        <f t="shared" si="6"/>
        <v>111</v>
      </c>
      <c r="R12" s="767" t="s">
        <v>21</v>
      </c>
      <c r="S12" s="768">
        <f t="shared" si="0"/>
        <v>100</v>
      </c>
      <c r="T12" s="767" t="s">
        <v>21</v>
      </c>
      <c r="U12" s="768">
        <f t="shared" si="1"/>
        <v>100</v>
      </c>
      <c r="V12" s="767" t="s">
        <v>21</v>
      </c>
      <c r="W12" s="768">
        <f t="shared" si="2"/>
        <v>100</v>
      </c>
      <c r="X12" s="769"/>
      <c r="Y12" s="3100"/>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5"/>
      <c r="M13" s="1126"/>
      <c r="N13" s="1126"/>
      <c r="O13" s="1126"/>
      <c r="P13" s="3242"/>
      <c r="Q13" s="1790">
        <f t="shared" si="6"/>
        <v>111</v>
      </c>
      <c r="R13" s="767" t="s">
        <v>21</v>
      </c>
      <c r="S13" s="768">
        <f t="shared" si="0"/>
        <v>100</v>
      </c>
      <c r="T13" s="767" t="s">
        <v>21</v>
      </c>
      <c r="U13" s="768">
        <f t="shared" si="1"/>
        <v>100</v>
      </c>
      <c r="V13" s="767" t="s">
        <v>21</v>
      </c>
      <c r="W13" s="768">
        <f t="shared" si="2"/>
        <v>100</v>
      </c>
      <c r="X13" s="769"/>
      <c r="Y13" s="3100"/>
      <c r="Z13" s="5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5"/>
      <c r="M14" s="1126"/>
      <c r="N14" s="1126"/>
      <c r="O14" s="1126"/>
      <c r="P14" s="3242"/>
      <c r="Q14" s="1790">
        <f t="shared" si="6"/>
        <v>111</v>
      </c>
      <c r="R14" s="767" t="s">
        <v>21</v>
      </c>
      <c r="S14" s="768">
        <f t="shared" si="0"/>
        <v>100</v>
      </c>
      <c r="T14" s="767" t="s">
        <v>21</v>
      </c>
      <c r="U14" s="768">
        <f t="shared" si="1"/>
        <v>100</v>
      </c>
      <c r="V14" s="767" t="s">
        <v>21</v>
      </c>
      <c r="W14" s="768">
        <f t="shared" si="2"/>
        <v>100</v>
      </c>
      <c r="X14" s="769"/>
      <c r="Y14" s="3100"/>
      <c r="Z14" s="55">
        <f t="shared" si="7"/>
        <v>111</v>
      </c>
      <c r="AA14" s="770">
        <f t="shared" si="3"/>
        <v>1</v>
      </c>
      <c r="AB14" s="770">
        <f t="shared" si="4"/>
        <v>1</v>
      </c>
      <c r="AC14" s="770">
        <f t="shared" si="5"/>
        <v>1</v>
      </c>
    </row>
    <row r="15" spans="1:29" ht="15">
      <c r="A15" s="439" t="s">
        <v>2547</v>
      </c>
      <c r="B15" s="69" t="s">
        <v>2082</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62" t="s">
        <v>2548</v>
      </c>
      <c r="Q15" s="1805" t="str">
        <f t="shared" si="6"/>
        <v>居住社区成熟度</v>
      </c>
      <c r="R15" s="771" t="s">
        <v>21</v>
      </c>
      <c r="S15" s="772">
        <f t="shared" si="0"/>
        <v>100</v>
      </c>
      <c r="T15" s="771" t="s">
        <v>21</v>
      </c>
      <c r="U15" s="772">
        <f t="shared" si="1"/>
        <v>100</v>
      </c>
      <c r="V15" s="771" t="s">
        <v>21</v>
      </c>
      <c r="W15" s="772">
        <f t="shared" si="2"/>
        <v>100</v>
      </c>
      <c r="X15" s="1808"/>
      <c r="Y15" s="3264" t="s">
        <v>2548</v>
      </c>
      <c r="Z15" s="1809" t="str">
        <f t="shared" si="7"/>
        <v>居住社区成熟度</v>
      </c>
      <c r="AA15" s="1806">
        <f t="shared" si="3"/>
        <v>1</v>
      </c>
      <c r="AB15" s="1806">
        <f t="shared" si="4"/>
        <v>1</v>
      </c>
      <c r="AC15" s="1806">
        <f t="shared" si="5"/>
        <v>1</v>
      </c>
    </row>
    <row r="16" spans="1:29" ht="15">
      <c r="A16" s="427"/>
      <c r="B16" s="445"/>
      <c r="C16" s="446"/>
      <c r="D16" s="447"/>
      <c r="E16" s="2597"/>
      <c r="F16" s="447"/>
      <c r="G16" s="2598"/>
      <c r="H16" s="449"/>
      <c r="I16" s="2598"/>
      <c r="J16" s="447"/>
      <c r="K16" s="2599"/>
      <c r="L16" s="1135"/>
      <c r="M16" s="1126"/>
      <c r="N16" s="1126"/>
      <c r="O16" s="1126"/>
      <c r="P16" s="3263"/>
      <c r="Q16" s="1805"/>
      <c r="R16" s="771"/>
      <c r="S16" s="772"/>
      <c r="T16" s="771"/>
      <c r="U16" s="772"/>
      <c r="V16" s="771"/>
      <c r="W16" s="772"/>
      <c r="X16" s="1808"/>
      <c r="Y16" s="3265"/>
      <c r="Z16" s="1809"/>
      <c r="AA16" s="1806">
        <v>1</v>
      </c>
      <c r="AB16" s="1806">
        <v>1</v>
      </c>
      <c r="AC16" s="1806">
        <v>1</v>
      </c>
    </row>
    <row r="17" spans="1:29" ht="128.25">
      <c r="A17" s="427"/>
      <c r="B17" s="450" t="s">
        <v>2088</v>
      </c>
      <c r="C17" s="2600" t="str">
        <f>估价对象房地状况!C6</f>
        <v>周边道路状况、公共交通通达情况、停车便捷程度（快速路西四环北路 六号线海淀五路居站 五路桥公交站  61路 79路 121路 地上停车位）</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63"/>
      <c r="Q17" s="1805" t="str">
        <f>B17</f>
        <v>交通便捷度</v>
      </c>
      <c r="R17" s="771" t="s">
        <v>21</v>
      </c>
      <c r="S17" s="772">
        <f>F17</f>
        <v>100</v>
      </c>
      <c r="T17" s="771" t="s">
        <v>21</v>
      </c>
      <c r="U17" s="772">
        <f>H17</f>
        <v>100</v>
      </c>
      <c r="V17" s="771" t="s">
        <v>21</v>
      </c>
      <c r="W17" s="772">
        <f>J17</f>
        <v>100</v>
      </c>
      <c r="X17" s="1808"/>
      <c r="Y17" s="3265"/>
      <c r="Z17" s="1809" t="str">
        <f>Q17</f>
        <v>交通便捷度</v>
      </c>
      <c r="AA17" s="1806">
        <f t="shared" si="3"/>
        <v>1</v>
      </c>
      <c r="AB17" s="1806">
        <f t="shared" si="4"/>
        <v>1</v>
      </c>
      <c r="AC17" s="1806">
        <f t="shared" si="5"/>
        <v>1</v>
      </c>
    </row>
    <row r="18" spans="1:29" ht="15">
      <c r="A18" s="427"/>
      <c r="B18" s="455"/>
      <c r="C18" s="2601"/>
      <c r="D18" s="449"/>
      <c r="E18" s="2602"/>
      <c r="F18" s="449"/>
      <c r="G18" s="2603"/>
      <c r="H18" s="447"/>
      <c r="I18" s="2603"/>
      <c r="J18" s="447"/>
      <c r="K18" s="2599"/>
      <c r="L18" s="1135"/>
      <c r="M18" s="1126"/>
      <c r="N18" s="1126"/>
      <c r="O18" s="1126"/>
      <c r="P18" s="3263"/>
      <c r="Q18" s="1805"/>
      <c r="R18" s="771"/>
      <c r="S18" s="772"/>
      <c r="T18" s="771"/>
      <c r="U18" s="772"/>
      <c r="V18" s="771"/>
      <c r="W18" s="772"/>
      <c r="X18" s="1808"/>
      <c r="Y18" s="3265"/>
      <c r="Z18" s="1809"/>
      <c r="AA18" s="1806">
        <v>1</v>
      </c>
      <c r="AB18" s="1806">
        <v>1</v>
      </c>
      <c r="AC18" s="1806">
        <v>1</v>
      </c>
    </row>
    <row r="19" spans="1:29" ht="199.5">
      <c r="A19" s="427"/>
      <c r="B19" s="450" t="s">
        <v>2087</v>
      </c>
      <c r="C19" s="260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63"/>
      <c r="Q19" s="1805" t="str">
        <f>B19</f>
        <v>公共配套设施</v>
      </c>
      <c r="R19" s="771" t="s">
        <v>21</v>
      </c>
      <c r="S19" s="772">
        <f>F19</f>
        <v>100</v>
      </c>
      <c r="T19" s="771" t="s">
        <v>21</v>
      </c>
      <c r="U19" s="772">
        <f>H19</f>
        <v>100</v>
      </c>
      <c r="V19" s="771" t="s">
        <v>21</v>
      </c>
      <c r="W19" s="772">
        <f>J19</f>
        <v>100</v>
      </c>
      <c r="X19" s="1808"/>
      <c r="Y19" s="3265"/>
      <c r="Z19" s="1809" t="str">
        <f>Q19</f>
        <v>公共配套设施</v>
      </c>
      <c r="AA19" s="1806">
        <f t="shared" si="3"/>
        <v>1</v>
      </c>
      <c r="AB19" s="1806">
        <f t="shared" si="4"/>
        <v>1</v>
      </c>
      <c r="AC19" s="1806">
        <f t="shared" si="5"/>
        <v>1</v>
      </c>
    </row>
    <row r="20" spans="1:29" ht="15">
      <c r="A20" s="427"/>
      <c r="B20" s="455"/>
      <c r="C20" s="446"/>
      <c r="D20" s="447"/>
      <c r="E20" s="2597"/>
      <c r="F20" s="447"/>
      <c r="G20" s="2598"/>
      <c r="H20" s="447"/>
      <c r="I20" s="2598"/>
      <c r="J20" s="447"/>
      <c r="K20" s="2599"/>
      <c r="L20" s="1135"/>
      <c r="M20" s="1126"/>
      <c r="N20" s="1126"/>
      <c r="O20" s="1126"/>
      <c r="P20" s="3263"/>
      <c r="Q20" s="1805"/>
      <c r="R20" s="771"/>
      <c r="S20" s="772"/>
      <c r="T20" s="771"/>
      <c r="U20" s="772"/>
      <c r="V20" s="771"/>
      <c r="W20" s="772"/>
      <c r="X20" s="1808"/>
      <c r="Y20" s="3265"/>
      <c r="Z20" s="1809"/>
      <c r="AA20" s="1806">
        <v>1</v>
      </c>
      <c r="AB20" s="1806">
        <v>1</v>
      </c>
      <c r="AC20" s="1806">
        <v>1</v>
      </c>
    </row>
    <row r="21" spans="1:29" ht="15">
      <c r="A21" s="427"/>
      <c r="B21" s="1379" t="s">
        <v>2089</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63"/>
      <c r="Q21" s="1805" t="str">
        <f>B21</f>
        <v>基础设施水平</v>
      </c>
      <c r="R21" s="771" t="s">
        <v>17</v>
      </c>
      <c r="S21" s="772">
        <f>F21</f>
        <v>100</v>
      </c>
      <c r="T21" s="771" t="s">
        <v>17</v>
      </c>
      <c r="U21" s="772">
        <f>H21</f>
        <v>100</v>
      </c>
      <c r="V21" s="771" t="s">
        <v>17</v>
      </c>
      <c r="W21" s="772">
        <f>J21</f>
        <v>100</v>
      </c>
      <c r="X21" s="1808"/>
      <c r="Y21" s="3265"/>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7"/>
      <c r="G22" s="2604"/>
      <c r="H22" s="447"/>
      <c r="I22" s="446"/>
      <c r="J22" s="447"/>
      <c r="K22" s="2605"/>
      <c r="L22" s="1135"/>
      <c r="M22" s="1126"/>
      <c r="N22" s="1126"/>
      <c r="O22" s="1126"/>
      <c r="P22" s="3263"/>
      <c r="Q22" s="1805"/>
      <c r="R22" s="771"/>
      <c r="S22" s="772"/>
      <c r="T22" s="771"/>
      <c r="U22" s="772"/>
      <c r="V22" s="771"/>
      <c r="W22" s="772"/>
      <c r="X22" s="1808"/>
      <c r="Y22" s="3265"/>
      <c r="Z22" s="1809"/>
      <c r="AA22" s="1806">
        <v>1</v>
      </c>
      <c r="AB22" s="1806">
        <v>1</v>
      </c>
      <c r="AC22" s="1806">
        <v>1</v>
      </c>
    </row>
    <row r="23" spans="1:29" ht="15">
      <c r="A23" s="427"/>
      <c r="B23" s="450" t="s">
        <v>2091</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63"/>
      <c r="Q23" s="1805" t="str">
        <f>B23</f>
        <v>自然及人文环境</v>
      </c>
      <c r="R23" s="771" t="s">
        <v>21</v>
      </c>
      <c r="S23" s="772">
        <f>F23</f>
        <v>100</v>
      </c>
      <c r="T23" s="771" t="s">
        <v>21</v>
      </c>
      <c r="U23" s="772">
        <f>H23</f>
        <v>100</v>
      </c>
      <c r="V23" s="771" t="s">
        <v>21</v>
      </c>
      <c r="W23" s="772">
        <f>J23</f>
        <v>100</v>
      </c>
      <c r="X23" s="1808"/>
      <c r="Y23" s="3265"/>
      <c r="Z23" s="1809" t="str">
        <f>Q23</f>
        <v>自然及人文环境</v>
      </c>
      <c r="AA23" s="1806">
        <f>D23/F23</f>
        <v>1</v>
      </c>
      <c r="AB23" s="1806">
        <f>D23/H23</f>
        <v>1</v>
      </c>
      <c r="AC23" s="1806">
        <f>D23/J23</f>
        <v>1</v>
      </c>
    </row>
    <row r="24" spans="1:29" ht="15">
      <c r="A24" s="427"/>
      <c r="B24" s="455"/>
      <c r="C24" s="446"/>
      <c r="D24" s="447"/>
      <c r="E24" s="2597"/>
      <c r="F24" s="447"/>
      <c r="G24" s="2598"/>
      <c r="H24" s="447"/>
      <c r="I24" s="2598"/>
      <c r="J24" s="447"/>
      <c r="K24" s="2599"/>
      <c r="L24" s="1135"/>
      <c r="M24" s="1126"/>
      <c r="N24" s="1126"/>
      <c r="O24" s="1126"/>
      <c r="P24" s="3263"/>
      <c r="Q24" s="1805"/>
      <c r="R24" s="771"/>
      <c r="S24" s="772"/>
      <c r="T24" s="771"/>
      <c r="U24" s="772"/>
      <c r="V24" s="771"/>
      <c r="W24" s="772"/>
      <c r="X24" s="1808"/>
      <c r="Y24" s="3265"/>
      <c r="Z24" s="1809"/>
      <c r="AA24" s="1806">
        <v>1</v>
      </c>
      <c r="AB24" s="1806">
        <v>1</v>
      </c>
      <c r="AC24" s="1806">
        <v>1</v>
      </c>
    </row>
    <row r="25" spans="1:29" ht="15">
      <c r="A25" s="427"/>
      <c r="B25" s="421" t="s">
        <v>2549</v>
      </c>
      <c r="C25" s="459"/>
      <c r="D25" s="434">
        <v>100</v>
      </c>
      <c r="E25" s="2606"/>
      <c r="F25" s="434">
        <f>SUMIF(86:86,E25,87:87)-SUMIF(86:86,C25,87:87)+100</f>
        <v>100</v>
      </c>
      <c r="G25" s="2607"/>
      <c r="H25" s="434">
        <f>SUMIF(86:86,G25,87:87)-SUMIF(86:86,C25,87:87)+100</f>
        <v>100</v>
      </c>
      <c r="I25" s="2607"/>
      <c r="J25" s="434">
        <f>SUMIF(86:86,I25,87:87)-SUMIF(86:86,C25,87:87)+100</f>
        <v>100</v>
      </c>
      <c r="K25" s="425"/>
      <c r="L25" s="1135"/>
      <c r="M25" s="1126"/>
      <c r="N25" s="1126"/>
      <c r="O25" s="1126"/>
      <c r="P25" s="3263"/>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65"/>
      <c r="Z25" s="1809" t="str">
        <f>Q25</f>
        <v>楼层-1</v>
      </c>
      <c r="AA25" s="1806">
        <f t="shared" ref="AA25:AA46" si="15">D25/F25</f>
        <v>1</v>
      </c>
      <c r="AB25" s="1806">
        <f t="shared" ref="AB25:AB46" si="16">D25/H25</f>
        <v>1</v>
      </c>
      <c r="AC25" s="1806">
        <f t="shared" ref="AC25:AC46" si="17">D25/J25</f>
        <v>1</v>
      </c>
    </row>
    <row r="26" spans="1:29" ht="15">
      <c r="A26" s="427"/>
      <c r="B26" s="421" t="s">
        <v>2550</v>
      </c>
      <c r="C26" s="459"/>
      <c r="D26" s="434">
        <v>100</v>
      </c>
      <c r="E26" s="2606"/>
      <c r="F26" s="434">
        <f>SUMIF(88:88,E26,89:89)-SUMIF(88:88,C26,89:89)+100</f>
        <v>100</v>
      </c>
      <c r="G26" s="2607"/>
      <c r="H26" s="434">
        <f>SUMIF(88:88,G26,89:89)-SUMIF(88:88,C26,89:89)+100</f>
        <v>100</v>
      </c>
      <c r="I26" s="2607"/>
      <c r="J26" s="434">
        <f>SUMIF(88:88,I26,89:89)-SUMIF(88:88,C26,89:89)+100</f>
        <v>100</v>
      </c>
      <c r="K26" s="425"/>
      <c r="L26" s="1135"/>
      <c r="M26" s="1126"/>
      <c r="N26" s="1126"/>
      <c r="O26" s="1126"/>
      <c r="P26" s="3263"/>
      <c r="Q26" s="1805" t="str">
        <f t="shared" si="11"/>
        <v>朝向</v>
      </c>
      <c r="R26" s="771" t="s">
        <v>21</v>
      </c>
      <c r="S26" s="772">
        <f t="shared" si="12"/>
        <v>100</v>
      </c>
      <c r="T26" s="771" t="s">
        <v>21</v>
      </c>
      <c r="U26" s="772">
        <f t="shared" si="13"/>
        <v>100</v>
      </c>
      <c r="V26" s="771" t="s">
        <v>21</v>
      </c>
      <c r="W26" s="772">
        <f t="shared" si="14"/>
        <v>100</v>
      </c>
      <c r="X26" s="1808"/>
      <c r="Y26" s="3265"/>
      <c r="Z26" s="1809" t="str">
        <f>Q26</f>
        <v>朝向</v>
      </c>
      <c r="AA26" s="1806">
        <f t="shared" si="15"/>
        <v>1</v>
      </c>
      <c r="AB26" s="1806">
        <f t="shared" si="16"/>
        <v>1</v>
      </c>
      <c r="AC26" s="1806">
        <f t="shared" si="17"/>
        <v>1</v>
      </c>
    </row>
    <row r="27" spans="1:29" s="117"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4"/>
      <c r="L27" s="1127"/>
      <c r="M27" s="1128"/>
      <c r="N27" s="1128"/>
      <c r="O27" s="1128"/>
      <c r="P27" s="3263"/>
      <c r="Q27" s="1790">
        <f t="shared" si="11"/>
        <v>111</v>
      </c>
      <c r="R27" s="767" t="s">
        <v>21</v>
      </c>
      <c r="S27" s="768">
        <f t="shared" si="12"/>
        <v>100</v>
      </c>
      <c r="T27" s="767" t="s">
        <v>21</v>
      </c>
      <c r="U27" s="768">
        <f t="shared" si="13"/>
        <v>100</v>
      </c>
      <c r="V27" s="767" t="s">
        <v>21</v>
      </c>
      <c r="W27" s="768">
        <f t="shared" si="14"/>
        <v>100</v>
      </c>
      <c r="X27" s="769"/>
      <c r="Y27" s="3265"/>
      <c r="Z27" s="55">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08"/>
      <c r="H28" s="434">
        <f>SUMIF(92:92,G28,93:93)-SUMIF(92:92,C28,93:93)+100</f>
        <v>100</v>
      </c>
      <c r="I28" s="433"/>
      <c r="J28" s="434">
        <f>SUMIF(92:92,I28,93:93)-SUMIF(92:92,C28,93:93)+100</f>
        <v>100</v>
      </c>
      <c r="K28" s="2594"/>
      <c r="L28" s="1135"/>
      <c r="M28" s="1126"/>
      <c r="N28" s="1126"/>
      <c r="O28" s="1126"/>
      <c r="P28" s="3263"/>
      <c r="Q28" s="1805">
        <f t="shared" si="11"/>
        <v>111</v>
      </c>
      <c r="R28" s="771" t="s">
        <v>21</v>
      </c>
      <c r="S28" s="772">
        <f t="shared" si="12"/>
        <v>100</v>
      </c>
      <c r="T28" s="771" t="s">
        <v>21</v>
      </c>
      <c r="U28" s="772">
        <f t="shared" si="13"/>
        <v>100</v>
      </c>
      <c r="V28" s="771" t="s">
        <v>21</v>
      </c>
      <c r="W28" s="772">
        <f t="shared" si="14"/>
        <v>100</v>
      </c>
      <c r="X28" s="1808"/>
      <c r="Y28" s="3265"/>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08"/>
      <c r="H29" s="434">
        <f>SUMIF(94:94,G29,95:95)-SUMIF(94:94,C29,95:95)+100</f>
        <v>100</v>
      </c>
      <c r="I29" s="433"/>
      <c r="J29" s="434">
        <f>SUMIF(94:94,I29,95:95)-SUMIF(94:94,C29,95:95)+100</f>
        <v>100</v>
      </c>
      <c r="K29" s="2594"/>
      <c r="L29" s="1135"/>
      <c r="M29" s="1126"/>
      <c r="N29" s="1126"/>
      <c r="O29" s="1126"/>
      <c r="P29" s="3263"/>
      <c r="Q29" s="1805">
        <f t="shared" si="11"/>
        <v>111</v>
      </c>
      <c r="R29" s="771" t="s">
        <v>21</v>
      </c>
      <c r="S29" s="772">
        <f t="shared" si="12"/>
        <v>100</v>
      </c>
      <c r="T29" s="771" t="s">
        <v>21</v>
      </c>
      <c r="U29" s="772">
        <f t="shared" si="13"/>
        <v>100</v>
      </c>
      <c r="V29" s="771" t="s">
        <v>21</v>
      </c>
      <c r="W29" s="772">
        <f t="shared" si="14"/>
        <v>100</v>
      </c>
      <c r="X29" s="1808"/>
      <c r="Y29" s="3265"/>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08"/>
      <c r="H30" s="434">
        <f>SUMIF(96:96,G30,97:97)-SUMIF(96:96,C30,97:97)+100</f>
        <v>100</v>
      </c>
      <c r="I30" s="433"/>
      <c r="J30" s="434">
        <f>SUMIF(96:96,I30,97:97)-SUMIF(96:96,C30,97:97)+100</f>
        <v>100</v>
      </c>
      <c r="K30" s="2594"/>
      <c r="L30" s="1135"/>
      <c r="M30" s="1126"/>
      <c r="N30" s="1126"/>
      <c r="O30" s="1126"/>
      <c r="P30" s="3263"/>
      <c r="Q30" s="1805">
        <f t="shared" si="11"/>
        <v>111</v>
      </c>
      <c r="R30" s="771" t="s">
        <v>21</v>
      </c>
      <c r="S30" s="772">
        <f t="shared" si="12"/>
        <v>100</v>
      </c>
      <c r="T30" s="771" t="s">
        <v>21</v>
      </c>
      <c r="U30" s="772">
        <f t="shared" si="13"/>
        <v>100</v>
      </c>
      <c r="V30" s="771" t="s">
        <v>21</v>
      </c>
      <c r="W30" s="772">
        <f t="shared" si="14"/>
        <v>100</v>
      </c>
      <c r="X30" s="1808"/>
      <c r="Y30" s="3265"/>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09"/>
      <c r="H31" s="437">
        <f>SUMIF(98:98,G31,99:99)-SUMIF(98:98,C31,99:99)+100</f>
        <v>100</v>
      </c>
      <c r="I31" s="436"/>
      <c r="J31" s="437">
        <f>SUMIF(98:98,I31,99:99)-SUMIF(98:98,C31,99:99)+100</f>
        <v>100</v>
      </c>
      <c r="K31" s="2594"/>
      <c r="L31" s="1135"/>
      <c r="M31" s="1126"/>
      <c r="N31" s="1126"/>
      <c r="O31" s="1126"/>
      <c r="P31" s="3263"/>
      <c r="Q31" s="1805">
        <f t="shared" si="11"/>
        <v>111</v>
      </c>
      <c r="R31" s="771" t="s">
        <v>21</v>
      </c>
      <c r="S31" s="772">
        <f t="shared" si="12"/>
        <v>100</v>
      </c>
      <c r="T31" s="771" t="s">
        <v>21</v>
      </c>
      <c r="U31" s="772">
        <f t="shared" si="13"/>
        <v>100</v>
      </c>
      <c r="V31" s="771" t="s">
        <v>21</v>
      </c>
      <c r="W31" s="772">
        <f t="shared" si="14"/>
        <v>100</v>
      </c>
      <c r="X31" s="1808"/>
      <c r="Y31" s="3265"/>
      <c r="Z31" s="1809">
        <f t="shared" si="18"/>
        <v>111</v>
      </c>
      <c r="AA31" s="1806">
        <f t="shared" si="15"/>
        <v>1</v>
      </c>
      <c r="AB31" s="1806">
        <f t="shared" si="16"/>
        <v>1</v>
      </c>
      <c r="AC31" s="1806">
        <f t="shared" si="17"/>
        <v>1</v>
      </c>
    </row>
    <row r="32" spans="1:29" ht="15">
      <c r="A32" s="439" t="s">
        <v>2551</v>
      </c>
      <c r="B32" s="71" t="s">
        <v>2552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5"/>
      <c r="M32" s="1126"/>
      <c r="N32" s="1126"/>
      <c r="O32" s="1126"/>
      <c r="P32" s="3266" t="s">
        <v>2553</v>
      </c>
      <c r="Q32" s="1805" t="str">
        <f t="shared" si="11"/>
        <v>建筑类型</v>
      </c>
      <c r="R32" s="771" t="s">
        <v>21</v>
      </c>
      <c r="S32" s="772">
        <f t="shared" si="12"/>
        <v>100</v>
      </c>
      <c r="T32" s="771" t="s">
        <v>21</v>
      </c>
      <c r="U32" s="772">
        <f t="shared" si="13"/>
        <v>100</v>
      </c>
      <c r="V32" s="771" t="s">
        <v>21</v>
      </c>
      <c r="W32" s="772">
        <f t="shared" si="14"/>
        <v>100</v>
      </c>
      <c r="X32" s="1808"/>
      <c r="Y32" s="3269" t="s">
        <v>2553</v>
      </c>
      <c r="Z32" s="1809" t="str">
        <f t="shared" si="18"/>
        <v>建筑类型</v>
      </c>
      <c r="AA32" s="1806">
        <f t="shared" si="15"/>
        <v>1</v>
      </c>
      <c r="AB32" s="1806">
        <f t="shared" si="16"/>
        <v>1</v>
      </c>
      <c r="AC32" s="1806">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3"/>
      <c r="M33" s="1136"/>
      <c r="N33" s="1136"/>
      <c r="O33" s="1136"/>
      <c r="P33" s="3267"/>
      <c r="Q33" s="773" t="str">
        <f t="shared" si="11"/>
        <v>项目建筑规模</v>
      </c>
      <c r="R33" s="774" t="s">
        <v>21</v>
      </c>
      <c r="S33" s="775" t="e">
        <f t="shared" si="12"/>
        <v>#N/A</v>
      </c>
      <c r="T33" s="774" t="s">
        <v>21</v>
      </c>
      <c r="U33" s="775" t="e">
        <f t="shared" si="13"/>
        <v>#N/A</v>
      </c>
      <c r="V33" s="774" t="s">
        <v>21</v>
      </c>
      <c r="W33" s="775" t="e">
        <f t="shared" si="14"/>
        <v>#N/A</v>
      </c>
      <c r="X33" s="776"/>
      <c r="Y33" s="3269"/>
      <c r="Z33" s="777" t="str">
        <f t="shared" si="18"/>
        <v>项目建筑规模</v>
      </c>
      <c r="AA33" s="1806" t="e">
        <f t="shared" si="15"/>
        <v>#N/A</v>
      </c>
      <c r="AB33" s="1806" t="e">
        <f t="shared" si="16"/>
        <v>#N/A</v>
      </c>
      <c r="AC33" s="1806" t="e">
        <f t="shared" si="17"/>
        <v>#N/A</v>
      </c>
    </row>
    <row r="34" spans="1:29" ht="15">
      <c r="A34" s="471"/>
      <c r="B34" s="421" t="s">
        <v>2555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5"/>
      <c r="M34" s="1126"/>
      <c r="N34" s="1126"/>
      <c r="O34" s="1126"/>
      <c r="P34" s="3267"/>
      <c r="Q34" s="1805" t="str">
        <f t="shared" si="11"/>
        <v>建筑结构</v>
      </c>
      <c r="R34" s="771" t="s">
        <v>21</v>
      </c>
      <c r="S34" s="772">
        <f t="shared" si="12"/>
        <v>100</v>
      </c>
      <c r="T34" s="771" t="s">
        <v>21</v>
      </c>
      <c r="U34" s="772">
        <f t="shared" si="13"/>
        <v>100</v>
      </c>
      <c r="V34" s="771" t="s">
        <v>21</v>
      </c>
      <c r="W34" s="772">
        <f t="shared" si="14"/>
        <v>100</v>
      </c>
      <c r="X34" s="1808"/>
      <c r="Y34" s="3269"/>
      <c r="Z34" s="1809" t="str">
        <f t="shared" si="18"/>
        <v>建筑结构</v>
      </c>
      <c r="AA34" s="1806">
        <f t="shared" si="15"/>
        <v>1</v>
      </c>
      <c r="AB34" s="1806">
        <f t="shared" si="16"/>
        <v>1</v>
      </c>
      <c r="AC34" s="1806">
        <f t="shared" si="17"/>
        <v>1</v>
      </c>
    </row>
    <row r="35" spans="1:29" ht="15">
      <c r="A35" s="471"/>
      <c r="B35" s="421" t="s">
        <v>2556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5"/>
      <c r="M35" s="1126"/>
      <c r="N35" s="1126"/>
      <c r="O35" s="1126"/>
      <c r="P35" s="3267"/>
      <c r="Q35" s="1805" t="str">
        <f t="shared" si="11"/>
        <v>建筑品质</v>
      </c>
      <c r="R35" s="771" t="s">
        <v>21</v>
      </c>
      <c r="S35" s="772">
        <f t="shared" si="12"/>
        <v>100</v>
      </c>
      <c r="T35" s="771" t="s">
        <v>21</v>
      </c>
      <c r="U35" s="772">
        <f t="shared" si="13"/>
        <v>100</v>
      </c>
      <c r="V35" s="771" t="s">
        <v>21</v>
      </c>
      <c r="W35" s="772">
        <f t="shared" si="14"/>
        <v>100</v>
      </c>
      <c r="X35" s="1808"/>
      <c r="Y35" s="3269"/>
      <c r="Z35" s="1809" t="str">
        <f t="shared" si="18"/>
        <v>建筑品质</v>
      </c>
      <c r="AA35" s="1806">
        <f t="shared" si="15"/>
        <v>1</v>
      </c>
      <c r="AB35" s="1806">
        <f t="shared" si="16"/>
        <v>1</v>
      </c>
      <c r="AC35" s="1806">
        <f t="shared" si="17"/>
        <v>1</v>
      </c>
    </row>
    <row r="36" spans="1:29" ht="15">
      <c r="A36" s="471"/>
      <c r="B36" s="421" t="s">
        <v>2557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5"/>
      <c r="M36" s="1126"/>
      <c r="N36" s="1126"/>
      <c r="O36" s="1126"/>
      <c r="P36" s="3267"/>
      <c r="Q36" s="1805" t="str">
        <f t="shared" si="11"/>
        <v>公共部分装修</v>
      </c>
      <c r="R36" s="771" t="s">
        <v>21</v>
      </c>
      <c r="S36" s="772">
        <f t="shared" si="12"/>
        <v>100</v>
      </c>
      <c r="T36" s="771" t="s">
        <v>21</v>
      </c>
      <c r="U36" s="772">
        <f t="shared" si="13"/>
        <v>100</v>
      </c>
      <c r="V36" s="771" t="s">
        <v>21</v>
      </c>
      <c r="W36" s="772">
        <f t="shared" si="14"/>
        <v>100</v>
      </c>
      <c r="X36" s="1808"/>
      <c r="Y36" s="3269"/>
      <c r="Z36" s="1809" t="str">
        <f t="shared" si="18"/>
        <v>公共部分装修</v>
      </c>
      <c r="AA36" s="1806">
        <f t="shared" si="15"/>
        <v>1</v>
      </c>
      <c r="AB36" s="1806">
        <f t="shared" si="16"/>
        <v>1</v>
      </c>
      <c r="AC36" s="1806">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7"/>
      <c r="M37" s="1128"/>
      <c r="N37" s="1128"/>
      <c r="O37" s="1128"/>
      <c r="P37" s="3267"/>
      <c r="Q37" s="1790" t="str">
        <f t="shared" si="11"/>
        <v>成新度</v>
      </c>
      <c r="R37" s="767" t="s">
        <v>21</v>
      </c>
      <c r="S37" s="768" t="e">
        <f t="shared" si="12"/>
        <v>#N/A</v>
      </c>
      <c r="T37" s="767" t="s">
        <v>21</v>
      </c>
      <c r="U37" s="768" t="e">
        <f t="shared" si="13"/>
        <v>#N/A</v>
      </c>
      <c r="V37" s="767" t="s">
        <v>21</v>
      </c>
      <c r="W37" s="768" t="e">
        <f t="shared" si="14"/>
        <v>#N/A</v>
      </c>
      <c r="X37" s="769"/>
      <c r="Y37" s="3269"/>
      <c r="Z37" s="55" t="str">
        <f t="shared" si="18"/>
        <v>成新度</v>
      </c>
      <c r="AA37" s="770" t="e">
        <f t="shared" si="15"/>
        <v>#N/A</v>
      </c>
      <c r="AB37" s="770" t="e">
        <f t="shared" si="16"/>
        <v>#N/A</v>
      </c>
      <c r="AC37" s="770" t="e">
        <f t="shared" si="17"/>
        <v>#N/A</v>
      </c>
    </row>
    <row r="38" spans="1:29" ht="15">
      <c r="A38" s="471"/>
      <c r="B38" s="421" t="s">
        <v>2559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5"/>
      <c r="M38" s="1126"/>
      <c r="N38" s="1126"/>
      <c r="O38" s="1126"/>
      <c r="P38" s="3267" t="s">
        <v>2553</v>
      </c>
      <c r="Q38" s="1805" t="str">
        <f t="shared" si="11"/>
        <v>物业管理</v>
      </c>
      <c r="R38" s="771" t="s">
        <v>21</v>
      </c>
      <c r="S38" s="772">
        <f t="shared" si="12"/>
        <v>100</v>
      </c>
      <c r="T38" s="771" t="s">
        <v>21</v>
      </c>
      <c r="U38" s="772">
        <f t="shared" si="13"/>
        <v>100</v>
      </c>
      <c r="V38" s="771" t="s">
        <v>21</v>
      </c>
      <c r="W38" s="772">
        <f t="shared" si="14"/>
        <v>100</v>
      </c>
      <c r="X38" s="1808"/>
      <c r="Y38" s="3269" t="s">
        <v>2553</v>
      </c>
      <c r="Z38" s="1809" t="str">
        <f t="shared" si="18"/>
        <v>物业管理</v>
      </c>
      <c r="AA38" s="1806">
        <f t="shared" si="15"/>
        <v>1</v>
      </c>
      <c r="AB38" s="1806">
        <f t="shared" si="16"/>
        <v>1</v>
      </c>
      <c r="AC38" s="1806">
        <f t="shared" si="17"/>
        <v>1</v>
      </c>
    </row>
    <row r="39" spans="1:29" ht="15">
      <c r="A39" s="471"/>
      <c r="B39" s="421" t="s">
        <v>2560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5"/>
      <c r="M39" s="1126"/>
      <c r="N39" s="1126"/>
      <c r="O39" s="1126"/>
      <c r="P39" s="3267"/>
      <c r="Q39" s="1805" t="str">
        <f t="shared" si="11"/>
        <v>市政基础设施</v>
      </c>
      <c r="R39" s="771" t="s">
        <v>21</v>
      </c>
      <c r="S39" s="772">
        <f t="shared" si="12"/>
        <v>100</v>
      </c>
      <c r="T39" s="771" t="s">
        <v>21</v>
      </c>
      <c r="U39" s="772">
        <f t="shared" si="13"/>
        <v>100</v>
      </c>
      <c r="V39" s="771" t="s">
        <v>21</v>
      </c>
      <c r="W39" s="772">
        <f t="shared" si="14"/>
        <v>100</v>
      </c>
      <c r="X39" s="1808"/>
      <c r="Y39" s="3269"/>
      <c r="Z39" s="1809" t="str">
        <f t="shared" si="18"/>
        <v>市政基础设施</v>
      </c>
      <c r="AA39" s="1806">
        <f t="shared" si="15"/>
        <v>1</v>
      </c>
      <c r="AB39" s="1806">
        <f t="shared" si="16"/>
        <v>1</v>
      </c>
      <c r="AC39" s="1806">
        <f t="shared" si="17"/>
        <v>1</v>
      </c>
    </row>
    <row r="40" spans="1:29" ht="15">
      <c r="A40" s="471"/>
      <c r="B40" s="421" t="s">
        <v>2561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5"/>
      <c r="M40" s="1126"/>
      <c r="N40" s="1126"/>
      <c r="O40" s="1126"/>
      <c r="P40" s="3267"/>
      <c r="Q40" s="1805" t="str">
        <f t="shared" si="11"/>
        <v>房型</v>
      </c>
      <c r="R40" s="771" t="s">
        <v>21</v>
      </c>
      <c r="S40" s="772">
        <f t="shared" si="12"/>
        <v>100</v>
      </c>
      <c r="T40" s="771" t="s">
        <v>21</v>
      </c>
      <c r="U40" s="772">
        <f t="shared" si="13"/>
        <v>100</v>
      </c>
      <c r="V40" s="771" t="s">
        <v>21</v>
      </c>
      <c r="W40" s="772">
        <f t="shared" si="14"/>
        <v>100</v>
      </c>
      <c r="X40" s="1808"/>
      <c r="Y40" s="3269"/>
      <c r="Z40" s="1809" t="str">
        <f t="shared" si="18"/>
        <v>房型</v>
      </c>
      <c r="AA40" s="1806">
        <f t="shared" si="15"/>
        <v>1</v>
      </c>
      <c r="AB40" s="1806">
        <f t="shared" si="16"/>
        <v>1</v>
      </c>
      <c r="AC40" s="1806">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3"/>
      <c r="M41" s="1136"/>
      <c r="N41" s="1136"/>
      <c r="O41" s="1136"/>
      <c r="P41" s="3267"/>
      <c r="Q41" s="773" t="str">
        <f t="shared" si="11"/>
        <v>单套/主力户型建筑面积</v>
      </c>
      <c r="R41" s="774" t="s">
        <v>21</v>
      </c>
      <c r="S41" s="775">
        <f t="shared" si="12"/>
        <v>100</v>
      </c>
      <c r="T41" s="774" t="s">
        <v>21</v>
      </c>
      <c r="U41" s="775">
        <f t="shared" si="13"/>
        <v>100</v>
      </c>
      <c r="V41" s="774" t="s">
        <v>21</v>
      </c>
      <c r="W41" s="775">
        <f t="shared" si="14"/>
        <v>100</v>
      </c>
      <c r="X41" s="776"/>
      <c r="Y41" s="3269"/>
      <c r="Z41" s="777" t="str">
        <f t="shared" si="18"/>
        <v>单套/主力户型建筑面积</v>
      </c>
      <c r="AA41" s="1806">
        <f t="shared" si="15"/>
        <v>1</v>
      </c>
      <c r="AB41" s="1806">
        <f t="shared" si="16"/>
        <v>1</v>
      </c>
      <c r="AC41" s="1806">
        <f t="shared" si="17"/>
        <v>1</v>
      </c>
    </row>
    <row r="42" spans="1:29" ht="15">
      <c r="A42" s="471"/>
      <c r="B42" s="421" t="s">
        <v>2563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5"/>
      <c r="M42" s="1126"/>
      <c r="N42" s="1126"/>
      <c r="O42" s="1126"/>
      <c r="P42" s="3267"/>
      <c r="Q42" s="1805" t="str">
        <f t="shared" si="11"/>
        <v>内部装修</v>
      </c>
      <c r="R42" s="771" t="s">
        <v>21</v>
      </c>
      <c r="S42" s="772">
        <f t="shared" si="12"/>
        <v>100</v>
      </c>
      <c r="T42" s="771" t="s">
        <v>21</v>
      </c>
      <c r="U42" s="772">
        <f t="shared" si="13"/>
        <v>100</v>
      </c>
      <c r="V42" s="771" t="s">
        <v>21</v>
      </c>
      <c r="W42" s="772">
        <f t="shared" si="14"/>
        <v>100</v>
      </c>
      <c r="X42" s="1808"/>
      <c r="Y42" s="3269"/>
      <c r="Z42" s="1809" t="str">
        <f t="shared" si="18"/>
        <v>内部装修</v>
      </c>
      <c r="AA42" s="1806">
        <f t="shared" si="15"/>
        <v>1</v>
      </c>
      <c r="AB42" s="1806">
        <f t="shared" si="16"/>
        <v>1</v>
      </c>
      <c r="AC42" s="1806">
        <f t="shared" si="17"/>
        <v>1</v>
      </c>
    </row>
    <row r="43" spans="1:29" ht="15">
      <c r="A43" s="471"/>
      <c r="B43" s="421" t="s">
        <v>2564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5"/>
      <c r="M43" s="1126"/>
      <c r="N43" s="1126"/>
      <c r="O43" s="1126"/>
      <c r="P43" s="3267"/>
      <c r="Q43" s="1805" t="str">
        <f t="shared" si="11"/>
        <v>内部装修维护情况</v>
      </c>
      <c r="R43" s="771" t="s">
        <v>21</v>
      </c>
      <c r="S43" s="772">
        <f t="shared" si="12"/>
        <v>100</v>
      </c>
      <c r="T43" s="771" t="s">
        <v>21</v>
      </c>
      <c r="U43" s="772">
        <f t="shared" si="13"/>
        <v>100</v>
      </c>
      <c r="V43" s="771" t="s">
        <v>21</v>
      </c>
      <c r="W43" s="772">
        <f t="shared" si="14"/>
        <v>100</v>
      </c>
      <c r="X43" s="1808"/>
      <c r="Y43" s="3269"/>
      <c r="Z43" s="1809" t="str">
        <f t="shared" si="18"/>
        <v>内部装修维护情况</v>
      </c>
      <c r="AA43" s="1806">
        <f t="shared" si="15"/>
        <v>1</v>
      </c>
      <c r="AB43" s="1806">
        <f t="shared" si="16"/>
        <v>1</v>
      </c>
      <c r="AC43" s="1806">
        <f t="shared" si="17"/>
        <v>1</v>
      </c>
    </row>
    <row r="44" spans="1:29" s="117" customFormat="1" ht="15">
      <c r="A44" s="472"/>
      <c r="B44" s="1381">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27"/>
      <c r="M44" s="1128"/>
      <c r="N44" s="1128"/>
      <c r="O44" s="1128"/>
      <c r="P44" s="3267"/>
      <c r="Q44" s="1790">
        <f t="shared" si="11"/>
        <v>111</v>
      </c>
      <c r="R44" s="767" t="s">
        <v>21</v>
      </c>
      <c r="S44" s="768">
        <f t="shared" si="12"/>
        <v>100</v>
      </c>
      <c r="T44" s="767" t="s">
        <v>21</v>
      </c>
      <c r="U44" s="768">
        <f t="shared" si="13"/>
        <v>100</v>
      </c>
      <c r="V44" s="767" t="s">
        <v>21</v>
      </c>
      <c r="W44" s="768">
        <f t="shared" si="14"/>
        <v>100</v>
      </c>
      <c r="X44" s="769"/>
      <c r="Y44" s="3269"/>
      <c r="Z44" s="55">
        <f t="shared" si="18"/>
        <v>111</v>
      </c>
      <c r="AA44" s="770">
        <f t="shared" si="15"/>
        <v>1</v>
      </c>
      <c r="AB44" s="770">
        <f t="shared" si="16"/>
        <v>1</v>
      </c>
      <c r="AC44" s="770">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5"/>
      <c r="M45" s="1126"/>
      <c r="N45" s="1126"/>
      <c r="O45" s="1126"/>
      <c r="P45" s="3267"/>
      <c r="Q45" s="1805">
        <f t="shared" si="11"/>
        <v>111</v>
      </c>
      <c r="R45" s="771" t="s">
        <v>21</v>
      </c>
      <c r="S45" s="772">
        <f t="shared" si="12"/>
        <v>100</v>
      </c>
      <c r="T45" s="771" t="s">
        <v>21</v>
      </c>
      <c r="U45" s="772">
        <f t="shared" si="13"/>
        <v>100</v>
      </c>
      <c r="V45" s="771" t="s">
        <v>21</v>
      </c>
      <c r="W45" s="772">
        <f t="shared" si="14"/>
        <v>100</v>
      </c>
      <c r="X45" s="1808"/>
      <c r="Y45" s="3269"/>
      <c r="Z45" s="1809">
        <f t="shared" si="18"/>
        <v>111</v>
      </c>
      <c r="AA45" s="1806">
        <f t="shared" si="15"/>
        <v>1</v>
      </c>
      <c r="AB45" s="1806">
        <f t="shared" si="16"/>
        <v>1</v>
      </c>
      <c r="AC45" s="180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5"/>
      <c r="M46" s="1126"/>
      <c r="N46" s="1126"/>
      <c r="O46" s="1126"/>
      <c r="P46" s="3268"/>
      <c r="Q46" s="1805">
        <f t="shared" si="11"/>
        <v>111</v>
      </c>
      <c r="R46" s="771" t="s">
        <v>20</v>
      </c>
      <c r="S46" s="772">
        <f t="shared" si="12"/>
        <v>100</v>
      </c>
      <c r="T46" s="771" t="s">
        <v>20</v>
      </c>
      <c r="U46" s="772">
        <f t="shared" si="13"/>
        <v>100</v>
      </c>
      <c r="V46" s="771" t="s">
        <v>20</v>
      </c>
      <c r="W46" s="772">
        <f t="shared" si="14"/>
        <v>100</v>
      </c>
      <c r="X46" s="1808"/>
      <c r="Y46" s="3270"/>
      <c r="Z46" s="1809">
        <f t="shared" si="18"/>
        <v>111</v>
      </c>
      <c r="AA46" s="1806">
        <f t="shared" si="15"/>
        <v>1</v>
      </c>
      <c r="AB46" s="1806">
        <f t="shared" si="16"/>
        <v>1</v>
      </c>
      <c r="AC46" s="1806">
        <f t="shared" si="17"/>
        <v>1</v>
      </c>
    </row>
    <row r="47" spans="1:29" ht="15">
      <c r="A47" s="478" t="s">
        <v>2565</v>
      </c>
      <c r="B47" s="479"/>
      <c r="C47" s="1402" t="s">
        <v>19</v>
      </c>
      <c r="D47" s="1403"/>
      <c r="E47" s="1404"/>
      <c r="F47" s="1405"/>
      <c r="G47" s="1406"/>
      <c r="H47" s="1407"/>
      <c r="I47" s="1404"/>
      <c r="J47" s="1407"/>
      <c r="K47" s="2614"/>
      <c r="L47" s="1138"/>
      <c r="M47" s="1139"/>
      <c r="N47" s="1126"/>
      <c r="O47" s="1139"/>
      <c r="P47" s="3271" t="str">
        <f>A47</f>
        <v>成交单价（元/平方米）</v>
      </c>
      <c r="Q47" s="3271"/>
      <c r="R47" s="3272">
        <f>E47</f>
        <v>0</v>
      </c>
      <c r="S47" s="3272"/>
      <c r="T47" s="3272">
        <f>G47</f>
        <v>0</v>
      </c>
      <c r="U47" s="3272"/>
      <c r="V47" s="3272">
        <f>I47</f>
        <v>0</v>
      </c>
      <c r="W47" s="3272"/>
      <c r="X47" s="756"/>
      <c r="Y47" s="778"/>
      <c r="Z47" s="756"/>
      <c r="AA47" s="756"/>
      <c r="AB47" s="756"/>
      <c r="AC47" s="756"/>
    </row>
    <row r="48" spans="1:29" ht="15.75" thickBot="1">
      <c r="A48" s="485" t="s">
        <v>2566</v>
      </c>
      <c r="B48" s="486"/>
      <c r="C48" s="1408" t="e">
        <f>R49</f>
        <v>#DIV/0!</v>
      </c>
      <c r="D48" s="1409"/>
      <c r="E48" s="1410" t="e">
        <f>R48</f>
        <v>#DIV/0!</v>
      </c>
      <c r="F48" s="1410"/>
      <c r="G48" s="1408" t="e">
        <f>T48</f>
        <v>#DIV/0!</v>
      </c>
      <c r="H48" s="1409"/>
      <c r="I48" s="1410" t="e">
        <f>V48</f>
        <v>#DIV/0!</v>
      </c>
      <c r="J48" s="1409"/>
      <c r="K48" s="2615"/>
      <c r="L48" s="1138"/>
      <c r="M48" s="1139"/>
      <c r="N48" s="1139"/>
      <c r="O48" s="1139"/>
      <c r="P48" s="3271" t="str">
        <f>A48</f>
        <v>比较价值（元/平方米）</v>
      </c>
      <c r="Q48" s="3271"/>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6"/>
      <c r="Y48" s="756"/>
      <c r="Z48" s="756"/>
      <c r="AA48" s="756"/>
      <c r="AB48" s="756"/>
      <c r="AC48" s="756"/>
    </row>
    <row r="49" spans="1:29" ht="15.75" thickBot="1">
      <c r="A49" s="491" t="s">
        <v>2567</v>
      </c>
      <c r="B49" s="492"/>
      <c r="C49" s="1411" t="e">
        <f>R49</f>
        <v>#DIV/0!</v>
      </c>
      <c r="D49" s="1412"/>
      <c r="E49" s="1412"/>
      <c r="F49" s="1412"/>
      <c r="G49" s="1412"/>
      <c r="H49" s="1412"/>
      <c r="I49" s="1412"/>
      <c r="J49" s="1412"/>
      <c r="K49" s="2616"/>
      <c r="L49" s="1138"/>
      <c r="M49" s="1139"/>
      <c r="N49" s="1139"/>
      <c r="O49" s="1139"/>
      <c r="P49" s="3288" t="str">
        <f>A49</f>
        <v>估价对象XX用房的比较价值（楼面单价，元/平方米）</v>
      </c>
      <c r="Q49" s="3289"/>
      <c r="R49" s="3290" t="e">
        <f>IF(F1="售价",ROUND(AVERAGE(R48:V48),0),ROUND(AVERAGE(R48:V48),1))</f>
        <v>#DIV/0!</v>
      </c>
      <c r="S49" s="3290"/>
      <c r="T49" s="3290"/>
      <c r="U49" s="3290"/>
      <c r="V49" s="3290"/>
      <c r="W49" s="3290"/>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8"/>
    </row>
    <row r="55" spans="1:29" s="501" customFormat="1">
      <c r="A55" s="1140"/>
      <c r="B55" s="1141"/>
      <c r="C55" s="1145"/>
      <c r="D55" s="1140"/>
      <c r="E55" s="1140"/>
      <c r="F55" s="1140"/>
      <c r="G55" s="1140"/>
      <c r="H55" s="1140"/>
      <c r="I55" s="1140"/>
      <c r="J55" s="1140"/>
      <c r="K55" s="1143"/>
      <c r="L55" s="1144"/>
      <c r="M55" s="1140"/>
      <c r="N55" s="1140"/>
      <c r="O55" s="1140"/>
      <c r="P55" s="2618"/>
    </row>
    <row r="56" spans="1:29">
      <c r="A56" s="1139"/>
      <c r="B56" s="1141"/>
      <c r="C56" s="1145"/>
      <c r="D56" s="1139"/>
      <c r="E56" s="1139"/>
      <c r="F56" s="1139"/>
      <c r="G56" s="1139"/>
      <c r="H56" s="1139"/>
      <c r="I56" s="1139"/>
      <c r="J56" s="1139"/>
      <c r="K56" s="1100"/>
      <c r="L56" s="1101"/>
      <c r="M56" s="1139"/>
      <c r="N56" s="1139"/>
      <c r="O56" s="1139"/>
    </row>
    <row r="57" spans="1:29" ht="21.75" thickBot="1">
      <c r="A57" s="760" t="s">
        <v>2571</v>
      </c>
      <c r="B57" s="756"/>
      <c r="C57" s="761"/>
      <c r="D57" s="761"/>
      <c r="E57" s="761"/>
      <c r="F57" s="762"/>
      <c r="G57" s="762"/>
      <c r="H57" s="761"/>
      <c r="I57" s="761"/>
      <c r="J57" s="761"/>
      <c r="K57" s="1155"/>
      <c r="L57" s="1156"/>
      <c r="M57" s="1154"/>
      <c r="N57" s="1154"/>
      <c r="O57" s="1154"/>
      <c r="P57" s="2619"/>
      <c r="Q57" s="503"/>
    </row>
    <row r="58" spans="1:29" s="507" customFormat="1" ht="15">
      <c r="A58" s="504" t="s">
        <v>2572</v>
      </c>
      <c r="B58" s="505"/>
      <c r="C58" s="1571" t="str">
        <f>YEAR(C7)&amp;"-"&amp;MONTH(C7)</f>
        <v>2018-3</v>
      </c>
      <c r="D58" s="1570">
        <f>EDATE(C58,-1)</f>
        <v>43132</v>
      </c>
      <c r="E58" s="1570">
        <f>EDATE(D58,-1)</f>
        <v>43101</v>
      </c>
      <c r="F58" s="1570">
        <f t="shared" ref="F58:O58" si="19">EDATE(E58,-1)</f>
        <v>43070</v>
      </c>
      <c r="G58" s="1570">
        <f t="shared" si="19"/>
        <v>43040</v>
      </c>
      <c r="H58" s="1570">
        <f t="shared" si="19"/>
        <v>43009</v>
      </c>
      <c r="I58" s="1570">
        <f t="shared" si="19"/>
        <v>42979</v>
      </c>
      <c r="J58" s="1570">
        <f t="shared" si="19"/>
        <v>42948</v>
      </c>
      <c r="K58" s="1570">
        <f t="shared" si="19"/>
        <v>42917</v>
      </c>
      <c r="L58" s="1570">
        <f t="shared" si="19"/>
        <v>42887</v>
      </c>
      <c r="M58" s="1570">
        <f t="shared" si="19"/>
        <v>42856</v>
      </c>
      <c r="N58" s="1570">
        <f t="shared" si="19"/>
        <v>42826</v>
      </c>
      <c r="O58" s="1570">
        <f t="shared" si="19"/>
        <v>42795</v>
      </c>
      <c r="P58" s="1565"/>
    </row>
    <row r="59" spans="1:29" s="117" customFormat="1" ht="15">
      <c r="A59" s="508"/>
      <c r="B59" s="2620"/>
      <c r="C59" s="1568">
        <v>100</v>
      </c>
      <c r="D59" s="510"/>
      <c r="E59" s="511"/>
      <c r="F59" s="511"/>
      <c r="G59" s="511"/>
      <c r="H59" s="511"/>
      <c r="I59" s="511"/>
      <c r="J59" s="511"/>
      <c r="K59" s="511"/>
      <c r="L59" s="511"/>
      <c r="M59" s="512"/>
      <c r="N59" s="511"/>
      <c r="O59" s="512"/>
      <c r="P59" s="2621"/>
    </row>
    <row r="60" spans="1:29" s="117" customFormat="1" ht="15.75" thickBot="1">
      <c r="A60" s="514" t="s">
        <v>2573</v>
      </c>
      <c r="B60" s="515"/>
      <c r="C60" s="516"/>
      <c r="D60" s="517"/>
      <c r="E60" s="517"/>
      <c r="F60" s="517"/>
      <c r="G60" s="517"/>
      <c r="H60" s="517"/>
      <c r="I60" s="517"/>
      <c r="J60" s="517"/>
      <c r="K60" s="517"/>
      <c r="L60" s="517"/>
      <c r="M60" s="518"/>
      <c r="N60" s="517"/>
      <c r="O60" s="518"/>
      <c r="P60" s="2621"/>
      <c r="Q60" s="503"/>
    </row>
    <row r="61" spans="1:29" s="117" customFormat="1" ht="15">
      <c r="A61" s="520" t="s">
        <v>2574</v>
      </c>
      <c r="B61" s="509"/>
      <c r="C61" s="521" t="s">
        <v>2575</v>
      </c>
      <c r="D61" s="522"/>
      <c r="E61" s="522"/>
      <c r="F61" s="522"/>
      <c r="G61" s="522"/>
      <c r="H61" s="522"/>
      <c r="I61" s="522"/>
      <c r="J61" s="522"/>
      <c r="K61" s="522"/>
      <c r="L61" s="523"/>
      <c r="M61" s="524"/>
      <c r="N61" s="1146"/>
      <c r="O61" s="1146"/>
      <c r="P61" s="2622"/>
      <c r="Q61" s="503"/>
    </row>
    <row r="62" spans="1:29" s="117" customFormat="1" ht="15.75" thickBot="1">
      <c r="A62" s="520"/>
      <c r="B62" s="509"/>
      <c r="C62" s="510">
        <v>100</v>
      </c>
      <c r="D62" s="511"/>
      <c r="E62" s="511"/>
      <c r="F62" s="511"/>
      <c r="G62" s="511"/>
      <c r="H62" s="511"/>
      <c r="I62" s="511"/>
      <c r="J62" s="511"/>
      <c r="K62" s="511"/>
      <c r="L62" s="511"/>
      <c r="M62" s="513"/>
      <c r="N62" s="1146"/>
      <c r="O62" s="1146"/>
      <c r="P62" s="2621"/>
      <c r="Q62" s="503"/>
    </row>
    <row r="63" spans="1:29">
      <c r="A63" s="526" t="s">
        <v>2576</v>
      </c>
      <c r="B63" s="527" t="s">
        <v>2542</v>
      </c>
      <c r="C63" s="528">
        <f>C9</f>
        <v>0</v>
      </c>
      <c r="D63" s="529"/>
      <c r="E63" s="529"/>
      <c r="F63" s="529"/>
      <c r="G63" s="529"/>
      <c r="H63" s="529"/>
      <c r="I63" s="529"/>
      <c r="J63" s="529"/>
      <c r="K63" s="530"/>
      <c r="L63" s="531"/>
      <c r="M63" s="532"/>
      <c r="N63" s="1147"/>
      <c r="O63" s="1147"/>
      <c r="P63" s="2623"/>
      <c r="Q63" s="503"/>
    </row>
    <row r="64" spans="1:29" ht="15.75" thickBot="1">
      <c r="A64" s="533"/>
      <c r="B64" s="534"/>
      <c r="C64" s="535">
        <v>100</v>
      </c>
      <c r="D64" s="535"/>
      <c r="E64" s="535"/>
      <c r="F64" s="535"/>
      <c r="G64" s="535"/>
      <c r="H64" s="535"/>
      <c r="I64" s="535"/>
      <c r="J64" s="535"/>
      <c r="K64" s="535"/>
      <c r="L64" s="535"/>
      <c r="M64" s="536"/>
      <c r="N64" s="1148"/>
      <c r="O64" s="1148"/>
      <c r="P64" s="262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7"/>
      <c r="O65" s="1147"/>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2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3"/>
      <c r="Q67" s="503"/>
    </row>
    <row r="68" spans="1:17" ht="15">
      <c r="A68" s="533"/>
      <c r="B68" s="547"/>
      <c r="C68" s="548"/>
      <c r="D68" s="548"/>
      <c r="E68" s="548"/>
      <c r="F68" s="548"/>
      <c r="G68" s="548"/>
      <c r="H68" s="548"/>
      <c r="I68" s="548"/>
      <c r="J68" s="548"/>
      <c r="K68" s="549"/>
      <c r="L68" s="550"/>
      <c r="M68" s="551"/>
      <c r="N68" s="1147"/>
      <c r="O68" s="1147"/>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3"/>
      <c r="Q69" s="503"/>
    </row>
    <row r="70" spans="1:17" s="470" customFormat="1" ht="15.75" thickTop="1">
      <c r="A70" s="552"/>
      <c r="B70" s="537">
        <f>B12</f>
        <v>111</v>
      </c>
      <c r="C70" s="553"/>
      <c r="D70" s="553"/>
      <c r="E70" s="553"/>
      <c r="F70" s="553"/>
      <c r="G70" s="553"/>
      <c r="H70" s="554"/>
      <c r="I70" s="554"/>
      <c r="J70" s="554"/>
      <c r="K70" s="554"/>
      <c r="L70" s="555"/>
      <c r="M70" s="556"/>
      <c r="N70" s="1149"/>
      <c r="O70" s="1149"/>
      <c r="P70" s="2624"/>
      <c r="Q70" s="558"/>
    </row>
    <row r="71" spans="1:17" s="470" customFormat="1" ht="15.75" thickBot="1">
      <c r="A71" s="552"/>
      <c r="B71" s="542"/>
      <c r="C71" s="559"/>
      <c r="D71" s="535"/>
      <c r="E71" s="535"/>
      <c r="F71" s="535"/>
      <c r="G71" s="535"/>
      <c r="H71" s="535"/>
      <c r="I71" s="535"/>
      <c r="J71" s="535"/>
      <c r="K71" s="535"/>
      <c r="L71" s="535"/>
      <c r="M71" s="536"/>
      <c r="N71" s="1148"/>
      <c r="O71" s="1148"/>
      <c r="P71" s="2624"/>
      <c r="Q71" s="558"/>
    </row>
    <row r="72" spans="1:17" s="470" customFormat="1" ht="15.75" thickTop="1">
      <c r="A72" s="552"/>
      <c r="B72" s="537">
        <f>B13</f>
        <v>111</v>
      </c>
      <c r="C72" s="553"/>
      <c r="D72" s="553"/>
      <c r="E72" s="553"/>
      <c r="F72" s="553"/>
      <c r="G72" s="553"/>
      <c r="H72" s="554"/>
      <c r="I72" s="554"/>
      <c r="J72" s="554"/>
      <c r="K72" s="554"/>
      <c r="L72" s="555"/>
      <c r="M72" s="556"/>
      <c r="N72" s="1149"/>
      <c r="O72" s="1149"/>
      <c r="P72" s="2625"/>
      <c r="Q72" s="560"/>
    </row>
    <row r="73" spans="1:17" s="470" customFormat="1" ht="15.75" thickBot="1">
      <c r="A73" s="552"/>
      <c r="B73" s="542"/>
      <c r="C73" s="559"/>
      <c r="D73" s="559"/>
      <c r="E73" s="559"/>
      <c r="F73" s="559"/>
      <c r="G73" s="559"/>
      <c r="H73" s="561"/>
      <c r="I73" s="561"/>
      <c r="J73" s="561"/>
      <c r="K73" s="561"/>
      <c r="L73" s="561"/>
      <c r="M73" s="562"/>
      <c r="N73" s="1149"/>
      <c r="O73" s="1149"/>
      <c r="P73" s="2624"/>
      <c r="Q73" s="558"/>
    </row>
    <row r="74" spans="1:17" s="470" customFormat="1" ht="15.75" thickTop="1">
      <c r="A74" s="552"/>
      <c r="B74" s="545">
        <f>B14</f>
        <v>111</v>
      </c>
      <c r="C74" s="553"/>
      <c r="D74" s="553"/>
      <c r="E74" s="553"/>
      <c r="F74" s="553"/>
      <c r="G74" s="522"/>
      <c r="H74" s="563"/>
      <c r="I74" s="563"/>
      <c r="J74" s="563"/>
      <c r="K74" s="563"/>
      <c r="L74" s="564"/>
      <c r="M74" s="565"/>
      <c r="N74" s="1149"/>
      <c r="O74" s="1149"/>
      <c r="P74" s="2626"/>
      <c r="Q74" s="558"/>
    </row>
    <row r="75" spans="1:17" s="470" customFormat="1" ht="15.75" thickBot="1">
      <c r="A75" s="567"/>
      <c r="B75" s="568"/>
      <c r="C75" s="569"/>
      <c r="D75" s="569"/>
      <c r="E75" s="569"/>
      <c r="F75" s="569"/>
      <c r="G75" s="569"/>
      <c r="H75" s="570"/>
      <c r="I75" s="570"/>
      <c r="J75" s="570"/>
      <c r="K75" s="570"/>
      <c r="L75" s="570"/>
      <c r="M75" s="571"/>
      <c r="N75" s="1149"/>
      <c r="O75" s="1149"/>
      <c r="P75" s="262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7"/>
      <c r="O76" s="1147"/>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7"/>
      <c r="O78" s="1147"/>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7"/>
      <c r="O80" s="1147"/>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3"/>
      <c r="Q81" s="503"/>
    </row>
    <row r="82" spans="1:17" ht="15.75" thickTop="1">
      <c r="A82" s="533"/>
      <c r="B82" s="545" t="s">
        <v>2089</v>
      </c>
      <c r="C82" s="538" t="s">
        <v>2592</v>
      </c>
      <c r="D82" s="538" t="s">
        <v>2593</v>
      </c>
      <c r="E82" s="538" t="s">
        <v>2594</v>
      </c>
      <c r="F82" s="538" t="s">
        <v>2595</v>
      </c>
      <c r="G82" s="538" t="s">
        <v>2596</v>
      </c>
      <c r="H82" s="538"/>
      <c r="I82" s="538"/>
      <c r="J82" s="538"/>
      <c r="K82" s="538"/>
      <c r="L82" s="538"/>
      <c r="M82" s="1377"/>
      <c r="N82" s="1148"/>
      <c r="O82" s="1148"/>
      <c r="P82" s="2623"/>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48"/>
      <c r="O83" s="1148"/>
      <c r="P83" s="262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7"/>
      <c r="O84" s="1147"/>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3"/>
      <c r="Q85" s="503"/>
    </row>
    <row r="86" spans="1:17" s="117" customFormat="1" ht="15.75" thickTop="1">
      <c r="A86" s="578"/>
      <c r="B86" s="537" t="s">
        <v>2598</v>
      </c>
      <c r="C86" s="553"/>
      <c r="D86" s="553"/>
      <c r="E86" s="553"/>
      <c r="F86" s="553"/>
      <c r="G86" s="553"/>
      <c r="H86" s="553"/>
      <c r="I86" s="553"/>
      <c r="J86" s="553"/>
      <c r="K86" s="553"/>
      <c r="L86" s="579"/>
      <c r="M86" s="580"/>
      <c r="N86" s="1146"/>
      <c r="O86" s="1146"/>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3"/>
      <c r="Q87" s="503"/>
    </row>
    <row r="88" spans="1:17" s="117" customFormat="1" ht="15.75" thickTop="1">
      <c r="A88" s="578"/>
      <c r="B88" s="537" t="s">
        <v>2599</v>
      </c>
      <c r="C88" s="553"/>
      <c r="D88" s="553"/>
      <c r="E88" s="553"/>
      <c r="F88" s="2628"/>
      <c r="G88" s="553"/>
      <c r="H88" s="553"/>
      <c r="I88" s="553"/>
      <c r="J88" s="553"/>
      <c r="K88" s="553"/>
      <c r="L88" s="553"/>
      <c r="M88" s="580"/>
      <c r="N88" s="1146"/>
      <c r="O88" s="1146"/>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3"/>
      <c r="Q89" s="503"/>
    </row>
    <row r="90" spans="1:17" s="470" customFormat="1" ht="15.75" thickTop="1">
      <c r="A90" s="552"/>
      <c r="B90" s="537">
        <f>B27</f>
        <v>111</v>
      </c>
      <c r="C90" s="553"/>
      <c r="D90" s="553"/>
      <c r="E90" s="553"/>
      <c r="F90" s="553"/>
      <c r="G90" s="553"/>
      <c r="H90" s="554"/>
      <c r="I90" s="554"/>
      <c r="J90" s="554"/>
      <c r="K90" s="554"/>
      <c r="L90" s="555"/>
      <c r="M90" s="556"/>
      <c r="N90" s="1149"/>
      <c r="O90" s="1149"/>
      <c r="P90" s="2624"/>
      <c r="Q90" s="558"/>
    </row>
    <row r="91" spans="1:17" s="470" customFormat="1" ht="15.75" thickBot="1">
      <c r="A91" s="552"/>
      <c r="B91" s="542"/>
      <c r="C91" s="559"/>
      <c r="D91" s="559"/>
      <c r="E91" s="559"/>
      <c r="F91" s="559"/>
      <c r="G91" s="559"/>
      <c r="H91" s="561"/>
      <c r="I91" s="561"/>
      <c r="J91" s="561"/>
      <c r="K91" s="561"/>
      <c r="L91" s="561"/>
      <c r="M91" s="562"/>
      <c r="N91" s="1149"/>
      <c r="O91" s="1149"/>
      <c r="P91" s="2624"/>
      <c r="Q91" s="558"/>
    </row>
    <row r="92" spans="1:17" ht="15.75" thickTop="1">
      <c r="A92" s="533"/>
      <c r="B92" s="537">
        <f>B28</f>
        <v>111</v>
      </c>
      <c r="C92" s="553"/>
      <c r="D92" s="553"/>
      <c r="E92" s="553"/>
      <c r="F92" s="553"/>
      <c r="G92" s="582"/>
      <c r="H92" s="582"/>
      <c r="I92" s="582"/>
      <c r="J92" s="582"/>
      <c r="K92" s="583"/>
      <c r="L92" s="584"/>
      <c r="M92" s="585"/>
      <c r="N92" s="1147"/>
      <c r="O92" s="1147"/>
      <c r="P92" s="2623"/>
      <c r="Q92" s="503"/>
    </row>
    <row r="93" spans="1:17" ht="15.75" thickBot="1">
      <c r="A93" s="533"/>
      <c r="B93" s="542"/>
      <c r="C93" s="559"/>
      <c r="D93" s="535"/>
      <c r="E93" s="535"/>
      <c r="F93" s="535"/>
      <c r="G93" s="535"/>
      <c r="H93" s="535"/>
      <c r="I93" s="535"/>
      <c r="J93" s="535"/>
      <c r="K93" s="535"/>
      <c r="L93" s="535"/>
      <c r="M93" s="536"/>
      <c r="N93" s="1148"/>
      <c r="O93" s="1148"/>
      <c r="P93" s="2623"/>
      <c r="Q93" s="503"/>
    </row>
    <row r="94" spans="1:17" ht="15.75" thickTop="1">
      <c r="A94" s="533"/>
      <c r="B94" s="537">
        <f>B29</f>
        <v>111</v>
      </c>
      <c r="C94" s="553"/>
      <c r="D94" s="553"/>
      <c r="E94" s="553"/>
      <c r="F94" s="553"/>
      <c r="G94" s="582"/>
      <c r="H94" s="582"/>
      <c r="I94" s="582"/>
      <c r="J94" s="582"/>
      <c r="K94" s="583"/>
      <c r="L94" s="584"/>
      <c r="M94" s="585"/>
      <c r="N94" s="1147"/>
      <c r="O94" s="1147"/>
      <c r="P94" s="2623"/>
      <c r="Q94" s="503"/>
    </row>
    <row r="95" spans="1:17" ht="15.75" thickBot="1">
      <c r="A95" s="533"/>
      <c r="B95" s="542"/>
      <c r="C95" s="559"/>
      <c r="D95" s="559"/>
      <c r="E95" s="559"/>
      <c r="F95" s="559"/>
      <c r="G95" s="535"/>
      <c r="H95" s="535"/>
      <c r="I95" s="535"/>
      <c r="J95" s="535"/>
      <c r="K95" s="535"/>
      <c r="L95" s="535"/>
      <c r="M95" s="536"/>
      <c r="N95" s="1148"/>
      <c r="O95" s="1148"/>
      <c r="P95" s="2623"/>
      <c r="Q95" s="503"/>
    </row>
    <row r="96" spans="1:17" ht="15.75" thickTop="1">
      <c r="A96" s="533"/>
      <c r="B96" s="537">
        <f>B30</f>
        <v>111</v>
      </c>
      <c r="C96" s="553"/>
      <c r="D96" s="553"/>
      <c r="E96" s="553"/>
      <c r="F96" s="553"/>
      <c r="G96" s="582"/>
      <c r="H96" s="582"/>
      <c r="I96" s="582"/>
      <c r="J96" s="582"/>
      <c r="K96" s="583"/>
      <c r="L96" s="584"/>
      <c r="M96" s="585"/>
      <c r="N96" s="1147"/>
      <c r="O96" s="1147"/>
      <c r="P96" s="2623"/>
      <c r="Q96" s="503"/>
    </row>
    <row r="97" spans="1:17" ht="15.75" thickBot="1">
      <c r="A97" s="533"/>
      <c r="B97" s="542"/>
      <c r="C97" s="569"/>
      <c r="D97" s="569"/>
      <c r="E97" s="569"/>
      <c r="F97" s="569"/>
      <c r="G97" s="535"/>
      <c r="H97" s="535"/>
      <c r="I97" s="535"/>
      <c r="J97" s="535"/>
      <c r="K97" s="535"/>
      <c r="L97" s="535"/>
      <c r="M97" s="536"/>
      <c r="N97" s="1148"/>
      <c r="O97" s="1148"/>
      <c r="P97" s="2623"/>
      <c r="Q97" s="503"/>
    </row>
    <row r="98" spans="1:17" ht="15.75" thickTop="1">
      <c r="A98" s="533"/>
      <c r="B98" s="545">
        <f>B31</f>
        <v>111</v>
      </c>
      <c r="C98" s="586"/>
      <c r="D98" s="586"/>
      <c r="E98" s="586"/>
      <c r="F98" s="586"/>
      <c r="G98" s="586"/>
      <c r="H98" s="586"/>
      <c r="I98" s="586"/>
      <c r="J98" s="586"/>
      <c r="K98" s="587"/>
      <c r="L98" s="588"/>
      <c r="M98" s="589"/>
      <c r="N98" s="1147"/>
      <c r="O98" s="1147"/>
      <c r="P98" s="2623"/>
      <c r="Q98" s="503"/>
    </row>
    <row r="99" spans="1:17" ht="15.75" thickBot="1">
      <c r="A99" s="2629"/>
      <c r="B99" s="568"/>
      <c r="C99" s="590"/>
      <c r="D99" s="590"/>
      <c r="E99" s="590"/>
      <c r="F99" s="590"/>
      <c r="G99" s="590"/>
      <c r="H99" s="590"/>
      <c r="I99" s="590"/>
      <c r="J99" s="590"/>
      <c r="K99" s="590"/>
      <c r="L99" s="590"/>
      <c r="M99" s="591"/>
      <c r="N99" s="1148"/>
      <c r="O99" s="1148"/>
      <c r="P99" s="2623"/>
      <c r="Q99" s="503"/>
    </row>
    <row r="100" spans="1:17">
      <c r="A100" s="526" t="s">
        <v>2551</v>
      </c>
      <c r="B100" s="527" t="s">
        <v>2600</v>
      </c>
      <c r="C100" s="529"/>
      <c r="D100" s="529"/>
      <c r="E100" s="529"/>
      <c r="F100" s="529"/>
      <c r="G100" s="529"/>
      <c r="H100" s="529"/>
      <c r="I100" s="529"/>
      <c r="J100" s="529"/>
      <c r="K100" s="530"/>
      <c r="L100" s="531"/>
      <c r="M100" s="532"/>
      <c r="N100" s="1147"/>
      <c r="O100" s="1147"/>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3"/>
      <c r="Q102" s="503"/>
    </row>
    <row r="103" spans="1:17" s="470" customFormat="1">
      <c r="A103" s="592"/>
      <c r="B103" s="593"/>
      <c r="C103" s="594"/>
      <c r="D103" s="594"/>
      <c r="E103" s="594"/>
      <c r="F103" s="594"/>
      <c r="G103" s="594"/>
      <c r="H103" s="594"/>
      <c r="I103" s="594"/>
      <c r="J103" s="595"/>
      <c r="K103" s="595"/>
      <c r="L103" s="596"/>
      <c r="M103" s="597"/>
      <c r="N103" s="1149"/>
      <c r="O103" s="1149"/>
      <c r="P103" s="2624"/>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4"/>
      <c r="Q104" s="558"/>
    </row>
    <row r="105" spans="1:17" ht="15" thickTop="1">
      <c r="A105" s="598"/>
      <c r="B105" s="537" t="s">
        <v>2602</v>
      </c>
      <c r="C105" s="553"/>
      <c r="D105" s="553"/>
      <c r="E105" s="582"/>
      <c r="F105" s="582"/>
      <c r="G105" s="582"/>
      <c r="H105" s="582"/>
      <c r="I105" s="582"/>
      <c r="J105" s="582"/>
      <c r="K105" s="583"/>
      <c r="L105" s="584"/>
      <c r="M105" s="585"/>
      <c r="N105" s="1147"/>
      <c r="O105" s="1147"/>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3"/>
      <c r="Q106" s="503"/>
    </row>
    <row r="107" spans="1:17" ht="15" thickTop="1">
      <c r="A107" s="598"/>
      <c r="B107" s="537" t="s">
        <v>2603</v>
      </c>
      <c r="C107" s="582"/>
      <c r="D107" s="582"/>
      <c r="E107" s="582"/>
      <c r="F107" s="582"/>
      <c r="G107" s="582"/>
      <c r="H107" s="582"/>
      <c r="I107" s="582"/>
      <c r="J107" s="582"/>
      <c r="K107" s="583"/>
      <c r="L107" s="584"/>
      <c r="M107" s="585"/>
      <c r="N107" s="1147"/>
      <c r="O107" s="1147"/>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3"/>
      <c r="Q108" s="503"/>
    </row>
    <row r="109" spans="1:17" ht="15" thickTop="1">
      <c r="A109" s="598"/>
      <c r="B109" s="537" t="s">
        <v>2604</v>
      </c>
      <c r="C109" s="553"/>
      <c r="D109" s="553"/>
      <c r="E109" s="553"/>
      <c r="F109" s="582"/>
      <c r="G109" s="582"/>
      <c r="H109" s="582"/>
      <c r="I109" s="582"/>
      <c r="J109" s="582"/>
      <c r="K109" s="583"/>
      <c r="L109" s="584"/>
      <c r="M109" s="585"/>
      <c r="N109" s="1147"/>
      <c r="O109" s="1147"/>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3"/>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4"/>
      <c r="Q113" s="558"/>
    </row>
    <row r="114" spans="1:17" ht="15" thickTop="1">
      <c r="A114" s="598"/>
      <c r="B114" s="537" t="s">
        <v>2605</v>
      </c>
      <c r="C114" s="553"/>
      <c r="D114" s="553"/>
      <c r="E114" s="582"/>
      <c r="F114" s="582"/>
      <c r="G114" s="582"/>
      <c r="H114" s="582"/>
      <c r="I114" s="582"/>
      <c r="J114" s="582"/>
      <c r="K114" s="583"/>
      <c r="L114" s="584"/>
      <c r="M114" s="585"/>
      <c r="N114" s="1147"/>
      <c r="O114" s="1147"/>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3"/>
      <c r="Q115" s="503"/>
    </row>
    <row r="116" spans="1:17" ht="15" thickTop="1">
      <c r="A116" s="598"/>
      <c r="B116" s="537" t="s">
        <v>2606</v>
      </c>
      <c r="C116" s="553"/>
      <c r="D116" s="553"/>
      <c r="E116" s="553"/>
      <c r="F116" s="553"/>
      <c r="G116" s="553"/>
      <c r="H116" s="582"/>
      <c r="I116" s="582"/>
      <c r="J116" s="582"/>
      <c r="K116" s="583"/>
      <c r="L116" s="584"/>
      <c r="M116" s="585"/>
      <c r="N116" s="1147"/>
      <c r="O116" s="1147"/>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3"/>
      <c r="Q117" s="503"/>
    </row>
    <row r="118" spans="1:17" ht="15" thickTop="1">
      <c r="A118" s="598"/>
      <c r="B118" s="537" t="s">
        <v>2607</v>
      </c>
      <c r="C118" s="582"/>
      <c r="D118" s="582"/>
      <c r="E118" s="582"/>
      <c r="F118" s="582"/>
      <c r="G118" s="582"/>
      <c r="H118" s="582"/>
      <c r="I118" s="582"/>
      <c r="J118" s="582"/>
      <c r="K118" s="583"/>
      <c r="L118" s="584"/>
      <c r="M118" s="585"/>
      <c r="N118" s="1147"/>
      <c r="O118" s="1147"/>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3"/>
      <c r="Q119" s="503"/>
    </row>
    <row r="120" spans="1:17" s="470" customFormat="1" ht="28.5" thickTop="1">
      <c r="A120" s="592"/>
      <c r="B120" s="537" t="s">
        <v>2562</v>
      </c>
      <c r="C120" s="553"/>
      <c r="D120" s="553"/>
      <c r="E120" s="553"/>
      <c r="F120" s="553"/>
      <c r="G120" s="553"/>
      <c r="H120" s="553"/>
      <c r="I120" s="553"/>
      <c r="J120" s="553"/>
      <c r="K120" s="553"/>
      <c r="L120" s="579"/>
      <c r="M120" s="580"/>
      <c r="N120" s="1149"/>
      <c r="O120" s="1149"/>
      <c r="P120" s="2624"/>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4"/>
      <c r="Q121" s="558"/>
    </row>
    <row r="122" spans="1:17" ht="15" thickTop="1">
      <c r="A122" s="598"/>
      <c r="B122" s="537" t="s">
        <v>2608</v>
      </c>
      <c r="C122" s="553"/>
      <c r="D122" s="553"/>
      <c r="E122" s="553"/>
      <c r="F122" s="582"/>
      <c r="G122" s="582"/>
      <c r="H122" s="582"/>
      <c r="I122" s="582"/>
      <c r="J122" s="582"/>
      <c r="K122" s="583"/>
      <c r="L122" s="584"/>
      <c r="M122" s="585"/>
      <c r="N122" s="1147"/>
      <c r="O122" s="1147"/>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7"/>
      <c r="O124" s="1147"/>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3"/>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4"/>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4"/>
      <c r="Q127" s="558"/>
    </row>
    <row r="128" spans="1:17" ht="15" thickTop="1">
      <c r="A128" s="598"/>
      <c r="B128" s="537">
        <f>B45</f>
        <v>111</v>
      </c>
      <c r="C128" s="553"/>
      <c r="D128" s="553"/>
      <c r="E128" s="553"/>
      <c r="F128" s="553"/>
      <c r="G128" s="582"/>
      <c r="H128" s="582"/>
      <c r="I128" s="582"/>
      <c r="J128" s="582"/>
      <c r="K128" s="583"/>
      <c r="L128" s="584"/>
      <c r="M128" s="585"/>
      <c r="N128" s="1147"/>
      <c r="O128" s="1147"/>
      <c r="P128" s="2623"/>
      <c r="Q128" s="503"/>
    </row>
    <row r="129" spans="1:17" ht="15.75" thickBot="1">
      <c r="A129" s="533"/>
      <c r="B129" s="542"/>
      <c r="C129" s="559"/>
      <c r="D129" s="559"/>
      <c r="E129" s="559"/>
      <c r="F129" s="559"/>
      <c r="G129" s="535"/>
      <c r="H129" s="535"/>
      <c r="I129" s="535"/>
      <c r="J129" s="535"/>
      <c r="K129" s="535"/>
      <c r="L129" s="535"/>
      <c r="M129" s="536"/>
      <c r="N129" s="1148"/>
      <c r="O129" s="1148"/>
      <c r="P129" s="2623"/>
      <c r="Q129" s="503"/>
    </row>
    <row r="130" spans="1:17" ht="15" thickTop="1">
      <c r="A130" s="598"/>
      <c r="B130" s="545">
        <f>B46</f>
        <v>111</v>
      </c>
      <c r="C130" s="553"/>
      <c r="D130" s="553"/>
      <c r="E130" s="553"/>
      <c r="F130" s="553"/>
      <c r="G130" s="586"/>
      <c r="H130" s="586"/>
      <c r="I130" s="586"/>
      <c r="J130" s="586"/>
      <c r="K130" s="522"/>
      <c r="L130" s="523"/>
      <c r="M130" s="589"/>
      <c r="N130" s="1147"/>
      <c r="O130" s="1147"/>
      <c r="P130" s="2623"/>
      <c r="Q130" s="503"/>
    </row>
    <row r="131" spans="1:17" ht="15.75" thickBot="1">
      <c r="A131" s="2629"/>
      <c r="B131" s="568"/>
      <c r="C131" s="569"/>
      <c r="D131" s="569"/>
      <c r="E131" s="569"/>
      <c r="F131" s="569"/>
      <c r="G131" s="590"/>
      <c r="H131" s="590"/>
      <c r="I131" s="590"/>
      <c r="J131" s="590"/>
      <c r="K131" s="590"/>
      <c r="L131" s="590"/>
      <c r="M131" s="591"/>
      <c r="N131" s="1148"/>
      <c r="O131" s="1148"/>
      <c r="P131" s="2623"/>
      <c r="Q131" s="503"/>
    </row>
    <row r="136" spans="1:17" ht="15" thickBot="1">
      <c r="B136" s="2630" t="s">
        <v>2610</v>
      </c>
    </row>
    <row r="137" spans="1:17" ht="15">
      <c r="B137" s="2631" t="s">
        <v>2611</v>
      </c>
      <c r="C137" s="2632"/>
      <c r="D137" s="2632"/>
      <c r="E137" s="2632"/>
      <c r="F137" s="2632"/>
      <c r="G137" s="2633"/>
      <c r="H137" s="2634"/>
      <c r="I137" s="2635" t="s">
        <v>2612</v>
      </c>
      <c r="J137" s="2632"/>
      <c r="K137" s="2636"/>
    </row>
    <row r="138" spans="1:17" ht="15">
      <c r="B138" s="2637"/>
      <c r="C138" s="145" t="s">
        <v>2613</v>
      </c>
      <c r="D138" s="145" t="s">
        <v>2614</v>
      </c>
      <c r="E138" s="2638" t="s">
        <v>2615</v>
      </c>
      <c r="F138" s="2639" t="s">
        <v>2616</v>
      </c>
      <c r="G138" s="145" t="s">
        <v>2614</v>
      </c>
      <c r="H138" s="146" t="s">
        <v>2615</v>
      </c>
      <c r="I138" s="2640"/>
      <c r="J138" s="145" t="s">
        <v>2617</v>
      </c>
      <c r="K138" s="146" t="s">
        <v>2618</v>
      </c>
    </row>
    <row r="139" spans="1:17" ht="15">
      <c r="B139" s="1079">
        <v>6</v>
      </c>
      <c r="C139" s="1080">
        <v>96</v>
      </c>
      <c r="D139" s="2641" t="s">
        <v>2619</v>
      </c>
      <c r="E139" s="1081">
        <v>100</v>
      </c>
      <c r="F139" s="1082">
        <v>102.5</v>
      </c>
      <c r="G139" s="2641" t="s">
        <v>2619</v>
      </c>
      <c r="H139" s="1083">
        <v>105</v>
      </c>
      <c r="I139" s="2642" t="s">
        <v>2620</v>
      </c>
      <c r="J139" s="1080">
        <v>20</v>
      </c>
      <c r="K139" s="1084">
        <f>C145/(J139-2)</f>
        <v>4.0555555555555553E-3</v>
      </c>
    </row>
    <row r="140" spans="1:17" ht="15">
      <c r="B140" s="1085">
        <v>5</v>
      </c>
      <c r="C140" s="1086">
        <v>100</v>
      </c>
      <c r="D140" s="1086"/>
      <c r="E140" s="1087"/>
      <c r="F140" s="1088">
        <v>102</v>
      </c>
      <c r="G140" s="1086"/>
      <c r="H140" s="1089"/>
      <c r="I140" s="2643" t="s">
        <v>2621</v>
      </c>
      <c r="J140" s="314">
        <f>ROUNDUP((J139-1)/2,0)</f>
        <v>10</v>
      </c>
      <c r="K140" s="1090">
        <v>100</v>
      </c>
    </row>
    <row r="141" spans="1:17" ht="15">
      <c r="B141" s="1085">
        <v>4</v>
      </c>
      <c r="C141" s="1086">
        <v>102</v>
      </c>
      <c r="D141" s="1086"/>
      <c r="E141" s="1087"/>
      <c r="F141" s="1088">
        <v>101.5</v>
      </c>
      <c r="G141" s="1086"/>
      <c r="H141" s="1089"/>
      <c r="I141" s="2643" t="s">
        <v>2622</v>
      </c>
      <c r="J141" s="314">
        <v>1</v>
      </c>
      <c r="K141" s="1091">
        <f>ROUND(100+(J141-J140)*K139*100,1)</f>
        <v>96.4</v>
      </c>
    </row>
    <row r="142" spans="1:17" ht="15">
      <c r="B142" s="1085">
        <v>3</v>
      </c>
      <c r="C142" s="1086">
        <v>103</v>
      </c>
      <c r="D142" s="1086"/>
      <c r="E142" s="1087"/>
      <c r="F142" s="1088">
        <v>101</v>
      </c>
      <c r="G142" s="1086"/>
      <c r="H142" s="1089"/>
      <c r="I142" s="2643" t="s">
        <v>2623</v>
      </c>
      <c r="J142" s="314">
        <f>J139</f>
        <v>20</v>
      </c>
      <c r="K142" s="1092">
        <v>95</v>
      </c>
    </row>
    <row r="143" spans="1:17" ht="15">
      <c r="B143" s="1085">
        <v>2</v>
      </c>
      <c r="C143" s="1086">
        <v>100</v>
      </c>
      <c r="D143" s="1086"/>
      <c r="E143" s="1087"/>
      <c r="F143" s="1088">
        <v>100.5</v>
      </c>
      <c r="G143" s="1086"/>
      <c r="H143" s="1089"/>
      <c r="I143" s="2643" t="s">
        <v>2624</v>
      </c>
      <c r="J143" s="1086">
        <v>15</v>
      </c>
      <c r="K143" s="1091">
        <f>ROUND(100+(J143-J140)*K139*100,1)</f>
        <v>102</v>
      </c>
    </row>
    <row r="144" spans="1:17" ht="15">
      <c r="B144" s="1085">
        <v>1</v>
      </c>
      <c r="C144" s="1086">
        <v>98</v>
      </c>
      <c r="D144" s="2644" t="s">
        <v>2625</v>
      </c>
      <c r="E144" s="1087">
        <v>102</v>
      </c>
      <c r="F144" s="1093">
        <v>100</v>
      </c>
      <c r="G144" s="2644" t="s">
        <v>2625</v>
      </c>
      <c r="H144" s="1089">
        <v>105</v>
      </c>
      <c r="I144" s="2643" t="s">
        <v>2624</v>
      </c>
      <c r="J144" s="1086">
        <v>18</v>
      </c>
      <c r="K144" s="1091">
        <f>ROUND(100+(J144-J140)*K139*100,1)</f>
        <v>103.2</v>
      </c>
    </row>
    <row r="145" spans="2:11" ht="15.75" thickBot="1">
      <c r="B145" s="2645" t="s">
        <v>2626</v>
      </c>
      <c r="C145" s="1094">
        <f>ROUND(MAX(C139:C144)/MIN(C139:C144)-1,3)</f>
        <v>7.2999999999999995E-2</v>
      </c>
      <c r="D145" s="1095"/>
      <c r="E145" s="1095"/>
      <c r="F145" s="2646" t="s">
        <v>2627</v>
      </c>
      <c r="G145" s="2647"/>
      <c r="H145" s="2648"/>
      <c r="I145" s="2649" t="s">
        <v>2624</v>
      </c>
      <c r="J145" s="1096">
        <v>8</v>
      </c>
      <c r="K145" s="1097">
        <f>ROUND(100+(J145-J140)*K139*100,1)</f>
        <v>99.2</v>
      </c>
    </row>
    <row r="147" spans="2:11">
      <c r="B147" s="2630" t="s">
        <v>2628</v>
      </c>
    </row>
    <row r="148" spans="2:11">
      <c r="B148" s="263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1377</v>
      </c>
      <c r="D1" s="1815" t="s">
        <v>70</v>
      </c>
      <c r="E1" s="1816" t="s">
        <v>1387</v>
      </c>
      <c r="F1" s="1278">
        <f ca="1">J53</f>
        <v>31.23</v>
      </c>
      <c r="G1" s="1831">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8914</v>
      </c>
      <c r="C2" s="1840" t="s">
        <v>1517</v>
      </c>
      <c r="D2" s="1840"/>
      <c r="E2" s="1841"/>
      <c r="F2" s="1842"/>
      <c r="G2" s="1843"/>
      <c r="H2" s="1835"/>
      <c r="I2" s="1835"/>
      <c r="J2" s="1835"/>
      <c r="K2" s="1836"/>
      <c r="L2" s="1835"/>
      <c r="M2" s="1835"/>
    </row>
    <row r="3" spans="1:37" ht="18" customHeight="1" thickBot="1">
      <c r="A3" s="1844" t="s">
        <v>1518</v>
      </c>
      <c r="B3" s="1845">
        <f ca="1">IF(ISERROR(B2*10000/F43),0,ROUND(B2*10000/F43,0))</f>
        <v>42361</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623</v>
      </c>
      <c r="D5" s="1817" t="s">
        <v>1402</v>
      </c>
      <c r="E5" s="1288"/>
      <c r="F5" s="1289"/>
      <c r="G5" s="1846"/>
      <c r="H5" s="343">
        <v>1</v>
      </c>
      <c r="I5" s="344" t="s">
        <v>1401</v>
      </c>
      <c r="J5" s="1287">
        <f ca="1">J6+J10+J12</f>
        <v>0</v>
      </c>
      <c r="K5" s="1817" t="s">
        <v>1402</v>
      </c>
      <c r="L5" s="1288"/>
      <c r="M5" s="1289"/>
    </row>
    <row r="6" spans="1:37" ht="18" customHeight="1">
      <c r="A6" s="1286" t="s">
        <v>1035</v>
      </c>
      <c r="B6" s="3295" t="s">
        <v>1403</v>
      </c>
      <c r="C6" s="1291">
        <f ca="1">ROUND(F6*F8*F7*(1-F9)/10000,0)</f>
        <v>622</v>
      </c>
      <c r="D6" s="163" t="s">
        <v>3022</v>
      </c>
      <c r="E6" s="346" t="s">
        <v>1405</v>
      </c>
      <c r="F6" s="347">
        <f ca="1">INDIRECT("'数据-取费表'!u"&amp;$G$1)</f>
        <v>9</v>
      </c>
      <c r="G6" s="1846"/>
      <c r="H6" s="1286" t="s">
        <v>1035</v>
      </c>
      <c r="I6" s="3295" t="s">
        <v>1403</v>
      </c>
      <c r="J6" s="345">
        <f ca="1">ROUND(M6*M8*M7*(1-M9)/10000,0)</f>
        <v>0</v>
      </c>
      <c r="K6" s="163" t="s">
        <v>3021</v>
      </c>
      <c r="L6" s="346" t="s">
        <v>1405</v>
      </c>
      <c r="M6" s="347">
        <f ca="1">INDIRECT("'数据-取费表'!z"&amp;$G$1)</f>
        <v>0</v>
      </c>
    </row>
    <row r="7" spans="1:37" ht="18" customHeight="1">
      <c r="A7" s="1290"/>
      <c r="B7" s="3296"/>
      <c r="C7" s="1292"/>
      <c r="D7" s="351"/>
      <c r="E7" s="2940" t="s">
        <v>1406</v>
      </c>
      <c r="F7" s="347">
        <f ca="1">IF(INDIRECT("'数据-取费表'!ah"&amp;$G$1)="",INDIRECT("'数据-取费表'!k"&amp;$G$1),INDIRECT("'数据-取费表'!ah"&amp;$G$1))</f>
        <v>2104.29</v>
      </c>
      <c r="G7" s="1846"/>
      <c r="H7" s="348"/>
      <c r="I7" s="3296"/>
      <c r="J7" s="350"/>
      <c r="K7" s="351"/>
      <c r="L7" s="346" t="s">
        <v>1406</v>
      </c>
      <c r="M7" s="347">
        <f ca="1">F7</f>
        <v>2104.29</v>
      </c>
    </row>
    <row r="8" spans="1:37" ht="18" customHeight="1">
      <c r="A8" s="348"/>
      <c r="B8" s="3296"/>
      <c r="C8" s="350"/>
      <c r="D8" s="351"/>
      <c r="E8" s="346" t="s">
        <v>1407</v>
      </c>
      <c r="F8" s="347">
        <f ca="1">INDIRECT("'数据-取费表'!ai"&amp;$G$1)</f>
        <v>365</v>
      </c>
      <c r="G8" s="1846"/>
      <c r="H8" s="348"/>
      <c r="I8" s="3296"/>
      <c r="J8" s="350"/>
      <c r="K8" s="351"/>
      <c r="L8" s="346" t="s">
        <v>1407</v>
      </c>
      <c r="M8" s="347">
        <f ca="1">INDIRECT("'数据-取费表'!ai"&amp;$G$1)</f>
        <v>365</v>
      </c>
    </row>
    <row r="9" spans="1:37" ht="18" customHeight="1">
      <c r="A9" s="348"/>
      <c r="B9" s="3297"/>
      <c r="C9" s="350"/>
      <c r="D9" s="351"/>
      <c r="E9" s="346" t="s">
        <v>1408</v>
      </c>
      <c r="F9" s="356">
        <f ca="1">INDIRECT("'数据-取费表'!w"&amp;$G$1)</f>
        <v>0.1</v>
      </c>
      <c r="G9" s="1846"/>
      <c r="H9" s="348"/>
      <c r="I9" s="3297"/>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1</v>
      </c>
      <c r="D10" s="1819" t="s">
        <v>3018</v>
      </c>
      <c r="E10" s="357" t="s">
        <v>1411</v>
      </c>
      <c r="F10" s="1361" t="s">
        <v>3068</v>
      </c>
      <c r="G10" s="1846"/>
      <c r="H10" s="1286" t="s">
        <v>1039</v>
      </c>
      <c r="I10" s="1818" t="s">
        <v>1409</v>
      </c>
      <c r="J10" s="345">
        <f ca="1">ROUND(IF(M10="押一",M6*M8*M7/12*M11,IF(M10="押二",M6*M8*M7/12*2*M11,IF(M10="押三",M6*M8*M7/12*3*M11,J11*M11)))/10000,0)</f>
        <v>0</v>
      </c>
      <c r="K10" s="1819" t="s">
        <v>3018</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883</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631</v>
      </c>
      <c r="D14" s="2934" t="s">
        <v>1419</v>
      </c>
      <c r="E14" s="2932"/>
      <c r="F14" s="363"/>
      <c r="G14" s="1846"/>
      <c r="H14" s="1196" t="s">
        <v>1035</v>
      </c>
      <c r="I14" s="346" t="s">
        <v>1420</v>
      </c>
      <c r="J14" s="24">
        <f ca="1">C29</f>
        <v>981</v>
      </c>
      <c r="K14" s="2939"/>
      <c r="L14" s="974"/>
      <c r="M14" s="975"/>
    </row>
    <row r="15" spans="1:37" s="1853" customFormat="1" ht="18" customHeight="1" thickBot="1">
      <c r="A15" s="1196" t="s">
        <v>1036</v>
      </c>
      <c r="B15" s="346" t="s">
        <v>1421</v>
      </c>
      <c r="C15" s="24">
        <f ca="1">ROUND(C14*F15,0)</f>
        <v>19</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23</v>
      </c>
      <c r="K16" s="1332" t="s">
        <v>1426</v>
      </c>
      <c r="L16" s="2935"/>
      <c r="M16" s="1289"/>
    </row>
    <row r="17" spans="1:37" s="1853" customFormat="1" ht="18" customHeight="1">
      <c r="A17" s="1196" t="s">
        <v>1390</v>
      </c>
      <c r="B17" s="346" t="s">
        <v>1427</v>
      </c>
      <c r="C17" s="24">
        <f ca="1">ROUND(F17*(F43+INDIRECT("'数据-取费表'!S"&amp;$G$1))/10000,0)</f>
        <v>42</v>
      </c>
      <c r="D17" s="346" t="s">
        <v>1428</v>
      </c>
      <c r="E17" s="346" t="s">
        <v>1429</v>
      </c>
      <c r="F17" s="26">
        <f>'数据-取费表'!B35</f>
        <v>200</v>
      </c>
      <c r="G17" s="1849"/>
      <c r="H17" s="1196" t="s">
        <v>1035</v>
      </c>
      <c r="I17" s="346" t="s">
        <v>1430</v>
      </c>
      <c r="J17" s="24">
        <f ca="1">ROUND(IF(项目基本情况!B11="自然人",J5*M17,J18+J19+J20),1)</f>
        <v>8.1999999999999993</v>
      </c>
      <c r="K17" s="2934" t="s">
        <v>1431</v>
      </c>
      <c r="L17" s="293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9</v>
      </c>
      <c r="D18" s="346" t="s">
        <v>1422</v>
      </c>
      <c r="E18" s="346" t="s">
        <v>1423</v>
      </c>
      <c r="F18" s="366">
        <f>'数据-取费表'!B36</f>
        <v>1.4999999999999999E-2</v>
      </c>
      <c r="G18" s="1849"/>
      <c r="H18" s="1196" t="s">
        <v>1034</v>
      </c>
      <c r="I18" s="346" t="s">
        <v>1434</v>
      </c>
      <c r="J18" s="24">
        <f ca="1">ROUND(J5*M18/(1+'数据-取费表'!C42),2)</f>
        <v>0</v>
      </c>
      <c r="K18" s="293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701</v>
      </c>
      <c r="D19" s="140" t="s">
        <v>1437</v>
      </c>
      <c r="E19" s="2938"/>
      <c r="F19" s="26"/>
      <c r="G19" s="1846"/>
      <c r="H19" s="1196" t="s">
        <v>1036</v>
      </c>
      <c r="I19" s="346" t="s">
        <v>1438</v>
      </c>
      <c r="J19" s="24">
        <f ca="1">IF(K19="按租金收入计税",ROUND(J5*M19,2),ROUND(C29*M19*0.7,2))</f>
        <v>8.24</v>
      </c>
      <c r="K19" s="1823" t="s">
        <v>1439</v>
      </c>
      <c r="L19" s="346" t="s">
        <v>1423</v>
      </c>
      <c r="M19" s="366">
        <f>IF(K19="按租金收入计税",'数据-取费表'!B51,'数据-取费表'!B50)</f>
        <v>1.2E-2</v>
      </c>
    </row>
    <row r="20" spans="1:37" s="1853" customFormat="1" ht="18" customHeight="1">
      <c r="A20" s="1196" t="s">
        <v>1039</v>
      </c>
      <c r="B20" s="346" t="s">
        <v>1440</v>
      </c>
      <c r="C20" s="24">
        <f ca="1">ROUND(C19*F20,0)</f>
        <v>14</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2938"/>
      <c r="F22" s="26"/>
      <c r="G22" s="1846"/>
      <c r="H22" s="1196" t="s">
        <v>1039</v>
      </c>
      <c r="I22" s="346" t="s">
        <v>1450</v>
      </c>
      <c r="J22" s="24">
        <f ca="1">ROUND(J14*M22,1)</f>
        <v>14.7</v>
      </c>
      <c r="K22" s="293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34</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2933" t="s">
        <v>1455</v>
      </c>
      <c r="L23" s="346" t="s">
        <v>1423</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1392</v>
      </c>
      <c r="I24" s="1335" t="s">
        <v>1440</v>
      </c>
      <c r="J24" s="1336">
        <f ca="1">ROUND(J5*M24,1)</f>
        <v>0</v>
      </c>
      <c r="K24" s="1337" t="s">
        <v>1460</v>
      </c>
      <c r="L24" s="1335" t="s">
        <v>1423</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2938"/>
      <c r="F25" s="26"/>
      <c r="G25" s="1846"/>
      <c r="H25" s="1324" t="s">
        <v>1031</v>
      </c>
      <c r="I25" s="1339" t="s">
        <v>1464</v>
      </c>
      <c r="J25" s="354">
        <f ca="1">J5-J16</f>
        <v>-23</v>
      </c>
      <c r="K25" s="1340" t="s">
        <v>1465</v>
      </c>
      <c r="L25" s="1341"/>
      <c r="M25" s="1342"/>
    </row>
    <row r="26" spans="1:37">
      <c r="A26" s="1196" t="s">
        <v>1034</v>
      </c>
      <c r="B26" s="346" t="s">
        <v>1466</v>
      </c>
      <c r="C26" s="24">
        <f ca="1">ROUND((C19+C20)*F26,0)</f>
        <v>143</v>
      </c>
      <c r="D26" s="368" t="s">
        <v>1467</v>
      </c>
      <c r="E26" s="357" t="s">
        <v>1468</v>
      </c>
      <c r="F26" s="356">
        <f ca="1">INDIRECT("'数据-取费表'!q"&amp;$G$1)</f>
        <v>0.2</v>
      </c>
      <c r="G26" s="1846"/>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6" t="s">
        <v>1036</v>
      </c>
      <c r="B27" s="346" t="s">
        <v>1472</v>
      </c>
      <c r="C27" s="24">
        <f ca="1">ROUND(F21*F26,4)</f>
        <v>6.0000000000000001E-3</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981</v>
      </c>
      <c r="D29" s="1337"/>
      <c r="E29" s="1335"/>
      <c r="F29" s="1338"/>
      <c r="G29" s="1849"/>
      <c r="H29" s="379" t="s">
        <v>1033</v>
      </c>
      <c r="I29" s="380" t="s">
        <v>1480</v>
      </c>
      <c r="J29" s="381">
        <f ca="1">ROUND(J26/(1+F40)^F41,0)</f>
        <v>0</v>
      </c>
      <c r="K29" s="382" t="s">
        <v>1481</v>
      </c>
      <c r="L29" s="383"/>
      <c r="M29" s="384">
        <f ca="1">INDIRECT("'数据-取费表'!k"&amp;$G$1)</f>
        <v>2104.29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143</v>
      </c>
      <c r="D30" s="1332" t="s">
        <v>1426</v>
      </c>
      <c r="E30" s="2935"/>
      <c r="F30" s="1289"/>
      <c r="G30" s="1846"/>
      <c r="H30" s="742"/>
      <c r="I30" s="743"/>
      <c r="J30" s="744"/>
      <c r="K30" s="745"/>
      <c r="L30" s="746"/>
      <c r="M30" s="747"/>
    </row>
    <row r="31" spans="1:37" ht="18" customHeight="1">
      <c r="A31" s="1196" t="s">
        <v>1035</v>
      </c>
      <c r="B31" s="346" t="s">
        <v>1430</v>
      </c>
      <c r="C31" s="24">
        <f ca="1">ROUND(IF(项目基本情况!B11="自然人",C5*F31,C32+C33+C34),1)</f>
        <v>108</v>
      </c>
      <c r="D31" s="2934" t="s">
        <v>1431</v>
      </c>
      <c r="E31" s="293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33.229999999999997</v>
      </c>
      <c r="D32" s="293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74.760000000000005</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14.7</v>
      </c>
      <c r="D36" s="293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1.3</v>
      </c>
      <c r="D37" s="2933" t="s">
        <v>1455</v>
      </c>
      <c r="E37" s="346" t="s">
        <v>1423</v>
      </c>
      <c r="F37" s="375">
        <f ca="1">INDIRECT("'数据-取费表'!Al"&amp;$G$1)</f>
        <v>1.5E-3</v>
      </c>
      <c r="G37" s="1846"/>
      <c r="H37" s="1854"/>
      <c r="I37" s="1855"/>
      <c r="J37" s="1856"/>
      <c r="K37" s="748"/>
      <c r="L37" s="1854"/>
      <c r="M37" s="1854"/>
    </row>
    <row r="38" spans="1:18" ht="18" customHeight="1" thickBot="1">
      <c r="A38" s="1334" t="s">
        <v>1392</v>
      </c>
      <c r="B38" s="1335" t="s">
        <v>1440</v>
      </c>
      <c r="C38" s="1336">
        <f ca="1">ROUND(C5*F38,1)</f>
        <v>18.7</v>
      </c>
      <c r="D38" s="1337" t="s">
        <v>1460</v>
      </c>
      <c r="E38" s="1335" t="s">
        <v>1423</v>
      </c>
      <c r="F38" s="1331">
        <f ca="1">INDIRECT("'数据-取费表'!Am"&amp;$G$1)</f>
        <v>0.03</v>
      </c>
      <c r="G38" s="1846"/>
      <c r="H38" s="1854"/>
      <c r="I38" s="1855"/>
      <c r="J38" s="1856"/>
      <c r="K38" s="1860"/>
      <c r="L38" s="1854"/>
      <c r="M38" s="1854"/>
    </row>
    <row r="39" spans="1:18" ht="24.6" customHeight="1" thickTop="1">
      <c r="A39" s="1324" t="s">
        <v>1031</v>
      </c>
      <c r="B39" s="1339" t="s">
        <v>1464</v>
      </c>
      <c r="C39" s="354">
        <f ca="1">C5-C30</f>
        <v>480</v>
      </c>
      <c r="D39" s="1340" t="s">
        <v>1465</v>
      </c>
      <c r="E39" s="1341"/>
      <c r="F39" s="1342"/>
      <c r="G39" s="1846"/>
      <c r="H39" s="1854"/>
      <c r="I39" s="1855"/>
      <c r="J39" s="1856"/>
      <c r="K39" s="1860"/>
      <c r="L39" s="1854"/>
      <c r="M39" s="1854"/>
    </row>
    <row r="40" spans="1:18" ht="18" customHeight="1">
      <c r="A40" s="343" t="s">
        <v>1032</v>
      </c>
      <c r="B40" s="344" t="s">
        <v>1486</v>
      </c>
      <c r="C40" s="345">
        <f ca="1">ROUND(C39*(1-((1+F42)/(1+F40))^F41)/(F40-F42),0)</f>
        <v>8884</v>
      </c>
      <c r="D40" s="369" t="s">
        <v>1470</v>
      </c>
      <c r="E40" s="346" t="s">
        <v>1471</v>
      </c>
      <c r="F40" s="356">
        <f ca="1">INDIRECT("'数据-取费表'!I"&amp;$G$1)</f>
        <v>6.5000000000000002E-2</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31.23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42219</v>
      </c>
      <c r="D43" s="382" t="s">
        <v>1489</v>
      </c>
      <c r="E43" s="383" t="s">
        <v>1490</v>
      </c>
      <c r="F43" s="384">
        <f ca="1">INDIRECT("'数据-取费表'!k"&amp;$G$1)</f>
        <v>2104.29</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-10181</v>
      </c>
      <c r="D46" s="1867" t="str">
        <f>C2</f>
        <v>万元</v>
      </c>
      <c r="E46" s="1861"/>
      <c r="F46" s="1861"/>
      <c r="I46" s="1868" t="s">
        <v>1522</v>
      </c>
      <c r="J46" s="1869"/>
      <c r="K46" s="1870"/>
      <c r="L46" s="1871">
        <f ca="1">IF(M47="住宅",0,IF(L48&gt;J51,L60,J60))</f>
        <v>30</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40</v>
      </c>
      <c r="M47" s="1833" t="str">
        <f>IF(ISNUMBER(FIND("住宅",C1)),"住宅","非住宅")</f>
        <v>非住宅</v>
      </c>
      <c r="O47" s="1879" t="s">
        <v>1040</v>
      </c>
      <c r="P47" s="1880" t="s">
        <v>1529</v>
      </c>
      <c r="Q47" s="1881">
        <f ca="1">C40+J29</f>
        <v>8884</v>
      </c>
      <c r="R47" s="1881" t="s">
        <v>1530</v>
      </c>
    </row>
    <row r="48" spans="1:18" s="1837" customFormat="1" ht="28.5" thickBot="1">
      <c r="A48" s="1355" t="s">
        <v>1135</v>
      </c>
      <c r="B48" s="344" t="s">
        <v>1401</v>
      </c>
      <c r="C48" s="2937">
        <f ca="1">C49+C53+C55</f>
        <v>0</v>
      </c>
      <c r="D48" s="1357"/>
      <c r="E48" s="1358"/>
      <c r="F48" s="1176"/>
      <c r="G48" s="789"/>
      <c r="H48" s="790"/>
      <c r="I48" s="1882" t="s">
        <v>1531</v>
      </c>
      <c r="J48" s="1883" t="s">
        <v>3065</v>
      </c>
      <c r="K48" s="1884" t="s">
        <v>1532</v>
      </c>
      <c r="L48" s="1885">
        <f ca="1">INDIRECT("'数据-取费表'!f"&amp;$G$1)</f>
        <v>31.23</v>
      </c>
      <c r="O48" s="1879" t="s">
        <v>1041</v>
      </c>
      <c r="P48" s="1880" t="s">
        <v>1533</v>
      </c>
      <c r="Q48" s="1881">
        <f ca="1">J60</f>
        <v>30</v>
      </c>
      <c r="R48" s="1881" t="s">
        <v>1534</v>
      </c>
    </row>
    <row r="49" spans="1:18" s="1837" customFormat="1" ht="13.5" thickBot="1">
      <c r="A49" s="1189" t="s">
        <v>1136</v>
      </c>
      <c r="B49" s="1824" t="s">
        <v>1491</v>
      </c>
      <c r="C49" s="1359">
        <f ca="1">ROUND(F49*F51*F50*(1-F52)/10000,0)</f>
        <v>0</v>
      </c>
      <c r="D49" s="1271" t="s">
        <v>3021</v>
      </c>
      <c r="E49" s="1825" t="s">
        <v>1492</v>
      </c>
      <c r="F49" s="1276"/>
      <c r="G49" s="1886"/>
      <c r="H49" s="790"/>
      <c r="I49" s="1882" t="s">
        <v>1535</v>
      </c>
      <c r="J49" s="1887">
        <v>2012</v>
      </c>
      <c r="K49" s="1884" t="s">
        <v>1536</v>
      </c>
      <c r="L49" s="1888"/>
      <c r="O49" s="1889" t="s">
        <v>1042</v>
      </c>
      <c r="P49" s="1880" t="s">
        <v>1537</v>
      </c>
      <c r="Q49" s="1881">
        <f ca="1">C29</f>
        <v>981</v>
      </c>
      <c r="R49" s="1881" t="s">
        <v>1530</v>
      </c>
    </row>
    <row r="50" spans="1:18" s="1837" customFormat="1" ht="13.5" thickBot="1">
      <c r="A50" s="1190"/>
      <c r="B50" s="1193"/>
      <c r="C50" s="1363"/>
      <c r="D50" s="1167"/>
      <c r="E50" s="1272" t="s">
        <v>1406</v>
      </c>
      <c r="F50" s="1273">
        <f ca="1">F7</f>
        <v>2104.29</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365</v>
      </c>
      <c r="I51" s="1893" t="s">
        <v>1541</v>
      </c>
      <c r="J51" s="1894">
        <f>IF(J49="",J50,J49+J50-YEAR('数据-取费表'!B2))</f>
        <v>54</v>
      </c>
      <c r="K51" s="1895" t="s">
        <v>1542</v>
      </c>
      <c r="L51" s="1896">
        <f ca="1">ROUND(-PV(INDIRECT("'数据-取费表'!h"&amp;$G$1),L48,(C39-C13*C76),0),0)</f>
        <v>6334</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31.23</v>
      </c>
      <c r="R52" s="1881" t="s">
        <v>1547</v>
      </c>
    </row>
    <row r="53" spans="1:18" s="1837" customFormat="1" ht="24.75" thickBot="1">
      <c r="A53" s="1400" t="s">
        <v>1137</v>
      </c>
      <c r="B53" s="1826" t="s">
        <v>1409</v>
      </c>
      <c r="C53" s="360">
        <f ca="1">ROUND(IF(F53="押一",F49*F51*F50/12*F11,IF(F53="押二",F49*F51*F50/12*2*F11,IF(F53="押三",F49*F51*F50/12*3*F11,C54*F11)))/10000,0)</f>
        <v>0</v>
      </c>
      <c r="D53" s="1819" t="s">
        <v>3018</v>
      </c>
      <c r="E53" s="357" t="s">
        <v>1411</v>
      </c>
      <c r="F53" s="1361"/>
      <c r="I53" s="1900" t="s">
        <v>1548</v>
      </c>
      <c r="J53" s="1901">
        <f ca="1">IF(M47="住宅",J51,IF(D1="——",MIN(J51,L48),IF(D1="在建（套用方法）",MIN(J51,L48-'数据-取费表'!B24),IF(D1="土地（套用方法）",MIN(J51,L48-'数据-取费表'!B20)))))</f>
        <v>31.23</v>
      </c>
      <c r="K53" s="3293" t="s">
        <v>1549</v>
      </c>
      <c r="L53" s="3294"/>
      <c r="O53" s="1879" t="s">
        <v>1046</v>
      </c>
      <c r="P53" s="1880" t="s">
        <v>1550</v>
      </c>
      <c r="Q53" s="1881">
        <f ca="1">Q47+Q48</f>
        <v>8914</v>
      </c>
      <c r="R53" s="1881" t="s">
        <v>1047</v>
      </c>
    </row>
    <row r="54" spans="1:18" s="1837" customFormat="1" ht="13.5" thickBot="1">
      <c r="A54" s="1401"/>
      <c r="B54" s="1820" t="s">
        <v>1388</v>
      </c>
      <c r="C54" s="1173"/>
      <c r="D54" s="1819"/>
      <c r="E54" s="293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2936"/>
      <c r="F55" s="1902"/>
      <c r="I55" s="1905" t="s">
        <v>1552</v>
      </c>
      <c r="J55" s="1906">
        <f ca="1">ROUND(IF(J47="钢混",J57/J50,1-(1-2%)*(J50-J57)/J50),3)</f>
        <v>0.38</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883</v>
      </c>
      <c r="D56" s="1909"/>
      <c r="E56" s="1910"/>
      <c r="F56" s="1902"/>
      <c r="I56" s="1911" t="s">
        <v>1555</v>
      </c>
      <c r="J56" s="1912" t="s">
        <v>3041</v>
      </c>
      <c r="K56" s="1882" t="s">
        <v>1556</v>
      </c>
      <c r="L56" s="1885" t="str">
        <f ca="1">IF(L48&lt;J51,"——",L48-J53)</f>
        <v>——</v>
      </c>
      <c r="O56" s="1879" t="s">
        <v>1040</v>
      </c>
      <c r="P56" s="1880" t="s">
        <v>1529</v>
      </c>
      <c r="Q56" s="1881">
        <f ca="1">C40+J29</f>
        <v>8884</v>
      </c>
      <c r="R56" s="1881" t="s">
        <v>1530</v>
      </c>
    </row>
    <row r="57" spans="1:18" s="1837" customFormat="1" ht="24.75" thickBot="1">
      <c r="A57" s="1913"/>
      <c r="B57" s="1164" t="s">
        <v>1479</v>
      </c>
      <c r="C57" s="281">
        <f ca="1">C29</f>
        <v>981</v>
      </c>
      <c r="D57" s="1914"/>
      <c r="E57" s="1915"/>
      <c r="F57" s="1916"/>
      <c r="I57" s="1917" t="s">
        <v>1557</v>
      </c>
      <c r="J57" s="1918">
        <f ca="1">IF(OR(M47="住宅",J51&lt;L48,J56="是"),"——",J51-L48)</f>
        <v>22.77</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98</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82.4</v>
      </c>
      <c r="D59" s="1177" t="s">
        <v>1431</v>
      </c>
      <c r="E59" s="1178" t="s">
        <v>1432</v>
      </c>
      <c r="F59" s="367" t="str">
        <f ca="1">IF(项目基本情况!B11="企业","",IF(INDIRECT("'数据-取费表'!c"&amp;$G$1)="住宅",5%,IF(F49*F50*F51/12/(1+'数据-取费表'!C42)&gt;20000,12%,7%)))</f>
        <v/>
      </c>
      <c r="I59" s="1917" t="s">
        <v>1564</v>
      </c>
      <c r="J59" s="1918">
        <f ca="1">IF(OR(M47="住宅",J51&lt;L48,J56="是"),"——",ROUND(C29*J58,0))</f>
        <v>392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30</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1438</v>
      </c>
      <c r="C61" s="24">
        <f ca="1">IF(项目基本情况!B11="自然人","——",IF(D61="按租金收入计税",ROUND(C48*F61,2),IF(D61="按房产原值计税",ROUND(C57*F61*0.7,2),INDIRECT("'数据-取费表'!Aj"&amp;$G$1))))</f>
        <v>82.4</v>
      </c>
      <c r="D61" s="1823" t="s">
        <v>1439</v>
      </c>
      <c r="E61" s="1164" t="s">
        <v>1423</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1442</v>
      </c>
      <c r="C62" s="25">
        <f ca="1">IF(项目基本情况!B11="自然人","——",ROUND(F62*F63/10000,2))</f>
        <v>0</v>
      </c>
      <c r="D62" s="1179" t="s">
        <v>1443</v>
      </c>
      <c r="E62" s="1164" t="s">
        <v>1444</v>
      </c>
      <c r="F62" s="370">
        <f t="shared" si="0"/>
        <v>18</v>
      </c>
      <c r="I62" s="1924" t="s">
        <v>1571</v>
      </c>
      <c r="J62" s="1925" t="s">
        <v>1572</v>
      </c>
      <c r="K62" s="1925" t="s">
        <v>1573</v>
      </c>
      <c r="L62" s="1925" t="s">
        <v>1574</v>
      </c>
      <c r="M62" s="1926" t="s">
        <v>1575</v>
      </c>
      <c r="O62" s="1879" t="s">
        <v>1046</v>
      </c>
      <c r="P62" s="1880" t="s">
        <v>1550</v>
      </c>
      <c r="Q62" s="1881">
        <f ca="1">Q56+Q57</f>
        <v>8884</v>
      </c>
      <c r="R62" s="1881" t="s">
        <v>1047</v>
      </c>
    </row>
    <row r="63" spans="1:18" s="1837" customFormat="1" ht="13.5" thickBot="1">
      <c r="A63" s="371"/>
      <c r="B63" s="1170"/>
      <c r="C63" s="29"/>
      <c r="D63" s="1180"/>
      <c r="E63" s="1164" t="s">
        <v>1448</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1039</v>
      </c>
      <c r="B64" s="1164" t="s">
        <v>1450</v>
      </c>
      <c r="C64" s="24">
        <f ca="1">ROUND(C57*F64,1)</f>
        <v>14.7</v>
      </c>
      <c r="D64" s="1178" t="s">
        <v>1483</v>
      </c>
      <c r="E64" s="1164" t="s">
        <v>1423</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1.3</v>
      </c>
      <c r="D65" s="1178" t="s">
        <v>1455</v>
      </c>
      <c r="E65" s="1164" t="s">
        <v>1423</v>
      </c>
      <c r="F65" s="375">
        <f t="shared" ca="1" si="0"/>
        <v>1.5E-3</v>
      </c>
      <c r="I65" s="1924" t="s">
        <v>1580</v>
      </c>
      <c r="J65" s="1925">
        <v>40</v>
      </c>
      <c r="K65" s="1925">
        <v>30</v>
      </c>
      <c r="L65" s="1925">
        <v>50</v>
      </c>
      <c r="M65" s="1927">
        <v>0.02</v>
      </c>
      <c r="O65" s="1879" t="s">
        <v>1040</v>
      </c>
      <c r="P65" s="1880" t="s">
        <v>1529</v>
      </c>
      <c r="Q65" s="1881">
        <f ca="1">C40+J29</f>
        <v>8884</v>
      </c>
      <c r="R65" s="1881" t="s">
        <v>1530</v>
      </c>
    </row>
    <row r="66" spans="1:18" s="1837" customFormat="1" ht="16.5" thickBot="1">
      <c r="A66" s="1196" t="s">
        <v>1505</v>
      </c>
      <c r="B66" s="1164" t="s">
        <v>1440</v>
      </c>
      <c r="C66" s="24">
        <f ca="1">ROUND(C48*F66,1)</f>
        <v>0</v>
      </c>
      <c r="D66" s="1178" t="s">
        <v>1460</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-98</v>
      </c>
      <c r="D67" s="1177" t="s">
        <v>1465</v>
      </c>
      <c r="E67" s="1182"/>
      <c r="F67" s="1183"/>
      <c r="O67" s="1889" t="s">
        <v>1042</v>
      </c>
      <c r="P67" s="1880" t="s">
        <v>1563</v>
      </c>
      <c r="Q67" s="1928">
        <f ca="1">L51</f>
        <v>6334</v>
      </c>
      <c r="R67" s="1881" t="s">
        <v>1583</v>
      </c>
    </row>
    <row r="68" spans="1:18" s="1837" customFormat="1" ht="16.5" thickBot="1">
      <c r="A68" s="1161" t="s">
        <v>1032</v>
      </c>
      <c r="B68" s="1162" t="s">
        <v>1486</v>
      </c>
      <c r="C68" s="345">
        <f ca="1">ROUND(C67*(1-((1+F70)/(1+F68))^F69)/(F68-F70),0)</f>
        <v>-1297</v>
      </c>
      <c r="D68" s="1179" t="s">
        <v>1470</v>
      </c>
      <c r="E68" s="1164" t="s">
        <v>1471</v>
      </c>
      <c r="F68" s="356">
        <f ca="1">F40</f>
        <v>6.5000000000000002E-2</v>
      </c>
      <c r="O68" s="1889" t="s">
        <v>1043</v>
      </c>
      <c r="P68" s="1929" t="s">
        <v>1584</v>
      </c>
      <c r="Q68" s="1881">
        <f ca="1">ROUND(Q69-Q70*Q71,0)</f>
        <v>405</v>
      </c>
      <c r="R68" s="1881" t="s">
        <v>1051</v>
      </c>
    </row>
    <row r="69" spans="1:18" s="1837" customFormat="1" ht="13.5" thickBot="1">
      <c r="A69" s="1165"/>
      <c r="B69" s="1166"/>
      <c r="C69" s="350"/>
      <c r="D69" s="1184" t="s">
        <v>1474</v>
      </c>
      <c r="E69" s="1164" t="s">
        <v>1475</v>
      </c>
      <c r="F69" s="378">
        <f ca="1">F41</f>
        <v>31.23</v>
      </c>
      <c r="O69" s="1889" t="s">
        <v>1048</v>
      </c>
      <c r="P69" s="1929" t="s">
        <v>1585</v>
      </c>
      <c r="Q69" s="1881">
        <f ca="1">C39</f>
        <v>480</v>
      </c>
      <c r="R69" s="1881" t="s">
        <v>1530</v>
      </c>
    </row>
    <row r="70" spans="1:18" s="1837" customFormat="1" ht="13.5" thickBot="1">
      <c r="A70" s="1168"/>
      <c r="B70" s="1169"/>
      <c r="C70" s="354"/>
      <c r="D70" s="1180"/>
      <c r="E70" s="1164" t="s">
        <v>1478</v>
      </c>
      <c r="F70" s="1270"/>
      <c r="O70" s="1889" t="s">
        <v>1049</v>
      </c>
      <c r="P70" s="1929" t="s">
        <v>1586</v>
      </c>
      <c r="Q70" s="1881">
        <f ca="1">C13</f>
        <v>883</v>
      </c>
      <c r="R70" s="1881" t="s">
        <v>1530</v>
      </c>
    </row>
    <row r="71" spans="1:18" s="1837" customFormat="1" ht="13.5" thickBot="1">
      <c r="A71" s="1185" t="s">
        <v>1033</v>
      </c>
      <c r="B71" s="1186" t="s">
        <v>1488</v>
      </c>
      <c r="C71" s="381">
        <f ca="1">ROUND(C68*10000/F71,0)</f>
        <v>-6164</v>
      </c>
      <c r="D71" s="1187" t="s">
        <v>1489</v>
      </c>
      <c r="E71" s="1188" t="s">
        <v>1490</v>
      </c>
      <c r="F71" s="384">
        <f ca="1">F43</f>
        <v>2104.29</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75</v>
      </c>
      <c r="D75" s="1837"/>
      <c r="E75" s="1837"/>
      <c r="F75" s="1837"/>
      <c r="K75" s="1863"/>
      <c r="L75" s="1837"/>
      <c r="O75" s="1879" t="s">
        <v>1046</v>
      </c>
      <c r="P75" s="1880" t="s">
        <v>1550</v>
      </c>
      <c r="Q75" s="1881">
        <f ca="1">Q65+Q66</f>
        <v>8884</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0.84399999999999997</v>
      </c>
    </row>
    <row r="80" spans="1:18">
      <c r="B80" s="385" t="s">
        <v>1512</v>
      </c>
      <c r="C80" s="317">
        <f ca="1">ROUND(C75/C39,3)</f>
        <v>0.156</v>
      </c>
    </row>
    <row r="81" spans="2:3">
      <c r="B81" s="313" t="s">
        <v>1513</v>
      </c>
      <c r="C81" s="281"/>
    </row>
    <row r="82" spans="2:3">
      <c r="B82" s="316" t="s">
        <v>1514</v>
      </c>
      <c r="C82" s="318">
        <f ca="1">1-C83</f>
        <v>0.90100000000000002</v>
      </c>
    </row>
    <row r="83" spans="2:3">
      <c r="B83" s="316" t="s">
        <v>1515</v>
      </c>
      <c r="C83" s="317">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1" customWidth="1"/>
    <col min="2" max="2" width="20.625" style="704" customWidth="1"/>
    <col min="3" max="3" width="11.875" style="704"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0" customWidth="1"/>
    <col min="12" max="12" width="16.375" style="301" customWidth="1"/>
    <col min="13" max="13" width="13" style="301" customWidth="1"/>
    <col min="14" max="14" width="13.625" style="1837" customWidth="1"/>
    <col min="15" max="15" width="5.125" style="1837" customWidth="1"/>
    <col min="16" max="16" width="25.625" style="1837" customWidth="1"/>
    <col min="17" max="17" width="13.625" style="1837" customWidth="1"/>
    <col min="18" max="18" width="20.5" style="1837" customWidth="1"/>
    <col min="19" max="19" width="13.125" style="1837" customWidth="1"/>
    <col min="20" max="37" width="8.875" style="1837"/>
    <col min="38" max="16384" width="8.875" style="301"/>
  </cols>
  <sheetData>
    <row r="1" spans="1:37" s="336" customFormat="1" ht="21">
      <c r="A1" s="1828" t="s">
        <v>1590</v>
      </c>
      <c r="B1" s="779"/>
      <c r="C1" s="1832" t="s">
        <v>3062</v>
      </c>
      <c r="D1" s="1815" t="s">
        <v>70</v>
      </c>
      <c r="E1" s="1816" t="s">
        <v>1387</v>
      </c>
      <c r="F1" s="1278">
        <f ca="1">J53</f>
        <v>41.23</v>
      </c>
      <c r="G1" s="1831">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1516</v>
      </c>
      <c r="B2" s="1839">
        <f ca="1">C40+J29+L46</f>
        <v>280</v>
      </c>
      <c r="C2" s="1840" t="s">
        <v>1517</v>
      </c>
      <c r="D2" s="1840"/>
      <c r="E2" s="1841"/>
      <c r="F2" s="1842"/>
      <c r="G2" s="1843"/>
      <c r="H2" s="1835"/>
      <c r="I2" s="1835"/>
      <c r="J2" s="1835"/>
      <c r="K2" s="1836"/>
      <c r="L2" s="1835"/>
      <c r="M2" s="1835"/>
    </row>
    <row r="3" spans="1:37" ht="18" customHeight="1" thickBot="1">
      <c r="A3" s="1844" t="s">
        <v>1518</v>
      </c>
      <c r="B3" s="1845">
        <f ca="1">IF(ISERROR(B2*10000/F43),0,ROUND(B2*10000/F43,0))</f>
        <v>2824</v>
      </c>
      <c r="C3" s="1840" t="s">
        <v>1519</v>
      </c>
      <c r="D3" s="1840"/>
      <c r="E3" s="1841"/>
      <c r="F3" s="1842"/>
      <c r="G3" s="1843"/>
      <c r="H3" s="741" t="s">
        <v>1589</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20</v>
      </c>
      <c r="D5" s="1817" t="s">
        <v>1402</v>
      </c>
      <c r="E5" s="1288"/>
      <c r="F5" s="1289"/>
      <c r="G5" s="1846"/>
      <c r="H5" s="343">
        <v>1</v>
      </c>
      <c r="I5" s="344" t="s">
        <v>1401</v>
      </c>
      <c r="J5" s="1287">
        <f ca="1">J6+J10+J12</f>
        <v>0</v>
      </c>
      <c r="K5" s="1817" t="s">
        <v>1402</v>
      </c>
      <c r="L5" s="1288"/>
      <c r="M5" s="1289"/>
    </row>
    <row r="6" spans="1:37" ht="18" customHeight="1">
      <c r="A6" s="1286" t="s">
        <v>1035</v>
      </c>
      <c r="B6" s="3295" t="s">
        <v>1403</v>
      </c>
      <c r="C6" s="1291">
        <f ca="1">ROUND(F6*F8*F7*(1-F9)/10000,0)</f>
        <v>20</v>
      </c>
      <c r="D6" s="163" t="s">
        <v>3022</v>
      </c>
      <c r="E6" s="346" t="s">
        <v>1405</v>
      </c>
      <c r="F6" s="347">
        <f ca="1">INDIRECT("'数据-取费表'!u"&amp;$G$1)</f>
        <v>800</v>
      </c>
      <c r="G6" s="1846"/>
      <c r="H6" s="1286" t="s">
        <v>1035</v>
      </c>
      <c r="I6" s="3295" t="s">
        <v>1403</v>
      </c>
      <c r="J6" s="345">
        <f ca="1">ROUND(M6*M8*M7*(1-M9)/10000,0)</f>
        <v>0</v>
      </c>
      <c r="K6" s="163" t="s">
        <v>3021</v>
      </c>
      <c r="L6" s="346" t="s">
        <v>1405</v>
      </c>
      <c r="M6" s="347">
        <f ca="1">INDIRECT("'数据-取费表'!z"&amp;$G$1)</f>
        <v>0</v>
      </c>
    </row>
    <row r="7" spans="1:37" ht="18" customHeight="1">
      <c r="A7" s="1290"/>
      <c r="B7" s="3296"/>
      <c r="C7" s="1292"/>
      <c r="D7" s="351"/>
      <c r="E7" s="2940" t="s">
        <v>1406</v>
      </c>
      <c r="F7" s="347">
        <f ca="1">IF(INDIRECT("'数据-取费表'!ah"&amp;$G$1)="",INDIRECT("'数据-取费表'!k"&amp;$G$1),INDIRECT("'数据-取费表'!ah"&amp;$G$1))</f>
        <v>23</v>
      </c>
      <c r="G7" s="1846"/>
      <c r="H7" s="348"/>
      <c r="I7" s="3296"/>
      <c r="J7" s="350"/>
      <c r="K7" s="351"/>
      <c r="L7" s="346" t="s">
        <v>1406</v>
      </c>
      <c r="M7" s="347">
        <f ca="1">F7</f>
        <v>23</v>
      </c>
    </row>
    <row r="8" spans="1:37" ht="18" customHeight="1">
      <c r="A8" s="348"/>
      <c r="B8" s="3296"/>
      <c r="C8" s="350"/>
      <c r="D8" s="351"/>
      <c r="E8" s="346" t="s">
        <v>1407</v>
      </c>
      <c r="F8" s="347">
        <f ca="1">INDIRECT("'数据-取费表'!ai"&amp;$G$1)</f>
        <v>12</v>
      </c>
      <c r="G8" s="1846"/>
      <c r="H8" s="348"/>
      <c r="I8" s="3296"/>
      <c r="J8" s="350"/>
      <c r="K8" s="351"/>
      <c r="L8" s="346" t="s">
        <v>1407</v>
      </c>
      <c r="M8" s="347">
        <f ca="1">INDIRECT("'数据-取费表'!ai"&amp;$G$1)</f>
        <v>12</v>
      </c>
    </row>
    <row r="9" spans="1:37" ht="18" customHeight="1">
      <c r="A9" s="348"/>
      <c r="B9" s="3297"/>
      <c r="C9" s="350"/>
      <c r="D9" s="351"/>
      <c r="E9" s="346" t="s">
        <v>1408</v>
      </c>
      <c r="F9" s="356">
        <f ca="1">INDIRECT("'数据-取费表'!w"&amp;$G$1)</f>
        <v>0.1</v>
      </c>
      <c r="G9" s="1846"/>
      <c r="H9" s="348"/>
      <c r="I9" s="3297"/>
      <c r="J9" s="350"/>
      <c r="K9" s="351"/>
      <c r="L9" s="357" t="s">
        <v>1408</v>
      </c>
      <c r="M9" s="358">
        <f ca="1">INDIRECT("'数据-取费表'!ab"&amp;$G$1)</f>
        <v>0</v>
      </c>
    </row>
    <row r="10" spans="1:37" ht="18" customHeight="1">
      <c r="A10" s="1286" t="s">
        <v>1039</v>
      </c>
      <c r="B10" s="1818" t="s">
        <v>1409</v>
      </c>
      <c r="C10" s="360">
        <f ca="1">ROUND(IF(F10="押一",F6*F8*F7/12*F11,IF(F10="押二",F6*F8*F7/12*2*F11,IF(F10="押三",F6*F8*F7/12*3*F11,C11*F11)))/10000,0)</f>
        <v>0</v>
      </c>
      <c r="D10" s="1819" t="s">
        <v>3018</v>
      </c>
      <c r="E10" s="357" t="s">
        <v>1411</v>
      </c>
      <c r="F10" s="1361" t="s">
        <v>3068</v>
      </c>
      <c r="G10" s="1846"/>
      <c r="H10" s="1286" t="s">
        <v>1039</v>
      </c>
      <c r="I10" s="1818" t="s">
        <v>1409</v>
      </c>
      <c r="J10" s="345">
        <f ca="1">ROUND(IF(M10="押一",M6*M8*M7/12*M11,IF(M10="押二",M6*M8*M7/12*2*M11,IF(M10="押三",M6*M8*M7/12*3*M11,J11*M11)))/10000,0)</f>
        <v>0</v>
      </c>
      <c r="K10" s="1819" t="s">
        <v>3018</v>
      </c>
      <c r="L10" s="357" t="s">
        <v>1411</v>
      </c>
      <c r="M10" s="1361" t="s">
        <v>1412</v>
      </c>
    </row>
    <row r="11" spans="1:37" ht="18" customHeight="1">
      <c r="A11" s="352"/>
      <c r="B11" s="1820" t="s">
        <v>1388</v>
      </c>
      <c r="C11" s="1173"/>
      <c r="D11" s="1821"/>
      <c r="E11" s="357" t="s">
        <v>1413</v>
      </c>
      <c r="F11" s="358">
        <f ca="1">'数据-取费表'!B39</f>
        <v>1.4999999999999999E-2</v>
      </c>
      <c r="G11" s="1846"/>
      <c r="H11" s="1294"/>
      <c r="I11" s="1820" t="s">
        <v>1388</v>
      </c>
      <c r="J11" s="1173"/>
      <c r="K11" s="745"/>
      <c r="L11" s="357" t="s">
        <v>1413</v>
      </c>
      <c r="M11" s="1051">
        <f ca="1">'数据-取费表'!B39</f>
        <v>1.4999999999999999E-2</v>
      </c>
    </row>
    <row r="12" spans="1:37" ht="18" customHeight="1" thickBot="1">
      <c r="A12" s="1328" t="s">
        <v>1075</v>
      </c>
      <c r="B12" s="1822" t="s">
        <v>1414</v>
      </c>
      <c r="C12" s="1329"/>
      <c r="D12" s="1330"/>
      <c r="E12" s="1335"/>
      <c r="F12" s="1331"/>
      <c r="G12" s="1846"/>
      <c r="H12" s="1328" t="s">
        <v>1075</v>
      </c>
      <c r="I12" s="1822" t="s">
        <v>1414</v>
      </c>
      <c r="J12" s="1329"/>
      <c r="K12" s="1343"/>
      <c r="L12" s="1335"/>
      <c r="M12" s="1344"/>
    </row>
    <row r="13" spans="1:37" ht="18" customHeight="1" thickTop="1">
      <c r="A13" s="1324">
        <v>2</v>
      </c>
      <c r="B13" s="1325" t="s">
        <v>1415</v>
      </c>
      <c r="C13" s="354">
        <f ca="1">ROUND(C29*F13,0)</f>
        <v>246</v>
      </c>
      <c r="D13" s="1326" t="s">
        <v>1416</v>
      </c>
      <c r="E13" s="1326" t="s">
        <v>1417</v>
      </c>
      <c r="F13" s="1327">
        <f ca="1">INDIRECT("'数据-取费表'!y"&amp;$G$1)</f>
        <v>0.9</v>
      </c>
      <c r="G13" s="1846"/>
      <c r="H13" s="1324">
        <v>2</v>
      </c>
      <c r="I13" s="1325" t="s">
        <v>1415</v>
      </c>
      <c r="J13" s="1285">
        <f ca="1">ROUND(J14*J15,0)</f>
        <v>0</v>
      </c>
      <c r="K13" s="1332" t="s">
        <v>1416</v>
      </c>
      <c r="L13" s="1847"/>
      <c r="M13" s="1848"/>
    </row>
    <row r="14" spans="1:37" ht="18" customHeight="1">
      <c r="A14" s="1196" t="s">
        <v>1034</v>
      </c>
      <c r="B14" s="346" t="s">
        <v>1418</v>
      </c>
      <c r="C14" s="362">
        <f ca="1">INDIRECT("'数据-取费表'!m"&amp;$G$1)+INDIRECT("'数据-取费表'!t"&amp;$G$1)</f>
        <v>198</v>
      </c>
      <c r="D14" s="2934" t="s">
        <v>1419</v>
      </c>
      <c r="E14" s="2932"/>
      <c r="F14" s="363"/>
      <c r="G14" s="1846"/>
      <c r="H14" s="1196" t="s">
        <v>1035</v>
      </c>
      <c r="I14" s="346" t="s">
        <v>1420</v>
      </c>
      <c r="J14" s="24">
        <f ca="1">C29</f>
        <v>273</v>
      </c>
      <c r="K14" s="2939"/>
      <c r="L14" s="974"/>
      <c r="M14" s="975"/>
    </row>
    <row r="15" spans="1:37" s="1853" customFormat="1" ht="18" customHeight="1" thickBot="1">
      <c r="A15" s="1196" t="s">
        <v>1036</v>
      </c>
      <c r="B15" s="346" t="s">
        <v>1421</v>
      </c>
      <c r="C15" s="24">
        <f ca="1">ROUND(C14*F15,0)</f>
        <v>6</v>
      </c>
      <c r="D15" s="364" t="s">
        <v>1422</v>
      </c>
      <c r="E15" s="364" t="s">
        <v>1423</v>
      </c>
      <c r="F15" s="365">
        <f>'数据-取费表'!B33</f>
        <v>0.03</v>
      </c>
      <c r="G15" s="1849"/>
      <c r="H15" s="1334" t="s">
        <v>1039</v>
      </c>
      <c r="I15" s="1335" t="s">
        <v>1417</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6" t="s">
        <v>1424</v>
      </c>
      <c r="C16" s="24">
        <f ca="1">ROUND(INDIRECT("'数据-取费表'!m"&amp;$G$1)*F16,0)</f>
        <v>0</v>
      </c>
      <c r="D16" s="346" t="s">
        <v>1422</v>
      </c>
      <c r="E16" s="346" t="s">
        <v>1423</v>
      </c>
      <c r="F16" s="366">
        <f ca="1">IF(INDIRECT("'数据-取费表'!c"&amp;$G$1)="住宅",'数据-取费表'!B34,0)</f>
        <v>0</v>
      </c>
      <c r="G16" s="1846"/>
      <c r="H16" s="1324" t="s">
        <v>1030</v>
      </c>
      <c r="I16" s="1325" t="s">
        <v>1425</v>
      </c>
      <c r="J16" s="354">
        <f ca="1">ROUND(J17+J22+J23+J24,0)</f>
        <v>6</v>
      </c>
      <c r="K16" s="1332" t="s">
        <v>1426</v>
      </c>
      <c r="L16" s="2935"/>
      <c r="M16" s="1289"/>
    </row>
    <row r="17" spans="1:37" s="1853" customFormat="1" ht="18" customHeight="1">
      <c r="A17" s="1196" t="s">
        <v>1390</v>
      </c>
      <c r="B17" s="346" t="s">
        <v>1427</v>
      </c>
      <c r="C17" s="24">
        <f ca="1">ROUND(F17*(F43+INDIRECT("'数据-取费表'!S"&amp;$G$1))/10000,0)</f>
        <v>20</v>
      </c>
      <c r="D17" s="346" t="s">
        <v>1428</v>
      </c>
      <c r="E17" s="346" t="s">
        <v>1429</v>
      </c>
      <c r="F17" s="26">
        <f>'数据-取费表'!B35</f>
        <v>200</v>
      </c>
      <c r="G17" s="1849"/>
      <c r="H17" s="1196" t="s">
        <v>1035</v>
      </c>
      <c r="I17" s="346" t="s">
        <v>1430</v>
      </c>
      <c r="J17" s="24">
        <f ca="1">ROUND(IF(项目基本情况!B11="自然人",J5*M17,J18+J19+J20),1)</f>
        <v>2.2999999999999998</v>
      </c>
      <c r="K17" s="2934" t="s">
        <v>1431</v>
      </c>
      <c r="L17" s="2933" t="s">
        <v>1432</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6" t="s">
        <v>1433</v>
      </c>
      <c r="C18" s="24">
        <f ca="1">ROUND(C14*F18,0)</f>
        <v>3</v>
      </c>
      <c r="D18" s="346" t="s">
        <v>1422</v>
      </c>
      <c r="E18" s="346" t="s">
        <v>1423</v>
      </c>
      <c r="F18" s="366">
        <f>'数据-取费表'!B36</f>
        <v>1.4999999999999999E-2</v>
      </c>
      <c r="G18" s="1849"/>
      <c r="H18" s="1196" t="s">
        <v>1034</v>
      </c>
      <c r="I18" s="346" t="s">
        <v>1434</v>
      </c>
      <c r="J18" s="24">
        <f ca="1">ROUND(J5*M18/(1+'数据-取费表'!C42),2)</f>
        <v>0</v>
      </c>
      <c r="K18" s="2933" t="s">
        <v>1435</v>
      </c>
      <c r="L18" s="346" t="s">
        <v>1423</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6" t="s">
        <v>1436</v>
      </c>
      <c r="C19" s="24">
        <f ca="1">SUM(C14:C18)</f>
        <v>227</v>
      </c>
      <c r="D19" s="140" t="s">
        <v>1437</v>
      </c>
      <c r="E19" s="2938"/>
      <c r="F19" s="26"/>
      <c r="G19" s="1846"/>
      <c r="H19" s="1196" t="s">
        <v>1036</v>
      </c>
      <c r="I19" s="346" t="s">
        <v>1438</v>
      </c>
      <c r="J19" s="24">
        <f ca="1">IF(K19="按租金收入计税",ROUND(J5*M19,2),ROUND(C29*M19*0.7,2))</f>
        <v>2.29</v>
      </c>
      <c r="K19" s="1823" t="s">
        <v>1439</v>
      </c>
      <c r="L19" s="346" t="s">
        <v>1423</v>
      </c>
      <c r="M19" s="366">
        <f>IF(K19="按租金收入计税",'数据-取费表'!B51,'数据-取费表'!B50)</f>
        <v>1.2E-2</v>
      </c>
    </row>
    <row r="20" spans="1:37" s="1853" customFormat="1" ht="18" customHeight="1">
      <c r="A20" s="1196" t="s">
        <v>1039</v>
      </c>
      <c r="B20" s="346" t="s">
        <v>1440</v>
      </c>
      <c r="C20" s="24">
        <f ca="1">ROUND(C19*F20,0)</f>
        <v>5</v>
      </c>
      <c r="D20" s="368" t="s">
        <v>1441</v>
      </c>
      <c r="E20" s="346" t="s">
        <v>1423</v>
      </c>
      <c r="F20" s="366">
        <f>'数据-取费表'!B37</f>
        <v>0.02</v>
      </c>
      <c r="G20" s="1849"/>
      <c r="H20" s="1196" t="s">
        <v>1389</v>
      </c>
      <c r="I20" s="163" t="s">
        <v>1442</v>
      </c>
      <c r="J20" s="25">
        <f ca="1">ROUND(M20*M21/10000,2)</f>
        <v>0</v>
      </c>
      <c r="K20" s="369" t="s">
        <v>1443</v>
      </c>
      <c r="L20" s="346" t="s">
        <v>1444</v>
      </c>
      <c r="M20" s="370">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6" t="s">
        <v>1445</v>
      </c>
      <c r="C21" s="24" t="s">
        <v>18</v>
      </c>
      <c r="D21" s="368" t="s">
        <v>1446</v>
      </c>
      <c r="E21" s="346" t="s">
        <v>1447</v>
      </c>
      <c r="F21" s="366">
        <f>'数据-取费表'!B38</f>
        <v>0.03</v>
      </c>
      <c r="G21" s="1849"/>
      <c r="H21" s="371"/>
      <c r="I21" s="355"/>
      <c r="J21" s="29"/>
      <c r="K21" s="372"/>
      <c r="L21" s="346" t="s">
        <v>1448</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6" t="s">
        <v>1449</v>
      </c>
      <c r="C22" s="24"/>
      <c r="D22" s="140" t="str">
        <f>IF(F23&lt;=1,"单利计息。","复利计息。")&amp;"建造成本、管理费用、销售费用产生的利息。"</f>
        <v>复利计息。建造成本、管理费用、销售费用产生的利息。</v>
      </c>
      <c r="E22" s="2938"/>
      <c r="F22" s="26"/>
      <c r="G22" s="1846"/>
      <c r="H22" s="1196" t="s">
        <v>1039</v>
      </c>
      <c r="I22" s="346" t="s">
        <v>1450</v>
      </c>
      <c r="J22" s="24">
        <f ca="1">ROUND(J14*M22,1)</f>
        <v>4.0999999999999996</v>
      </c>
      <c r="K22" s="2933" t="s">
        <v>1451</v>
      </c>
      <c r="L22" s="346" t="s">
        <v>1423</v>
      </c>
      <c r="M22" s="373">
        <f ca="1">INDIRECT("'数据-取费表'!Ak"&amp;$G$1)</f>
        <v>1.4999999999999999E-2</v>
      </c>
    </row>
    <row r="23" spans="1:37" s="1853" customFormat="1" ht="18" customHeight="1">
      <c r="A23" s="1196" t="s">
        <v>1034</v>
      </c>
      <c r="B23" s="346" t="s">
        <v>1452</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1453</v>
      </c>
      <c r="F23" s="370">
        <f>'数据-取费表'!B20</f>
        <v>2</v>
      </c>
      <c r="G23" s="1849"/>
      <c r="H23" s="1196" t="s">
        <v>1075</v>
      </c>
      <c r="I23" s="346" t="s">
        <v>1454</v>
      </c>
      <c r="J23" s="24">
        <f ca="1">ROUND(J13*M23,1)</f>
        <v>0</v>
      </c>
      <c r="K23" s="2933" t="s">
        <v>1455</v>
      </c>
      <c r="L23" s="346" t="s">
        <v>1423</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6" t="s">
        <v>1458</v>
      </c>
      <c r="C24" s="24">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49"/>
      <c r="H24" s="1334" t="s">
        <v>1392</v>
      </c>
      <c r="I24" s="1335" t="s">
        <v>1440</v>
      </c>
      <c r="J24" s="1336">
        <f ca="1">ROUND(J5*M24,1)</f>
        <v>0</v>
      </c>
      <c r="K24" s="1337" t="s">
        <v>1460</v>
      </c>
      <c r="L24" s="1335" t="s">
        <v>1423</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1461</v>
      </c>
      <c r="B25" s="346" t="s">
        <v>1462</v>
      </c>
      <c r="C25" s="24"/>
      <c r="D25" s="140" t="s">
        <v>1463</v>
      </c>
      <c r="E25" s="2938"/>
      <c r="F25" s="26"/>
      <c r="G25" s="1846"/>
      <c r="H25" s="1324" t="s">
        <v>1031</v>
      </c>
      <c r="I25" s="1339" t="s">
        <v>1464</v>
      </c>
      <c r="J25" s="354">
        <f ca="1">J5-J16</f>
        <v>-6</v>
      </c>
      <c r="K25" s="1340" t="s">
        <v>1465</v>
      </c>
      <c r="L25" s="1341"/>
      <c r="M25" s="1342"/>
    </row>
    <row r="26" spans="1:37">
      <c r="A26" s="1196" t="s">
        <v>1034</v>
      </c>
      <c r="B26" s="346" t="s">
        <v>1466</v>
      </c>
      <c r="C26" s="24">
        <f ca="1">ROUND((C19+C20)*F26,0)</f>
        <v>7</v>
      </c>
      <c r="D26" s="368" t="s">
        <v>1467</v>
      </c>
      <c r="E26" s="357" t="s">
        <v>1468</v>
      </c>
      <c r="F26" s="356">
        <f ca="1">INDIRECT("'数据-取费表'!q"&amp;$G$1)</f>
        <v>0.03</v>
      </c>
      <c r="G26" s="1846"/>
      <c r="H26" s="343" t="s">
        <v>1032</v>
      </c>
      <c r="I26" s="344" t="s">
        <v>1469</v>
      </c>
      <c r="J26" s="345">
        <f ca="1">IF(J5&lt;&gt;0,ROUND(J25*(1-((1+M28)/(1+M26))^M27)/(M26-M28),0),0)</f>
        <v>0</v>
      </c>
      <c r="K26" s="369" t="s">
        <v>1470</v>
      </c>
      <c r="L26" s="346" t="s">
        <v>1471</v>
      </c>
      <c r="M26" s="356">
        <f ca="1">INDIRECT("'数据-取费表'!I"&amp;$G$1)</f>
        <v>5.5E-2</v>
      </c>
    </row>
    <row r="27" spans="1:37" ht="18" customHeight="1">
      <c r="A27" s="1196" t="s">
        <v>1036</v>
      </c>
      <c r="B27" s="346" t="s">
        <v>1472</v>
      </c>
      <c r="C27" s="24">
        <f ca="1">ROUND(F21*F26,4)</f>
        <v>8.9999999999999998E-4</v>
      </c>
      <c r="D27" s="368" t="s">
        <v>1473</v>
      </c>
      <c r="E27" s="364"/>
      <c r="F27" s="365"/>
      <c r="G27" s="1846"/>
      <c r="H27" s="348"/>
      <c r="I27" s="349"/>
      <c r="J27" s="350"/>
      <c r="K27" s="377" t="s">
        <v>1474</v>
      </c>
      <c r="L27" s="346" t="s">
        <v>1475</v>
      </c>
      <c r="M27" s="378">
        <f ca="1">INDIRECT("'数据-取费表'!ag"&amp;$G$1)</f>
        <v>0</v>
      </c>
    </row>
    <row r="28" spans="1:37" s="1853" customFormat="1" ht="18" customHeight="1">
      <c r="A28" s="1196" t="s">
        <v>1037</v>
      </c>
      <c r="B28" s="346" t="s">
        <v>1476</v>
      </c>
      <c r="C28" s="24">
        <f>ROUND(F28/(1+'数据-取费表'!C42),4)</f>
        <v>5.33E-2</v>
      </c>
      <c r="D28" s="368" t="s">
        <v>1477</v>
      </c>
      <c r="E28" s="346" t="s">
        <v>1423</v>
      </c>
      <c r="F28" s="366">
        <f>'数据-取费表'!B41</f>
        <v>5.6000000000000001E-2</v>
      </c>
      <c r="G28" s="1849"/>
      <c r="H28" s="352"/>
      <c r="I28" s="353"/>
      <c r="J28" s="354"/>
      <c r="K28" s="372"/>
      <c r="L28" s="346" t="s">
        <v>1478</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1479</v>
      </c>
      <c r="C29" s="1336">
        <f ca="1">ROUND((C19+C20+C23+C26)/(1-F21-C24-C27-C28),0)</f>
        <v>273</v>
      </c>
      <c r="D29" s="1337"/>
      <c r="E29" s="1335"/>
      <c r="F29" s="1338"/>
      <c r="G29" s="1849"/>
      <c r="H29" s="379" t="s">
        <v>1033</v>
      </c>
      <c r="I29" s="380" t="s">
        <v>1480</v>
      </c>
      <c r="J29" s="381">
        <f ca="1">ROUND(J26/(1+F40)^F41,0)</f>
        <v>0</v>
      </c>
      <c r="K29" s="382" t="s">
        <v>1481</v>
      </c>
      <c r="L29" s="383"/>
      <c r="M29" s="384">
        <f ca="1">INDIRECT("'数据-取费表'!k"&amp;$G$1)</f>
        <v>991.5300000000002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1425</v>
      </c>
      <c r="C30" s="354">
        <f ca="1">ROUND(C31+C36+C37+C38,0)</f>
        <v>9</v>
      </c>
      <c r="D30" s="1332" t="s">
        <v>1426</v>
      </c>
      <c r="E30" s="2935"/>
      <c r="F30" s="1289"/>
      <c r="G30" s="1846"/>
      <c r="H30" s="742"/>
      <c r="I30" s="743"/>
      <c r="J30" s="744"/>
      <c r="K30" s="745"/>
      <c r="L30" s="746"/>
      <c r="M30" s="747"/>
    </row>
    <row r="31" spans="1:37" ht="18" customHeight="1">
      <c r="A31" s="1196" t="s">
        <v>1035</v>
      </c>
      <c r="B31" s="346" t="s">
        <v>1430</v>
      </c>
      <c r="C31" s="24">
        <f ca="1">ROUND(IF(项目基本情况!B11="自然人",C5*F31,C32+C33+C34),1)</f>
        <v>3.5</v>
      </c>
      <c r="D31" s="2934" t="s">
        <v>1431</v>
      </c>
      <c r="E31" s="2933" t="s">
        <v>1482</v>
      </c>
      <c r="F31" s="367"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6" t="s">
        <v>1434</v>
      </c>
      <c r="C32" s="24">
        <f ca="1">IF(项目基本情况!B11="自然人","——",ROUND(C5*F32/(1+'数据-取费表'!C42),2))</f>
        <v>1.07</v>
      </c>
      <c r="D32" s="2933" t="s">
        <v>1435</v>
      </c>
      <c r="E32" s="346" t="s">
        <v>1423</v>
      </c>
      <c r="F32" s="376">
        <f>'数据-取费表'!B41</f>
        <v>5.6000000000000001E-2</v>
      </c>
      <c r="G32" s="1846"/>
      <c r="H32" s="742"/>
      <c r="I32" s="743"/>
      <c r="J32" s="744"/>
      <c r="K32" s="745"/>
      <c r="L32" s="746"/>
      <c r="M32" s="747"/>
    </row>
    <row r="33" spans="1:18" ht="18" customHeight="1">
      <c r="A33" s="1196" t="s">
        <v>1036</v>
      </c>
      <c r="B33" s="346" t="s">
        <v>1438</v>
      </c>
      <c r="C33" s="24">
        <f ca="1">IF(项目基本情况!B11="自然人","——",IF(D33="按租金收入计税",ROUND(C5*F33,2),IF(D33="按房产原值计税",ROUND(C29*F33*0.7,2),INDIRECT("'数据-取费表'!Aj"&amp;$G$1))))</f>
        <v>2.4</v>
      </c>
      <c r="D33" s="1823" t="s">
        <v>3100</v>
      </c>
      <c r="E33" s="346" t="s">
        <v>1423</v>
      </c>
      <c r="F33" s="366">
        <f>IF(D33="按票据","——",IF(D33="按租金收入计税",'数据-取费表'!B51,'数据-取费表'!B50))</f>
        <v>0.12</v>
      </c>
      <c r="G33" s="1846"/>
      <c r="H33" s="1854"/>
      <c r="I33" s="1855"/>
      <c r="J33" s="1856"/>
      <c r="K33" s="1857"/>
      <c r="L33" s="1854"/>
      <c r="M33" s="1854"/>
    </row>
    <row r="34" spans="1:18" ht="18" customHeight="1">
      <c r="A34" s="1286" t="s">
        <v>1389</v>
      </c>
      <c r="B34" s="163" t="s">
        <v>1442</v>
      </c>
      <c r="C34" s="25">
        <f ca="1">IF(项目基本情况!B11="自然人","——",ROUND(F34*F35/10000,2))</f>
        <v>0</v>
      </c>
      <c r="D34" s="369" t="s">
        <v>1443</v>
      </c>
      <c r="E34" s="346" t="s">
        <v>1444</v>
      </c>
      <c r="F34" s="370">
        <f>'数据-取费表'!B52</f>
        <v>18</v>
      </c>
      <c r="G34" s="1846"/>
      <c r="H34" s="742"/>
      <c r="I34" s="1855"/>
      <c r="J34" s="1856"/>
      <c r="K34" s="1858"/>
      <c r="L34" s="1859"/>
      <c r="M34" s="1859"/>
    </row>
    <row r="35" spans="1:18" ht="18" customHeight="1">
      <c r="A35" s="1348"/>
      <c r="B35" s="1346"/>
      <c r="C35" s="29"/>
      <c r="D35" s="372"/>
      <c r="E35" s="346" t="s">
        <v>1448</v>
      </c>
      <c r="F35" s="347">
        <f ca="1">INDIRECT("'数据-取费表'!r"&amp;$G$1)</f>
        <v>0</v>
      </c>
      <c r="G35" s="1846"/>
      <c r="H35" s="742"/>
      <c r="I35" s="1855"/>
      <c r="J35" s="1856"/>
      <c r="K35" s="1857"/>
      <c r="L35" s="1854"/>
      <c r="M35" s="1854"/>
    </row>
    <row r="36" spans="1:18" ht="18" customHeight="1">
      <c r="A36" s="1347" t="s">
        <v>1039</v>
      </c>
      <c r="B36" s="346" t="s">
        <v>1450</v>
      </c>
      <c r="C36" s="24">
        <f ca="1">ROUND(C29*F36,1)</f>
        <v>4.0999999999999996</v>
      </c>
      <c r="D36" s="2933" t="s">
        <v>1483</v>
      </c>
      <c r="E36" s="346" t="s">
        <v>1423</v>
      </c>
      <c r="F36" s="373">
        <f ca="1">INDIRECT("'数据-取费表'!Ak"&amp;$G$1)</f>
        <v>1.4999999999999999E-2</v>
      </c>
      <c r="G36" s="1846"/>
      <c r="H36" s="1854"/>
      <c r="I36" s="1855"/>
      <c r="J36" s="1856"/>
      <c r="K36" s="748"/>
      <c r="L36" s="1854"/>
      <c r="M36" s="1854"/>
    </row>
    <row r="37" spans="1:18" ht="18" customHeight="1">
      <c r="A37" s="1196" t="s">
        <v>1075</v>
      </c>
      <c r="B37" s="346" t="s">
        <v>1454</v>
      </c>
      <c r="C37" s="24">
        <f ca="1">ROUND(C13*F37,1)</f>
        <v>0.4</v>
      </c>
      <c r="D37" s="2933" t="s">
        <v>1455</v>
      </c>
      <c r="E37" s="346" t="s">
        <v>1423</v>
      </c>
      <c r="F37" s="375">
        <f ca="1">INDIRECT("'数据-取费表'!Al"&amp;$G$1)</f>
        <v>1.5E-3</v>
      </c>
      <c r="G37" s="1846"/>
      <c r="H37" s="1854"/>
      <c r="I37" s="1855"/>
      <c r="J37" s="1856"/>
      <c r="K37" s="748"/>
      <c r="L37" s="1854"/>
      <c r="M37" s="1854"/>
    </row>
    <row r="38" spans="1:18" ht="18" customHeight="1" thickBot="1">
      <c r="A38" s="1334" t="s">
        <v>1392</v>
      </c>
      <c r="B38" s="1335" t="s">
        <v>1440</v>
      </c>
      <c r="C38" s="1336">
        <f ca="1">ROUND(C5*F38,1)</f>
        <v>0.6</v>
      </c>
      <c r="D38" s="1337" t="s">
        <v>1460</v>
      </c>
      <c r="E38" s="1335" t="s">
        <v>1423</v>
      </c>
      <c r="F38" s="1331">
        <f ca="1">INDIRECT("'数据-取费表'!Am"&amp;$G$1)</f>
        <v>0.03</v>
      </c>
      <c r="G38" s="1846"/>
      <c r="H38" s="1854"/>
      <c r="I38" s="1855"/>
      <c r="J38" s="1856"/>
      <c r="K38" s="1860"/>
      <c r="L38" s="1854"/>
      <c r="M38" s="1854"/>
    </row>
    <row r="39" spans="1:18" ht="24.6" customHeight="1" thickTop="1">
      <c r="A39" s="1324" t="s">
        <v>1031</v>
      </c>
      <c r="B39" s="1339" t="s">
        <v>1464</v>
      </c>
      <c r="C39" s="354">
        <f ca="1">C5-C30</f>
        <v>11</v>
      </c>
      <c r="D39" s="1340" t="s">
        <v>1465</v>
      </c>
      <c r="E39" s="1341"/>
      <c r="F39" s="1342"/>
      <c r="G39" s="1846"/>
      <c r="H39" s="1854"/>
      <c r="I39" s="1855"/>
      <c r="J39" s="1856"/>
      <c r="K39" s="1860"/>
      <c r="L39" s="1854"/>
      <c r="M39" s="1854"/>
    </row>
    <row r="40" spans="1:18" ht="18" customHeight="1">
      <c r="A40" s="343" t="s">
        <v>1032</v>
      </c>
      <c r="B40" s="344" t="s">
        <v>1486</v>
      </c>
      <c r="C40" s="345">
        <f ca="1">ROUND(C39*(1-((1+F42)/(1+F40))^F41)/(F40-F42),0)</f>
        <v>276</v>
      </c>
      <c r="D40" s="369" t="s">
        <v>1470</v>
      </c>
      <c r="E40" s="346" t="s">
        <v>1471</v>
      </c>
      <c r="F40" s="356">
        <f ca="1">INDIRECT("'数据-取费表'!I"&amp;$G$1)</f>
        <v>5.5E-2</v>
      </c>
      <c r="G40" s="1846"/>
      <c r="H40" s="1834"/>
      <c r="I40" s="1855"/>
      <c r="J40" s="1856"/>
      <c r="K40" s="1860"/>
      <c r="L40" s="1834"/>
      <c r="M40" s="1834"/>
    </row>
    <row r="41" spans="1:18" ht="18" customHeight="1">
      <c r="A41" s="348"/>
      <c r="B41" s="349"/>
      <c r="C41" s="350"/>
      <c r="D41" s="377" t="s">
        <v>1487</v>
      </c>
      <c r="E41" s="346" t="s">
        <v>1475</v>
      </c>
      <c r="F41" s="378">
        <f ca="1">IF(INDIRECT("'数据-取费表'!af"&amp;$G$1)=0,INDIRECT("'数据-取费表'!ae"&amp;$G$1),INDIRECT("'数据-取费表'!af"&amp;$G$1))</f>
        <v>41.23</v>
      </c>
      <c r="G41" s="1846"/>
      <c r="H41" s="729"/>
      <c r="I41" s="1855"/>
      <c r="J41" s="1856"/>
      <c r="K41" s="748"/>
      <c r="L41" s="729"/>
      <c r="M41" s="729"/>
    </row>
    <row r="42" spans="1:18" ht="18" customHeight="1">
      <c r="A42" s="352"/>
      <c r="B42" s="353"/>
      <c r="C42" s="354"/>
      <c r="D42" s="372"/>
      <c r="E42" s="346" t="s">
        <v>1478</v>
      </c>
      <c r="F42" s="356">
        <f ca="1">INDIRECT("'数据-取费表'!v"&amp;$G$1)</f>
        <v>0.03</v>
      </c>
      <c r="G42" s="1846"/>
      <c r="H42" s="729"/>
      <c r="I42" s="1855"/>
      <c r="J42" s="1856"/>
      <c r="K42" s="748"/>
      <c r="L42" s="729"/>
      <c r="M42" s="729"/>
    </row>
    <row r="43" spans="1:18" ht="18" customHeight="1" thickBot="1">
      <c r="A43" s="379" t="s">
        <v>1033</v>
      </c>
      <c r="B43" s="380" t="s">
        <v>1488</v>
      </c>
      <c r="C43" s="381">
        <f ca="1">ROUND(C40*10000/F43,0)</f>
        <v>2784</v>
      </c>
      <c r="D43" s="382" t="s">
        <v>1489</v>
      </c>
      <c r="E43" s="383" t="s">
        <v>1490</v>
      </c>
      <c r="F43" s="384">
        <f ca="1">INDIRECT("'数据-取费表'!k"&amp;$G$1)</f>
        <v>991.5300000000002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1520</v>
      </c>
      <c r="P45" s="1834"/>
      <c r="Q45" s="1834"/>
      <c r="R45" s="1834"/>
    </row>
    <row r="46" spans="1:18" s="1837" customFormat="1" ht="13.5" thickBot="1">
      <c r="A46" s="1865" t="s">
        <v>1521</v>
      </c>
      <c r="C46" s="1866">
        <f ca="1">C68-C40</f>
        <v>-713</v>
      </c>
      <c r="D46" s="1867" t="str">
        <f>C2</f>
        <v>万元</v>
      </c>
      <c r="E46" s="1861"/>
      <c r="F46" s="1861"/>
      <c r="I46" s="1868" t="s">
        <v>1522</v>
      </c>
      <c r="J46" s="1869"/>
      <c r="K46" s="1870"/>
      <c r="L46" s="1871">
        <f ca="1">IF(M47="住宅",0,IF(L48&gt;J51,L60,J60))</f>
        <v>4</v>
      </c>
      <c r="O46" s="1872" t="s">
        <v>1523</v>
      </c>
      <c r="P46" s="1873" t="s">
        <v>1524</v>
      </c>
      <c r="Q46" s="1874" t="s">
        <v>1525</v>
      </c>
      <c r="R46" s="1874" t="s">
        <v>1526</v>
      </c>
    </row>
    <row r="47" spans="1:18" s="1837" customFormat="1" ht="13.5" thickBot="1">
      <c r="A47" s="1160" t="s">
        <v>1396</v>
      </c>
      <c r="B47" s="1192" t="s">
        <v>1397</v>
      </c>
      <c r="C47" s="1362" t="s">
        <v>1398</v>
      </c>
      <c r="D47" s="1192" t="s">
        <v>1399</v>
      </c>
      <c r="E47" s="1274" t="s">
        <v>1400</v>
      </c>
      <c r="F47" s="1275"/>
      <c r="G47" s="789"/>
      <c r="I47" s="1875" t="s">
        <v>1527</v>
      </c>
      <c r="J47" s="1876" t="s">
        <v>3064</v>
      </c>
      <c r="K47" s="1877" t="s">
        <v>1528</v>
      </c>
      <c r="L47" s="1878">
        <f ca="1">INDIRECT("'数据-取费表'!d"&amp;$G$1)</f>
        <v>50</v>
      </c>
      <c r="M47" s="1833" t="str">
        <f>IF(ISNUMBER(FIND("住宅",C1)),"住宅","非住宅")</f>
        <v>非住宅</v>
      </c>
      <c r="O47" s="1879" t="s">
        <v>1040</v>
      </c>
      <c r="P47" s="1880" t="s">
        <v>1529</v>
      </c>
      <c r="Q47" s="1881">
        <f ca="1">C40+J29</f>
        <v>276</v>
      </c>
      <c r="R47" s="1881" t="s">
        <v>1530</v>
      </c>
    </row>
    <row r="48" spans="1:18" s="1837" customFormat="1" ht="28.5" thickBot="1">
      <c r="A48" s="1355" t="s">
        <v>1135</v>
      </c>
      <c r="B48" s="344" t="s">
        <v>1401</v>
      </c>
      <c r="C48" s="2937">
        <f ca="1">C49+C53+C55</f>
        <v>0</v>
      </c>
      <c r="D48" s="1357"/>
      <c r="E48" s="1358"/>
      <c r="F48" s="1176"/>
      <c r="G48" s="789"/>
      <c r="H48" s="790"/>
      <c r="I48" s="1882" t="s">
        <v>1531</v>
      </c>
      <c r="J48" s="1883" t="s">
        <v>3065</v>
      </c>
      <c r="K48" s="1884" t="s">
        <v>1532</v>
      </c>
      <c r="L48" s="1885">
        <f ca="1">INDIRECT("'数据-取费表'!f"&amp;$G$1)</f>
        <v>41.23</v>
      </c>
      <c r="O48" s="1879" t="s">
        <v>1041</v>
      </c>
      <c r="P48" s="1880" t="s">
        <v>1533</v>
      </c>
      <c r="Q48" s="1881">
        <f ca="1">J60</f>
        <v>4</v>
      </c>
      <c r="R48" s="1881" t="s">
        <v>1534</v>
      </c>
    </row>
    <row r="49" spans="1:18" s="1837" customFormat="1" ht="13.5" thickBot="1">
      <c r="A49" s="1189" t="s">
        <v>1136</v>
      </c>
      <c r="B49" s="1824" t="s">
        <v>1491</v>
      </c>
      <c r="C49" s="1359">
        <f ca="1">ROUND(F49*F51*F50*(1-F52)/10000,0)</f>
        <v>0</v>
      </c>
      <c r="D49" s="1271" t="s">
        <v>3021</v>
      </c>
      <c r="E49" s="1825" t="s">
        <v>1492</v>
      </c>
      <c r="F49" s="1276"/>
      <c r="G49" s="1886"/>
      <c r="H49" s="790"/>
      <c r="I49" s="1882" t="s">
        <v>1535</v>
      </c>
      <c r="J49" s="1887">
        <v>2012</v>
      </c>
      <c r="K49" s="1884" t="s">
        <v>1536</v>
      </c>
      <c r="L49" s="1888"/>
      <c r="O49" s="1889" t="s">
        <v>1042</v>
      </c>
      <c r="P49" s="1880" t="s">
        <v>1537</v>
      </c>
      <c r="Q49" s="1881">
        <f ca="1">C29</f>
        <v>273</v>
      </c>
      <c r="R49" s="1881" t="s">
        <v>1530</v>
      </c>
    </row>
    <row r="50" spans="1:18" s="1837" customFormat="1" ht="13.5" thickBot="1">
      <c r="A50" s="1190"/>
      <c r="B50" s="1193"/>
      <c r="C50" s="1363"/>
      <c r="D50" s="1167"/>
      <c r="E50" s="1272" t="s">
        <v>1406</v>
      </c>
      <c r="F50" s="1273">
        <f ca="1">F7</f>
        <v>23</v>
      </c>
      <c r="H50" s="790"/>
      <c r="I50" s="1882" t="s">
        <v>1538</v>
      </c>
      <c r="J50" s="1890">
        <f>SUMPRODUCT((I63:I65=J47)*(J62:L62=J48)*(J63:L65))</f>
        <v>60</v>
      </c>
      <c r="K50" s="1884" t="s">
        <v>1539</v>
      </c>
      <c r="L50" s="1888"/>
      <c r="M50" s="1891"/>
      <c r="O50" s="1889" t="s">
        <v>1043</v>
      </c>
      <c r="P50" s="1880" t="s">
        <v>1540</v>
      </c>
      <c r="Q50" s="1892">
        <f ca="1">J58</f>
        <v>0.4</v>
      </c>
      <c r="R50" s="1881"/>
    </row>
    <row r="51" spans="1:18" s="1837" customFormat="1" ht="13.5" thickBot="1">
      <c r="A51" s="1191"/>
      <c r="B51" s="1193"/>
      <c r="C51" s="1194"/>
      <c r="D51" s="1167"/>
      <c r="E51" s="1195" t="s">
        <v>1407</v>
      </c>
      <c r="F51" s="347">
        <f ca="1">F8</f>
        <v>12</v>
      </c>
      <c r="I51" s="1893" t="s">
        <v>1541</v>
      </c>
      <c r="J51" s="1894">
        <f>IF(J49="",J50,J49+J50-YEAR('数据-取费表'!B2))</f>
        <v>54</v>
      </c>
      <c r="K51" s="1895" t="s">
        <v>1542</v>
      </c>
      <c r="L51" s="1896">
        <f ca="1">ROUND(-PV(INDIRECT("'数据-取费表'!h"&amp;$G$1),L48,(C39-C13*C76),0),0)</f>
        <v>-172</v>
      </c>
      <c r="M51" s="1897"/>
      <c r="O51" s="1889" t="s">
        <v>1044</v>
      </c>
      <c r="P51" s="1880" t="s">
        <v>1543</v>
      </c>
      <c r="Q51" s="1892">
        <f>J52</f>
        <v>8.5500000000000007E-2</v>
      </c>
      <c r="R51" s="1881"/>
    </row>
    <row r="52" spans="1:18" s="1837" customFormat="1" ht="13.5" thickBot="1">
      <c r="A52" s="1191"/>
      <c r="B52" s="1193"/>
      <c r="C52" s="1194"/>
      <c r="D52" s="1167"/>
      <c r="E52" s="1195" t="s">
        <v>1408</v>
      </c>
      <c r="F52" s="1270"/>
      <c r="I52" s="1898" t="s">
        <v>1544</v>
      </c>
      <c r="J52" s="1899">
        <f>'数据-取费表'!J6+0.0005</f>
        <v>8.5500000000000007E-2</v>
      </c>
      <c r="K52" s="1898" t="s">
        <v>1545</v>
      </c>
      <c r="L52" s="1899"/>
      <c r="O52" s="1889" t="s">
        <v>1045</v>
      </c>
      <c r="P52" s="1880" t="s">
        <v>1546</v>
      </c>
      <c r="Q52" s="1881">
        <f ca="1">J53</f>
        <v>41.23</v>
      </c>
      <c r="R52" s="1881" t="s">
        <v>1547</v>
      </c>
    </row>
    <row r="53" spans="1:18" s="1837" customFormat="1" ht="24.75" thickBot="1">
      <c r="A53" s="1400" t="s">
        <v>1137</v>
      </c>
      <c r="B53" s="1826" t="s">
        <v>1409</v>
      </c>
      <c r="C53" s="360">
        <f ca="1">ROUND(IF(F53="押一",F49*F51*F50/12*F11,IF(F53="押二",F49*F51*F50/12*2*F11,IF(F53="押三",F49*F51*F50/12*3*F11,C54*F11)))/10000,0)</f>
        <v>0</v>
      </c>
      <c r="D53" s="1819" t="s">
        <v>3018</v>
      </c>
      <c r="E53" s="357" t="s">
        <v>1411</v>
      </c>
      <c r="F53" s="1361"/>
      <c r="I53" s="1900" t="s">
        <v>1548</v>
      </c>
      <c r="J53" s="1901">
        <f ca="1">IF(M47="住宅",J51,IF(D1="——",MIN(J51,L48),IF(D1="在建（套用方法）",MIN(J51,L48-'数据-取费表'!B24),IF(D1="土地（套用方法）",MIN(J51,L48-'数据-取费表'!B20)))))</f>
        <v>41.23</v>
      </c>
      <c r="K53" s="3293" t="s">
        <v>1549</v>
      </c>
      <c r="L53" s="3294"/>
      <c r="O53" s="1879" t="s">
        <v>1046</v>
      </c>
      <c r="P53" s="1880" t="s">
        <v>1550</v>
      </c>
      <c r="Q53" s="1881">
        <f ca="1">Q47+Q48</f>
        <v>280</v>
      </c>
      <c r="R53" s="1881" t="s">
        <v>1047</v>
      </c>
    </row>
    <row r="54" spans="1:18" s="1837" customFormat="1" ht="13.5" thickBot="1">
      <c r="A54" s="1401"/>
      <c r="B54" s="1820" t="s">
        <v>1388</v>
      </c>
      <c r="C54" s="1173"/>
      <c r="D54" s="1819"/>
      <c r="E54" s="293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1551</v>
      </c>
      <c r="P54" s="1834"/>
      <c r="Q54" s="1834"/>
      <c r="R54" s="1834"/>
    </row>
    <row r="55" spans="1:18" s="1837" customFormat="1" ht="13.5" thickBot="1">
      <c r="A55" s="1328" t="s">
        <v>1075</v>
      </c>
      <c r="B55" s="1822" t="s">
        <v>1414</v>
      </c>
      <c r="C55" s="1329"/>
      <c r="D55" s="1819"/>
      <c r="E55" s="2936"/>
      <c r="F55" s="1902"/>
      <c r="I55" s="1905" t="s">
        <v>1552</v>
      </c>
      <c r="J55" s="1906">
        <f ca="1">ROUND(IF(J47="钢混",J57/J50,1-(1-2%)*(J50-J57)/J50),3)</f>
        <v>0.21299999999999999</v>
      </c>
      <c r="K55" s="1907" t="s">
        <v>1553</v>
      </c>
      <c r="L55" s="1908" t="s">
        <v>1554</v>
      </c>
      <c r="O55" s="1872" t="s">
        <v>1523</v>
      </c>
      <c r="P55" s="1873" t="s">
        <v>1524</v>
      </c>
      <c r="Q55" s="1874" t="s">
        <v>1525</v>
      </c>
      <c r="R55" s="1874" t="s">
        <v>1526</v>
      </c>
    </row>
    <row r="56" spans="1:18" s="1837" customFormat="1" ht="25.5" thickTop="1" thickBot="1">
      <c r="A56" s="1171">
        <v>2</v>
      </c>
      <c r="B56" s="1172" t="s">
        <v>1415</v>
      </c>
      <c r="C56" s="275">
        <f ca="1">C13</f>
        <v>246</v>
      </c>
      <c r="D56" s="1909"/>
      <c r="E56" s="1910"/>
      <c r="F56" s="1902"/>
      <c r="I56" s="1911" t="s">
        <v>1555</v>
      </c>
      <c r="J56" s="1912" t="s">
        <v>3041</v>
      </c>
      <c r="K56" s="1882" t="s">
        <v>1556</v>
      </c>
      <c r="L56" s="1885" t="str">
        <f ca="1">IF(L48&lt;J51,"——",L48-J53)</f>
        <v>——</v>
      </c>
      <c r="O56" s="1879" t="s">
        <v>1040</v>
      </c>
      <c r="P56" s="1880" t="s">
        <v>1529</v>
      </c>
      <c r="Q56" s="1881">
        <f ca="1">C40+J29</f>
        <v>276</v>
      </c>
      <c r="R56" s="1881" t="s">
        <v>1530</v>
      </c>
    </row>
    <row r="57" spans="1:18" s="1837" customFormat="1" ht="24.75" thickBot="1">
      <c r="A57" s="1913"/>
      <c r="B57" s="1164" t="s">
        <v>1479</v>
      </c>
      <c r="C57" s="281">
        <f ca="1">C29</f>
        <v>273</v>
      </c>
      <c r="D57" s="1914"/>
      <c r="E57" s="1915"/>
      <c r="F57" s="1916"/>
      <c r="I57" s="1917" t="s">
        <v>1557</v>
      </c>
      <c r="J57" s="1918">
        <f ca="1">IF(OR(M47="住宅",J51&lt;L48,J56="是"),"——",J51-L48)</f>
        <v>12.770000000000003</v>
      </c>
      <c r="K57" s="1882" t="s">
        <v>1558</v>
      </c>
      <c r="L57" s="1885" t="str">
        <f ca="1">IF(L48&lt;J51,"——",IF(L55="比较法",L49,IF(L55="基准地价",L50,L51)))</f>
        <v>——</v>
      </c>
      <c r="O57" s="1879" t="s">
        <v>1041</v>
      </c>
      <c r="P57" s="1880" t="s">
        <v>1559</v>
      </c>
      <c r="Q57" s="1881">
        <f ca="1">L60</f>
        <v>0</v>
      </c>
      <c r="R57" s="1881" t="s">
        <v>1560</v>
      </c>
    </row>
    <row r="58" spans="1:18" s="1837" customFormat="1" ht="24.75" thickBot="1">
      <c r="A58" s="359" t="s">
        <v>1030</v>
      </c>
      <c r="B58" s="1172" t="s">
        <v>1425</v>
      </c>
      <c r="C58" s="360">
        <f ca="1">ROUND(C59+C64+C65+C66,0)</f>
        <v>27</v>
      </c>
      <c r="D58" s="1174" t="s">
        <v>1426</v>
      </c>
      <c r="E58" s="1175"/>
      <c r="F58" s="1176"/>
      <c r="I58" s="1917" t="s">
        <v>1561</v>
      </c>
      <c r="J58" s="1919">
        <f ca="1">IF(J55&lt;0.4,0.4,J55)</f>
        <v>0.4</v>
      </c>
      <c r="K58" s="1895" t="s">
        <v>1562</v>
      </c>
      <c r="L58" s="1885" t="e">
        <f ca="1">ROUND(POWER(1+L52,L47-L48)*(POWER(1+L52,L48)-1)/(POWER(1+L52,L47)-1),4)</f>
        <v>#DIV/0!</v>
      </c>
      <c r="O58" s="1889" t="s">
        <v>1042</v>
      </c>
      <c r="P58" s="1880" t="s">
        <v>1563</v>
      </c>
      <c r="Q58" s="1881">
        <f>IF(L55="比较法",L49,IF(L55="基准地价",L50,0))</f>
        <v>0</v>
      </c>
      <c r="R58" s="1881" t="s">
        <v>1530</v>
      </c>
    </row>
    <row r="59" spans="1:18" s="1837" customFormat="1" ht="24.75" thickBot="1">
      <c r="A59" s="1196" t="s">
        <v>1035</v>
      </c>
      <c r="B59" s="1164" t="s">
        <v>1430</v>
      </c>
      <c r="C59" s="24">
        <f ca="1">ROUND(IF(项目基本情况!B11="自然人",C48*F59,C60+C61+C62),1)</f>
        <v>22.9</v>
      </c>
      <c r="D59" s="1177" t="s">
        <v>1431</v>
      </c>
      <c r="E59" s="1178" t="s">
        <v>1432</v>
      </c>
      <c r="F59" s="367" t="str">
        <f ca="1">IF(项目基本情况!B11="企业","",IF(INDIRECT("'数据-取费表'!c"&amp;$G$1)="住宅",5%,IF(F49*F50*F51/12/(1+'数据-取费表'!C42)&gt;20000,12%,7%)))</f>
        <v/>
      </c>
      <c r="I59" s="1917" t="s">
        <v>1564</v>
      </c>
      <c r="J59" s="1918">
        <f ca="1">IF(OR(M47="住宅",J51&lt;L48,J56="是"),"——",ROUND(C29*J58,0))</f>
        <v>109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1565</v>
      </c>
      <c r="Q59" s="1892">
        <f>L52</f>
        <v>0</v>
      </c>
      <c r="R59" s="1881"/>
    </row>
    <row r="60" spans="1:18" s="1837" customFormat="1" ht="16.5" thickBot="1">
      <c r="A60" s="1196" t="s">
        <v>1034</v>
      </c>
      <c r="B60" s="1164" t="s">
        <v>1434</v>
      </c>
      <c r="C60" s="24">
        <f ca="1">IF(项目基本情况!B11="自然人","——",ROUND(C48*F60/(1+'数据-取费表'!C42),2))</f>
        <v>0</v>
      </c>
      <c r="D60" s="1178" t="s">
        <v>1435</v>
      </c>
      <c r="E60" s="1164" t="s">
        <v>1423</v>
      </c>
      <c r="F60" s="376">
        <f t="shared" ref="F60:F66" si="0">F32</f>
        <v>5.6000000000000001E-2</v>
      </c>
      <c r="I60" s="1920" t="s">
        <v>1566</v>
      </c>
      <c r="J60" s="1921">
        <f ca="1">IF(OR(M47="住宅",J51&lt;L48,J56="是"),"0",ROUND(J59/(1+J52)^J53,0))</f>
        <v>4</v>
      </c>
      <c r="K60" s="1922" t="s">
        <v>1567</v>
      </c>
      <c r="L60" s="1921">
        <f ca="1">IF(OR(M47="住宅",L48&lt;J51),0,ROUND(L57*(L58/L59-1),0))</f>
        <v>0</v>
      </c>
      <c r="O60" s="1889" t="s">
        <v>1044</v>
      </c>
      <c r="P60" s="1880" t="s">
        <v>1568</v>
      </c>
      <c r="Q60" s="1881" t="e">
        <f ca="1">L58</f>
        <v>#DIV/0!</v>
      </c>
      <c r="R60" s="1881" t="s">
        <v>1569</v>
      </c>
    </row>
    <row r="61" spans="1:18" s="1837" customFormat="1" ht="13.5" thickBot="1">
      <c r="A61" s="1196" t="s">
        <v>1493</v>
      </c>
      <c r="B61" s="1164" t="s">
        <v>1438</v>
      </c>
      <c r="C61" s="24">
        <f ca="1">IF(项目基本情况!B11="自然人","——",IF(D61="按租金收入计税",ROUND(C48*F61,2),IF(D61="按房产原值计税",ROUND(C57*F61*0.7,2),INDIRECT("'数据-取费表'!Aj"&amp;$G$1))))</f>
        <v>22.93</v>
      </c>
      <c r="D61" s="1823" t="s">
        <v>1439</v>
      </c>
      <c r="E61" s="1164" t="s">
        <v>1423</v>
      </c>
      <c r="F61" s="366">
        <f t="shared" si="0"/>
        <v>0.12</v>
      </c>
      <c r="I61" s="1923"/>
      <c r="J61" s="1923"/>
      <c r="K61" s="1923"/>
      <c r="L61" s="1923"/>
      <c r="O61" s="1889" t="s">
        <v>1045</v>
      </c>
      <c r="P61" s="1880" t="str">
        <f>K59</f>
        <v>建筑物剩余耐用年限下的土地年期修正系数Kn</v>
      </c>
      <c r="Q61" s="1881" t="e">
        <f ca="1">L59</f>
        <v>#DIV/0!</v>
      </c>
      <c r="R61" s="1881" t="s">
        <v>1570</v>
      </c>
    </row>
    <row r="62" spans="1:18" s="1837" customFormat="1" ht="13.5" thickBot="1">
      <c r="A62" s="1196" t="s">
        <v>1496</v>
      </c>
      <c r="B62" s="1163" t="s">
        <v>1442</v>
      </c>
      <c r="C62" s="25">
        <f ca="1">IF(项目基本情况!B11="自然人","——",ROUND(F62*F63/10000,2))</f>
        <v>0</v>
      </c>
      <c r="D62" s="1179" t="s">
        <v>1443</v>
      </c>
      <c r="E62" s="1164" t="s">
        <v>1444</v>
      </c>
      <c r="F62" s="370">
        <f t="shared" si="0"/>
        <v>18</v>
      </c>
      <c r="I62" s="1924" t="s">
        <v>1571</v>
      </c>
      <c r="J62" s="1925" t="s">
        <v>1572</v>
      </c>
      <c r="K62" s="1925" t="s">
        <v>1573</v>
      </c>
      <c r="L62" s="1925" t="s">
        <v>1574</v>
      </c>
      <c r="M62" s="1926" t="s">
        <v>1575</v>
      </c>
      <c r="O62" s="1879" t="s">
        <v>1046</v>
      </c>
      <c r="P62" s="1880" t="s">
        <v>1550</v>
      </c>
      <c r="Q62" s="1881">
        <f ca="1">Q56+Q57</f>
        <v>276</v>
      </c>
      <c r="R62" s="1881" t="s">
        <v>1047</v>
      </c>
    </row>
    <row r="63" spans="1:18" s="1837" customFormat="1" ht="13.5" thickBot="1">
      <c r="A63" s="371"/>
      <c r="B63" s="1170"/>
      <c r="C63" s="29"/>
      <c r="D63" s="1180"/>
      <c r="E63" s="1164" t="s">
        <v>1448</v>
      </c>
      <c r="F63" s="347">
        <f t="shared" ca="1" si="0"/>
        <v>0</v>
      </c>
      <c r="I63" s="1924" t="s">
        <v>1577</v>
      </c>
      <c r="J63" s="1925">
        <v>70</v>
      </c>
      <c r="K63" s="1925">
        <v>50</v>
      </c>
      <c r="L63" s="1925">
        <v>80</v>
      </c>
      <c r="M63" s="1927">
        <v>0.02</v>
      </c>
      <c r="O63" s="1864" t="s">
        <v>1578</v>
      </c>
      <c r="P63" s="1834"/>
      <c r="Q63" s="1834"/>
      <c r="R63" s="1834"/>
    </row>
    <row r="64" spans="1:18" s="1837" customFormat="1" ht="13.5" thickBot="1">
      <c r="A64" s="1196" t="s">
        <v>1039</v>
      </c>
      <c r="B64" s="1164" t="s">
        <v>1450</v>
      </c>
      <c r="C64" s="24">
        <f ca="1">ROUND(C57*F64,1)</f>
        <v>4.0999999999999996</v>
      </c>
      <c r="D64" s="1178" t="s">
        <v>1483</v>
      </c>
      <c r="E64" s="1164" t="s">
        <v>1423</v>
      </c>
      <c r="F64" s="373">
        <f t="shared" ca="1" si="0"/>
        <v>1.4999999999999999E-2</v>
      </c>
      <c r="I64" s="1924" t="s">
        <v>1579</v>
      </c>
      <c r="J64" s="1925">
        <v>50</v>
      </c>
      <c r="K64" s="1925">
        <v>35</v>
      </c>
      <c r="L64" s="1925">
        <v>60</v>
      </c>
      <c r="M64" s="1926">
        <v>0</v>
      </c>
      <c r="O64" s="1872" t="s">
        <v>1523</v>
      </c>
      <c r="P64" s="1873" t="s">
        <v>1524</v>
      </c>
      <c r="Q64" s="1874" t="s">
        <v>1525</v>
      </c>
      <c r="R64" s="1874" t="s">
        <v>1526</v>
      </c>
    </row>
    <row r="65" spans="1:18" s="1837" customFormat="1" ht="13.5" thickBot="1">
      <c r="A65" s="1196" t="s">
        <v>1504</v>
      </c>
      <c r="B65" s="1164" t="s">
        <v>1454</v>
      </c>
      <c r="C65" s="24">
        <f ca="1">ROUND(C56*F65,1)</f>
        <v>0.4</v>
      </c>
      <c r="D65" s="1178" t="s">
        <v>1455</v>
      </c>
      <c r="E65" s="1164" t="s">
        <v>1423</v>
      </c>
      <c r="F65" s="375">
        <f t="shared" ca="1" si="0"/>
        <v>1.5E-3</v>
      </c>
      <c r="I65" s="1924" t="s">
        <v>1580</v>
      </c>
      <c r="J65" s="1925">
        <v>40</v>
      </c>
      <c r="K65" s="1925">
        <v>30</v>
      </c>
      <c r="L65" s="1925">
        <v>50</v>
      </c>
      <c r="M65" s="1927">
        <v>0.02</v>
      </c>
      <c r="O65" s="1879" t="s">
        <v>1040</v>
      </c>
      <c r="P65" s="1880" t="s">
        <v>1529</v>
      </c>
      <c r="Q65" s="1881">
        <f ca="1">C40+J29</f>
        <v>276</v>
      </c>
      <c r="R65" s="1881" t="s">
        <v>1530</v>
      </c>
    </row>
    <row r="66" spans="1:18" s="1837" customFormat="1" ht="16.5" thickBot="1">
      <c r="A66" s="1196" t="s">
        <v>1505</v>
      </c>
      <c r="B66" s="1164" t="s">
        <v>1440</v>
      </c>
      <c r="C66" s="24">
        <f ca="1">ROUND(C48*F66,1)</f>
        <v>0</v>
      </c>
      <c r="D66" s="1178" t="s">
        <v>1460</v>
      </c>
      <c r="E66" s="1164" t="s">
        <v>1423</v>
      </c>
      <c r="F66" s="356">
        <f t="shared" ca="1" si="0"/>
        <v>0.03</v>
      </c>
      <c r="O66" s="1879" t="s">
        <v>1041</v>
      </c>
      <c r="P66" s="1880" t="s">
        <v>1559</v>
      </c>
      <c r="Q66" s="1881">
        <f ca="1">L60</f>
        <v>0</v>
      </c>
      <c r="R66" s="1881" t="s">
        <v>1582</v>
      </c>
    </row>
    <row r="67" spans="1:18" s="1837" customFormat="1" ht="16.5" thickBot="1">
      <c r="A67" s="1171" t="s">
        <v>1031</v>
      </c>
      <c r="B67" s="1181" t="s">
        <v>1464</v>
      </c>
      <c r="C67" s="360">
        <f ca="1">C48-C58</f>
        <v>-27</v>
      </c>
      <c r="D67" s="1177" t="s">
        <v>1465</v>
      </c>
      <c r="E67" s="1182"/>
      <c r="F67" s="1183"/>
      <c r="O67" s="1889" t="s">
        <v>1042</v>
      </c>
      <c r="P67" s="1880" t="s">
        <v>1563</v>
      </c>
      <c r="Q67" s="1928">
        <f ca="1">L51</f>
        <v>-172</v>
      </c>
      <c r="R67" s="1881" t="s">
        <v>1583</v>
      </c>
    </row>
    <row r="68" spans="1:18" s="1837" customFormat="1" ht="16.5" thickBot="1">
      <c r="A68" s="1161" t="s">
        <v>1032</v>
      </c>
      <c r="B68" s="1162" t="s">
        <v>1486</v>
      </c>
      <c r="C68" s="345">
        <f ca="1">ROUND(C67*(1-((1+F70)/(1+F68))^F69)/(F68-F70),0)</f>
        <v>-437</v>
      </c>
      <c r="D68" s="1179" t="s">
        <v>1470</v>
      </c>
      <c r="E68" s="1164" t="s">
        <v>1471</v>
      </c>
      <c r="F68" s="356">
        <f ca="1">F40</f>
        <v>5.5E-2</v>
      </c>
      <c r="O68" s="1889" t="s">
        <v>1043</v>
      </c>
      <c r="P68" s="1929" t="s">
        <v>1584</v>
      </c>
      <c r="Q68" s="1881">
        <f ca="1">ROUND(Q69-Q70*Q71,0)</f>
        <v>-10</v>
      </c>
      <c r="R68" s="1881" t="s">
        <v>1051</v>
      </c>
    </row>
    <row r="69" spans="1:18" s="1837" customFormat="1" ht="13.5" thickBot="1">
      <c r="A69" s="1165"/>
      <c r="B69" s="1166"/>
      <c r="C69" s="350"/>
      <c r="D69" s="1184" t="s">
        <v>1474</v>
      </c>
      <c r="E69" s="1164" t="s">
        <v>1475</v>
      </c>
      <c r="F69" s="378">
        <f ca="1">F41</f>
        <v>41.23</v>
      </c>
      <c r="O69" s="1889" t="s">
        <v>1048</v>
      </c>
      <c r="P69" s="1929" t="s">
        <v>1585</v>
      </c>
      <c r="Q69" s="1881">
        <f ca="1">C39</f>
        <v>11</v>
      </c>
      <c r="R69" s="1881" t="s">
        <v>1530</v>
      </c>
    </row>
    <row r="70" spans="1:18" s="1837" customFormat="1" ht="13.5" thickBot="1">
      <c r="A70" s="1168"/>
      <c r="B70" s="1169"/>
      <c r="C70" s="354"/>
      <c r="D70" s="1180"/>
      <c r="E70" s="1164" t="s">
        <v>1478</v>
      </c>
      <c r="F70" s="1270"/>
      <c r="O70" s="1889" t="s">
        <v>1049</v>
      </c>
      <c r="P70" s="1929" t="s">
        <v>1586</v>
      </c>
      <c r="Q70" s="1881">
        <f ca="1">C13</f>
        <v>246</v>
      </c>
      <c r="R70" s="1881" t="s">
        <v>1530</v>
      </c>
    </row>
    <row r="71" spans="1:18" s="1837" customFormat="1" ht="13.5" thickBot="1">
      <c r="A71" s="1185" t="s">
        <v>1033</v>
      </c>
      <c r="B71" s="1186" t="s">
        <v>1488</v>
      </c>
      <c r="C71" s="381">
        <f ca="1">ROUND(C68*10000/F71,0)</f>
        <v>-4407</v>
      </c>
      <c r="D71" s="1187" t="s">
        <v>1489</v>
      </c>
      <c r="E71" s="1188" t="s">
        <v>1490</v>
      </c>
      <c r="F71" s="384">
        <f ca="1">F43</f>
        <v>991.5300000000002</v>
      </c>
      <c r="O71" s="1889" t="s">
        <v>1050</v>
      </c>
      <c r="P71" s="1929" t="s">
        <v>1587</v>
      </c>
      <c r="Q71" s="1892">
        <f ca="1">C76</f>
        <v>8.5000000000000006E-2</v>
      </c>
      <c r="R71" s="1881"/>
    </row>
    <row r="72" spans="1:18" s="1837" customFormat="1" ht="13.5" thickBot="1">
      <c r="B72" s="793"/>
      <c r="C72" s="793"/>
      <c r="O72" s="1889" t="s">
        <v>1044</v>
      </c>
      <c r="P72" s="1880" t="s">
        <v>1565</v>
      </c>
      <c r="Q72" s="1892">
        <f>L52</f>
        <v>0</v>
      </c>
      <c r="R72" s="1881"/>
    </row>
    <row r="73" spans="1:18" ht="16.5" thickBot="1">
      <c r="A73" s="1837"/>
      <c r="B73" s="793"/>
      <c r="C73" s="793"/>
      <c r="D73" s="1837"/>
      <c r="E73" s="1837"/>
      <c r="F73" s="1837"/>
      <c r="O73" s="1889" t="s">
        <v>1045</v>
      </c>
      <c r="P73" s="1880" t="s">
        <v>1568</v>
      </c>
      <c r="Q73" s="1881" t="e">
        <f ca="1">L58</f>
        <v>#DIV/0!</v>
      </c>
      <c r="R73" s="1881" t="s">
        <v>1569</v>
      </c>
    </row>
    <row r="74" spans="1:18" ht="13.5" thickBot="1">
      <c r="A74" s="1837"/>
      <c r="B74" s="316" t="s">
        <v>1588</v>
      </c>
      <c r="C74" s="1931"/>
      <c r="D74" s="1837"/>
      <c r="E74" s="1837"/>
      <c r="F74" s="1837"/>
      <c r="O74" s="1889" t="s">
        <v>1052</v>
      </c>
      <c r="P74" s="1880" t="str">
        <f>K59</f>
        <v>建筑物剩余耐用年限下的土地年期修正系数Kn</v>
      </c>
      <c r="Q74" s="1881" t="e">
        <f ca="1">L59</f>
        <v>#DIV/0!</v>
      </c>
      <c r="R74" s="1881" t="s">
        <v>1570</v>
      </c>
    </row>
    <row r="75" spans="1:18" ht="13.5" thickBot="1">
      <c r="A75" s="1837"/>
      <c r="B75" s="385" t="s">
        <v>1507</v>
      </c>
      <c r="C75" s="386">
        <f ca="1">ROUND(C13*C76,0)</f>
        <v>21</v>
      </c>
      <c r="D75" s="1837"/>
      <c r="E75" s="1837"/>
      <c r="F75" s="1837"/>
      <c r="K75" s="1863"/>
      <c r="L75" s="1837"/>
      <c r="O75" s="1879" t="s">
        <v>1046</v>
      </c>
      <c r="P75" s="1880" t="s">
        <v>1550</v>
      </c>
      <c r="Q75" s="1881">
        <f ca="1">Q65+Q66</f>
        <v>276</v>
      </c>
      <c r="R75" s="1881" t="s">
        <v>1047</v>
      </c>
    </row>
    <row r="76" spans="1:18">
      <c r="B76" s="387" t="s">
        <v>1508</v>
      </c>
      <c r="C76" s="388">
        <f ca="1">INDIRECT("'数据-取费表'!j"&amp;$G$1)</f>
        <v>8.5000000000000006E-2</v>
      </c>
      <c r="I76" s="1837"/>
      <c r="J76" s="1837"/>
      <c r="K76" s="1863"/>
      <c r="L76" s="1837"/>
    </row>
    <row r="77" spans="1:18">
      <c r="B77" s="389" t="s">
        <v>1509</v>
      </c>
      <c r="C77" s="390"/>
      <c r="I77" s="1837"/>
      <c r="J77" s="1837"/>
      <c r="K77" s="1863"/>
      <c r="L77" s="1837"/>
    </row>
    <row r="78" spans="1:18">
      <c r="B78" s="313" t="s">
        <v>1510</v>
      </c>
      <c r="C78" s="391"/>
    </row>
    <row r="79" spans="1:18">
      <c r="B79" s="385" t="s">
        <v>1511</v>
      </c>
      <c r="C79" s="317">
        <f ca="1">1-C80</f>
        <v>-0.90900000000000003</v>
      </c>
    </row>
    <row r="80" spans="1:18">
      <c r="B80" s="385" t="s">
        <v>1512</v>
      </c>
      <c r="C80" s="317">
        <f ca="1">ROUND(C75/C39,3)</f>
        <v>1.909</v>
      </c>
    </row>
    <row r="81" spans="2:3">
      <c r="B81" s="313" t="s">
        <v>1513</v>
      </c>
      <c r="C81" s="281"/>
    </row>
    <row r="82" spans="2:3">
      <c r="B82" s="316" t="s">
        <v>1514</v>
      </c>
      <c r="C82" s="318">
        <f ca="1">1-C83</f>
        <v>0.10899999999999999</v>
      </c>
    </row>
    <row r="83" spans="2:3">
      <c r="B83" s="316" t="s">
        <v>1515</v>
      </c>
      <c r="C83" s="317">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2516</v>
      </c>
      <c r="B1" s="2662" t="s">
        <v>2689</v>
      </c>
      <c r="C1" s="1615" t="s">
        <v>2518</v>
      </c>
      <c r="D1" s="1616"/>
      <c r="E1" s="1625"/>
      <c r="F1" s="2577"/>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t="e">
        <f ca="1">IF(C2="——",ROUND(C43*D3/10000,0),ROUND(C43*D3/10000,0)-D2)</f>
        <v>#DIV/0!</v>
      </c>
      <c r="C2" s="2579"/>
      <c r="D2" s="1119" t="e">
        <f ca="1">SUMIF(INDIRECT("'"&amp;F2&amp;"'"&amp;"!A:A"),"承租人权益价值",INDIRECT("'"&amp;F2&amp;"'"&amp;"!c:c"))</f>
        <v>#REF!</v>
      </c>
      <c r="E2" s="2580" t="s">
        <v>2316</v>
      </c>
      <c r="F2" s="2581"/>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7" customFormat="1" ht="28.5" customHeight="1" thickBot="1">
      <c r="A3" s="246" t="s">
        <v>2317</v>
      </c>
      <c r="B3" s="608" t="e">
        <f ca="1">IF(C2="——",C43,ROUND(B2*10000/D3,0))</f>
        <v>#DIV/0!</v>
      </c>
      <c r="C3" s="399" t="s">
        <v>2632</v>
      </c>
      <c r="D3" s="398">
        <f>IF(D1="",'数据-汇总表'!E3,SUMIF('数据-汇总表'!$C19:$C33,D1,'数据-汇总表'!$E19:$E33))</f>
        <v>11628.210000000001</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6" t="s">
        <v>2634</v>
      </c>
      <c r="D4" s="3247"/>
      <c r="E4" s="3248" t="s">
        <v>2635</v>
      </c>
      <c r="F4" s="3249"/>
      <c r="G4" s="3246" t="s">
        <v>2636</v>
      </c>
      <c r="H4" s="3247"/>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24" t="s">
        <v>2636</v>
      </c>
      <c r="AC4" s="3276" t="s">
        <v>2637</v>
      </c>
    </row>
    <row r="5" spans="1:29" ht="15">
      <c r="A5" s="403"/>
      <c r="B5" s="404"/>
      <c r="C5" s="3234" t="s">
        <v>2530</v>
      </c>
      <c r="D5" s="3235"/>
      <c r="E5" s="3319" t="s">
        <v>2531</v>
      </c>
      <c r="F5" s="3233"/>
      <c r="G5" s="3234" t="s">
        <v>2532</v>
      </c>
      <c r="H5" s="3235"/>
      <c r="I5" s="3234" t="s">
        <v>2533</v>
      </c>
      <c r="J5" s="3235"/>
      <c r="K5" s="609"/>
      <c r="L5" s="1125"/>
      <c r="M5" s="1126"/>
      <c r="N5" s="1126"/>
      <c r="O5" s="1126"/>
      <c r="P5" s="3284"/>
      <c r="Q5" s="3253"/>
      <c r="R5" s="3230"/>
      <c r="S5" s="3231"/>
      <c r="T5" s="3230"/>
      <c r="U5" s="3231"/>
      <c r="V5" s="3259"/>
      <c r="W5" s="3259"/>
      <c r="X5" s="1808"/>
      <c r="Y5" s="3230"/>
      <c r="Z5" s="3231"/>
      <c r="AA5" s="3224"/>
      <c r="AB5" s="3224"/>
      <c r="AC5" s="3224"/>
    </row>
    <row r="6" spans="1:29" ht="15.75" thickBot="1">
      <c r="A6" s="405"/>
      <c r="B6" s="406"/>
      <c r="C6" s="3236" t="s">
        <v>2534</v>
      </c>
      <c r="D6" s="3237"/>
      <c r="E6" s="3279" t="s">
        <v>2534</v>
      </c>
      <c r="F6" s="3240"/>
      <c r="G6" s="3236" t="s">
        <v>2534</v>
      </c>
      <c r="H6" s="3237"/>
      <c r="I6" s="3236" t="s">
        <v>2534</v>
      </c>
      <c r="J6" s="3237"/>
      <c r="K6" s="609" t="s">
        <v>2535</v>
      </c>
      <c r="L6" s="1125"/>
      <c r="M6" s="1126"/>
      <c r="N6" s="1126"/>
      <c r="O6" s="1126"/>
      <c r="P6" s="3285"/>
      <c r="Q6" s="3255"/>
      <c r="R6" s="3230"/>
      <c r="S6" s="3231"/>
      <c r="T6" s="3256"/>
      <c r="U6" s="3257"/>
      <c r="V6" s="3259"/>
      <c r="W6" s="3259"/>
      <c r="X6" s="1808"/>
      <c r="Y6" s="3256"/>
      <c r="Z6" s="3257"/>
      <c r="AA6" s="3225"/>
      <c r="AB6" s="3225"/>
      <c r="AC6" s="3225"/>
    </row>
    <row r="7" spans="1:29" s="117" customFormat="1" ht="15.75" thickBot="1">
      <c r="A7" s="407" t="s">
        <v>2536</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26" t="s">
        <v>2537</v>
      </c>
      <c r="Q7" s="3261"/>
      <c r="R7" s="767" t="s">
        <v>17</v>
      </c>
      <c r="S7" s="768">
        <f t="shared" ref="S7:S15" si="0">F7</f>
        <v>0</v>
      </c>
      <c r="T7" s="767" t="s">
        <v>17</v>
      </c>
      <c r="U7" s="768">
        <f t="shared" ref="U7:U15" si="1">H7</f>
        <v>0</v>
      </c>
      <c r="V7" s="767" t="s">
        <v>17</v>
      </c>
      <c r="W7" s="768">
        <f t="shared" ref="W7:W15" si="2">J7</f>
        <v>0</v>
      </c>
      <c r="X7" s="769"/>
      <c r="Y7" s="3226" t="s">
        <v>2537</v>
      </c>
      <c r="Z7" s="3227"/>
      <c r="AA7" s="770" t="e">
        <f>D7/F7</f>
        <v>#DIV/0!</v>
      </c>
      <c r="AB7" s="770" t="e">
        <f>D7/H7</f>
        <v>#DIV/0!</v>
      </c>
      <c r="AC7" s="770"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26" t="s">
        <v>2540</v>
      </c>
      <c r="Q8" s="3227"/>
      <c r="R8" s="767" t="s">
        <v>17</v>
      </c>
      <c r="S8" s="768">
        <f t="shared" si="0"/>
        <v>0</v>
      </c>
      <c r="T8" s="767" t="s">
        <v>17</v>
      </c>
      <c r="U8" s="768">
        <f t="shared" si="1"/>
        <v>0</v>
      </c>
      <c r="V8" s="767" t="s">
        <v>17</v>
      </c>
      <c r="W8" s="768">
        <f t="shared" si="2"/>
        <v>0</v>
      </c>
      <c r="X8" s="769"/>
      <c r="Y8" s="3226" t="s">
        <v>2540</v>
      </c>
      <c r="Z8" s="3227"/>
      <c r="AA8" s="770" t="e">
        <f t="shared" ref="AA8:AA40" si="3">D8/F8</f>
        <v>#DIV/0!</v>
      </c>
      <c r="AB8" s="770" t="e">
        <f t="shared" ref="AB8:AB40" si="4">D8/H8</f>
        <v>#DIV/0!</v>
      </c>
      <c r="AC8" s="770"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27"/>
      <c r="M9" s="1128"/>
      <c r="N9" s="1128"/>
      <c r="O9" s="1129"/>
      <c r="P9" s="3271"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770">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30"/>
      <c r="M10" s="1131"/>
      <c r="N10" s="1131"/>
      <c r="O10" s="1132"/>
      <c r="P10" s="3271"/>
      <c r="Q10" s="1790" t="str">
        <f t="shared" si="6"/>
        <v>土地使用年限（年）</v>
      </c>
      <c r="R10" s="767" t="s">
        <v>17</v>
      </c>
      <c r="S10" s="768">
        <f t="shared" si="0"/>
        <v>100</v>
      </c>
      <c r="T10" s="767" t="s">
        <v>17</v>
      </c>
      <c r="U10" s="768">
        <f t="shared" si="1"/>
        <v>100</v>
      </c>
      <c r="V10" s="767" t="s">
        <v>17</v>
      </c>
      <c r="W10" s="768">
        <f t="shared" si="2"/>
        <v>100</v>
      </c>
      <c r="X10" s="769"/>
      <c r="Y10" s="3100"/>
      <c r="Z10" s="55" t="str">
        <f t="shared" si="7"/>
        <v>土地使用年限（年）</v>
      </c>
      <c r="AA10" s="770">
        <f t="shared" si="3"/>
        <v>1</v>
      </c>
      <c r="AB10" s="770">
        <f t="shared" si="4"/>
        <v>1</v>
      </c>
      <c r="AC10" s="770">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3"/>
      <c r="M11" s="1126"/>
      <c r="N11" s="1126"/>
      <c r="O11" s="1134"/>
      <c r="P11" s="3271"/>
      <c r="Q11" s="1790" t="str">
        <f t="shared" si="6"/>
        <v>容积率</v>
      </c>
      <c r="R11" s="767" t="s">
        <v>17</v>
      </c>
      <c r="S11" s="768" t="e">
        <f t="shared" si="0"/>
        <v>#N/A</v>
      </c>
      <c r="T11" s="767" t="s">
        <v>17</v>
      </c>
      <c r="U11" s="768" t="e">
        <f t="shared" si="1"/>
        <v>#N/A</v>
      </c>
      <c r="V11" s="767" t="s">
        <v>17</v>
      </c>
      <c r="W11" s="768" t="e">
        <f t="shared" si="2"/>
        <v>#N/A</v>
      </c>
      <c r="X11" s="769"/>
      <c r="Y11" s="3100"/>
      <c r="Z11" s="55" t="str">
        <f t="shared" si="7"/>
        <v>容积率</v>
      </c>
      <c r="AA11" s="770" t="e">
        <f t="shared" si="3"/>
        <v>#N/A</v>
      </c>
      <c r="AB11" s="770" t="e">
        <f t="shared" si="4"/>
        <v>#N/A</v>
      </c>
      <c r="AC11" s="770" t="e">
        <f t="shared" si="5"/>
        <v>#N/A</v>
      </c>
    </row>
    <row r="12" spans="1:29" s="117" customFormat="1" ht="15">
      <c r="A12" s="430"/>
      <c r="B12" s="2593">
        <v>111</v>
      </c>
      <c r="C12" s="431"/>
      <c r="D12" s="432">
        <v>100</v>
      </c>
      <c r="E12" s="433"/>
      <c r="F12" s="136">
        <f>SUMIF(64:64,E12,65:65)-SUMIF(64:64,C12,65:65)+100</f>
        <v>100</v>
      </c>
      <c r="G12" s="2685"/>
      <c r="H12" s="136">
        <f>SUMIF(64:64,G12,65:65)-SUMIF(64:64,C12,65:65)+100</f>
        <v>100</v>
      </c>
      <c r="I12" s="468"/>
      <c r="J12" s="136">
        <f>SUMIF(64:64,I12,65:65)-SUMIF(64:64,C12,65:65)+100</f>
        <v>100</v>
      </c>
      <c r="K12" s="612"/>
      <c r="L12" s="1127"/>
      <c r="M12" s="1128"/>
      <c r="N12" s="1128"/>
      <c r="O12" s="1129"/>
      <c r="P12" s="3271"/>
      <c r="Q12" s="1790">
        <f t="shared" si="6"/>
        <v>111</v>
      </c>
      <c r="R12" s="767" t="s">
        <v>17</v>
      </c>
      <c r="S12" s="768">
        <f t="shared" si="0"/>
        <v>100</v>
      </c>
      <c r="T12" s="767" t="s">
        <v>17</v>
      </c>
      <c r="U12" s="768">
        <f t="shared" si="1"/>
        <v>100</v>
      </c>
      <c r="V12" s="767" t="s">
        <v>17</v>
      </c>
      <c r="W12" s="768">
        <f t="shared" si="2"/>
        <v>100</v>
      </c>
      <c r="X12" s="769"/>
      <c r="Y12" s="3100"/>
      <c r="Z12" s="55">
        <f t="shared" si="7"/>
        <v>111</v>
      </c>
      <c r="AA12" s="770">
        <f>D12/F12</f>
        <v>1</v>
      </c>
      <c r="AB12" s="770">
        <f>D12/H12</f>
        <v>1</v>
      </c>
      <c r="AC12" s="770">
        <f>D12/J12</f>
        <v>1</v>
      </c>
    </row>
    <row r="13" spans="1:29" ht="15">
      <c r="A13" s="427"/>
      <c r="B13" s="2593">
        <v>111</v>
      </c>
      <c r="C13" s="433"/>
      <c r="D13" s="434">
        <v>100</v>
      </c>
      <c r="E13" s="433"/>
      <c r="F13" s="136">
        <f>SUMIF(66:66,E13,67:67)-SUMIF(66:66,C13,67:67)+100</f>
        <v>100</v>
      </c>
      <c r="G13" s="2685"/>
      <c r="H13" s="434">
        <f>SUMIF(66:66,G13,67:67)-SUMIF(66:66,C13,67:67)+100</f>
        <v>100</v>
      </c>
      <c r="I13" s="468"/>
      <c r="J13" s="434">
        <f>SUMIF(66:66,I13,67:67)-SUMIF(66:66,C13,67:67)+100</f>
        <v>100</v>
      </c>
      <c r="K13" s="612"/>
      <c r="L13" s="1135"/>
      <c r="M13" s="1126"/>
      <c r="N13" s="1126"/>
      <c r="O13" s="1134"/>
      <c r="P13" s="3271"/>
      <c r="Q13" s="1790">
        <f t="shared" si="6"/>
        <v>111</v>
      </c>
      <c r="R13" s="767" t="s">
        <v>17</v>
      </c>
      <c r="S13" s="768">
        <f t="shared" si="0"/>
        <v>100</v>
      </c>
      <c r="T13" s="767" t="s">
        <v>17</v>
      </c>
      <c r="U13" s="768">
        <f t="shared" si="1"/>
        <v>100</v>
      </c>
      <c r="V13" s="767" t="s">
        <v>17</v>
      </c>
      <c r="W13" s="768">
        <f t="shared" si="2"/>
        <v>100</v>
      </c>
      <c r="X13" s="769"/>
      <c r="Y13" s="3100"/>
      <c r="Z13" s="55">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5"/>
      <c r="M14" s="1126"/>
      <c r="N14" s="1126"/>
      <c r="O14" s="1134"/>
      <c r="P14" s="3271"/>
      <c r="Q14" s="1790">
        <f t="shared" si="6"/>
        <v>111</v>
      </c>
      <c r="R14" s="767" t="s">
        <v>17</v>
      </c>
      <c r="S14" s="768">
        <f t="shared" si="0"/>
        <v>100</v>
      </c>
      <c r="T14" s="767" t="s">
        <v>17</v>
      </c>
      <c r="U14" s="768">
        <f t="shared" si="1"/>
        <v>100</v>
      </c>
      <c r="V14" s="767" t="s">
        <v>17</v>
      </c>
      <c r="W14" s="768">
        <f t="shared" si="2"/>
        <v>100</v>
      </c>
      <c r="X14" s="769"/>
      <c r="Y14" s="3100"/>
      <c r="Z14" s="55">
        <f t="shared" si="7"/>
        <v>111</v>
      </c>
      <c r="AA14" s="770">
        <f t="shared" si="3"/>
        <v>1</v>
      </c>
      <c r="AB14" s="770">
        <f t="shared" si="4"/>
        <v>1</v>
      </c>
      <c r="AC14" s="770">
        <f t="shared" si="5"/>
        <v>1</v>
      </c>
    </row>
    <row r="15" spans="1:29" ht="15">
      <c r="A15" s="439" t="s">
        <v>2547</v>
      </c>
      <c r="B15" s="69" t="s">
        <v>2690</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64" t="s">
        <v>2548</v>
      </c>
      <c r="Q15" s="1805" t="str">
        <f t="shared" si="6"/>
        <v>产业集聚程度</v>
      </c>
      <c r="R15" s="771" t="s">
        <v>17</v>
      </c>
      <c r="S15" s="772">
        <f t="shared" si="0"/>
        <v>100</v>
      </c>
      <c r="T15" s="771" t="s">
        <v>17</v>
      </c>
      <c r="U15" s="772">
        <f t="shared" si="1"/>
        <v>100</v>
      </c>
      <c r="V15" s="771" t="s">
        <v>17</v>
      </c>
      <c r="W15" s="772">
        <f t="shared" si="2"/>
        <v>100</v>
      </c>
      <c r="X15" s="1808"/>
      <c r="Y15" s="3264" t="s">
        <v>2548</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265"/>
      <c r="Q16" s="1805"/>
      <c r="R16" s="771"/>
      <c r="S16" s="772"/>
      <c r="T16" s="771"/>
      <c r="U16" s="772"/>
      <c r="V16" s="771"/>
      <c r="W16" s="772"/>
      <c r="X16" s="1808"/>
      <c r="Y16" s="3265"/>
      <c r="Z16" s="1809"/>
      <c r="AA16" s="1806">
        <v>1</v>
      </c>
      <c r="AB16" s="1806">
        <v>1</v>
      </c>
      <c r="AC16" s="1806">
        <v>1</v>
      </c>
    </row>
    <row r="17" spans="1:29" ht="15">
      <c r="A17" s="427"/>
      <c r="B17" s="450" t="s">
        <v>2088</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65"/>
      <c r="Q17" s="1805" t="str">
        <f>B17</f>
        <v>交通便捷度</v>
      </c>
      <c r="R17" s="771" t="s">
        <v>17</v>
      </c>
      <c r="S17" s="772">
        <f>F17</f>
        <v>100</v>
      </c>
      <c r="T17" s="771" t="s">
        <v>17</v>
      </c>
      <c r="U17" s="772">
        <f>H17</f>
        <v>100</v>
      </c>
      <c r="V17" s="771" t="s">
        <v>17</v>
      </c>
      <c r="W17" s="772">
        <f>J17</f>
        <v>100</v>
      </c>
      <c r="X17" s="1808"/>
      <c r="Y17" s="3265"/>
      <c r="Z17" s="1809" t="str">
        <f>Q17</f>
        <v>交通便捷度</v>
      </c>
      <c r="AA17" s="1806">
        <f t="shared" si="3"/>
        <v>1</v>
      </c>
      <c r="AB17" s="1806">
        <f t="shared" si="4"/>
        <v>1</v>
      </c>
      <c r="AC17" s="1806">
        <f t="shared" si="5"/>
        <v>1</v>
      </c>
    </row>
    <row r="18" spans="1:29" ht="15">
      <c r="A18" s="427"/>
      <c r="B18" s="455"/>
      <c r="C18" s="2601"/>
      <c r="D18" s="449"/>
      <c r="E18" s="2603"/>
      <c r="F18" s="452"/>
      <c r="G18" s="2602"/>
      <c r="H18" s="447"/>
      <c r="I18" s="2603"/>
      <c r="J18" s="447"/>
      <c r="K18" s="614"/>
      <c r="L18" s="1135"/>
      <c r="M18" s="1126"/>
      <c r="N18" s="1126"/>
      <c r="O18" s="1134"/>
      <c r="P18" s="3265"/>
      <c r="Q18" s="1805"/>
      <c r="R18" s="771"/>
      <c r="S18" s="772"/>
      <c r="T18" s="771"/>
      <c r="U18" s="772"/>
      <c r="V18" s="771"/>
      <c r="W18" s="772"/>
      <c r="X18" s="1808"/>
      <c r="Y18" s="3265"/>
      <c r="Z18" s="1809"/>
      <c r="AA18" s="1806">
        <v>1</v>
      </c>
      <c r="AB18" s="1806">
        <v>1</v>
      </c>
      <c r="AC18" s="1806">
        <v>1</v>
      </c>
    </row>
    <row r="19" spans="1:29" ht="15">
      <c r="A19" s="427"/>
      <c r="B19" s="450" t="s">
        <v>2675</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65"/>
      <c r="Q19" s="1805" t="str">
        <f>B19</f>
        <v>公共配套设施</v>
      </c>
      <c r="R19" s="771" t="s">
        <v>17</v>
      </c>
      <c r="S19" s="772">
        <f>F19</f>
        <v>100</v>
      </c>
      <c r="T19" s="771" t="s">
        <v>17</v>
      </c>
      <c r="U19" s="772">
        <f>H19</f>
        <v>100</v>
      </c>
      <c r="V19" s="771" t="s">
        <v>17</v>
      </c>
      <c r="W19" s="772">
        <f>J19</f>
        <v>100</v>
      </c>
      <c r="X19" s="1808"/>
      <c r="Y19" s="3265"/>
      <c r="Z19" s="1809" t="str">
        <f>Q19</f>
        <v>公共配套设施</v>
      </c>
      <c r="AA19" s="1806">
        <f t="shared" si="3"/>
        <v>1</v>
      </c>
      <c r="AB19" s="1806">
        <f t="shared" si="4"/>
        <v>1</v>
      </c>
      <c r="AC19" s="1806">
        <f t="shared" si="5"/>
        <v>1</v>
      </c>
    </row>
    <row r="20" spans="1:29" ht="15">
      <c r="A20" s="427"/>
      <c r="B20" s="455"/>
      <c r="C20" s="446"/>
      <c r="D20" s="447"/>
      <c r="E20" s="2598"/>
      <c r="F20" s="448"/>
      <c r="G20" s="2597"/>
      <c r="H20" s="447"/>
      <c r="I20" s="2598"/>
      <c r="J20" s="447"/>
      <c r="K20" s="614"/>
      <c r="L20" s="1135"/>
      <c r="M20" s="1126"/>
      <c r="N20" s="1126"/>
      <c r="O20" s="1134"/>
      <c r="P20" s="3265"/>
      <c r="Q20" s="1805"/>
      <c r="R20" s="771"/>
      <c r="S20" s="772"/>
      <c r="T20" s="771"/>
      <c r="U20" s="772"/>
      <c r="V20" s="771"/>
      <c r="W20" s="772"/>
      <c r="X20" s="1808"/>
      <c r="Y20" s="3265"/>
      <c r="Z20" s="1809"/>
      <c r="AA20" s="1806">
        <v>1</v>
      </c>
      <c r="AB20" s="1806">
        <v>1</v>
      </c>
      <c r="AC20" s="1806">
        <v>1</v>
      </c>
    </row>
    <row r="21" spans="1:29" ht="15">
      <c r="A21" s="427"/>
      <c r="B21" s="1379" t="s">
        <v>2676</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65"/>
      <c r="Q21" s="1805" t="str">
        <f>B21</f>
        <v>基础设施水平</v>
      </c>
      <c r="R21" s="771" t="s">
        <v>17</v>
      </c>
      <c r="S21" s="772">
        <f>F21</f>
        <v>100</v>
      </c>
      <c r="T21" s="771" t="s">
        <v>17</v>
      </c>
      <c r="U21" s="772">
        <f>H21</f>
        <v>100</v>
      </c>
      <c r="V21" s="771" t="s">
        <v>17</v>
      </c>
      <c r="W21" s="772">
        <f>J21</f>
        <v>100</v>
      </c>
      <c r="X21" s="1808"/>
      <c r="Y21" s="3265"/>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8"/>
      <c r="G22" s="446"/>
      <c r="H22" s="447"/>
      <c r="I22" s="446"/>
      <c r="J22" s="447"/>
      <c r="K22" s="1378"/>
      <c r="L22" s="1135"/>
      <c r="M22" s="1126"/>
      <c r="N22" s="1126"/>
      <c r="O22" s="1134"/>
      <c r="P22" s="3265"/>
      <c r="Q22" s="1805"/>
      <c r="R22" s="771"/>
      <c r="S22" s="772"/>
      <c r="T22" s="771"/>
      <c r="U22" s="772"/>
      <c r="V22" s="771"/>
      <c r="W22" s="772"/>
      <c r="X22" s="1808"/>
      <c r="Y22" s="3265"/>
      <c r="Z22" s="1809"/>
      <c r="AA22" s="1806">
        <v>1</v>
      </c>
      <c r="AB22" s="1806">
        <v>1</v>
      </c>
      <c r="AC22" s="1806">
        <v>1</v>
      </c>
    </row>
    <row r="23" spans="1:29" ht="15">
      <c r="A23" s="427"/>
      <c r="B23" s="450" t="s">
        <v>2677</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65"/>
      <c r="Q23" s="1805" t="str">
        <f>B23</f>
        <v>环境质量</v>
      </c>
      <c r="R23" s="771" t="s">
        <v>17</v>
      </c>
      <c r="S23" s="772">
        <f>F23</f>
        <v>100</v>
      </c>
      <c r="T23" s="771" t="s">
        <v>17</v>
      </c>
      <c r="U23" s="772">
        <f>H23</f>
        <v>100</v>
      </c>
      <c r="V23" s="771" t="s">
        <v>17</v>
      </c>
      <c r="W23" s="772">
        <f>J23</f>
        <v>100</v>
      </c>
      <c r="X23" s="1808"/>
      <c r="Y23" s="3265"/>
      <c r="Z23" s="1809" t="str">
        <f>Q23</f>
        <v>环境质量</v>
      </c>
      <c r="AA23" s="1806">
        <f t="shared" si="3"/>
        <v>1</v>
      </c>
      <c r="AB23" s="1806">
        <f t="shared" si="4"/>
        <v>1</v>
      </c>
      <c r="AC23" s="1806">
        <f t="shared" si="5"/>
        <v>1</v>
      </c>
    </row>
    <row r="24" spans="1:29" ht="15">
      <c r="A24" s="427"/>
      <c r="B24" s="1379"/>
      <c r="C24" s="446"/>
      <c r="D24" s="447"/>
      <c r="E24" s="2598"/>
      <c r="F24" s="448"/>
      <c r="G24" s="2597"/>
      <c r="H24" s="447"/>
      <c r="I24" s="2598"/>
      <c r="J24" s="447"/>
      <c r="K24" s="614"/>
      <c r="L24" s="1135"/>
      <c r="M24" s="1126"/>
      <c r="N24" s="1126"/>
      <c r="O24" s="1134"/>
      <c r="P24" s="3265"/>
      <c r="Q24" s="1805"/>
      <c r="R24" s="771"/>
      <c r="S24" s="772"/>
      <c r="T24" s="771"/>
      <c r="U24" s="772"/>
      <c r="V24" s="771"/>
      <c r="W24" s="772"/>
      <c r="X24" s="1808"/>
      <c r="Y24" s="3265"/>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65"/>
      <c r="Q25" s="1805">
        <f>B25</f>
        <v>111</v>
      </c>
      <c r="R25" s="771" t="s">
        <v>17</v>
      </c>
      <c r="S25" s="772">
        <f>F25</f>
        <v>100</v>
      </c>
      <c r="T25" s="771" t="s">
        <v>17</v>
      </c>
      <c r="U25" s="772">
        <f>H25</f>
        <v>100</v>
      </c>
      <c r="V25" s="771" t="s">
        <v>17</v>
      </c>
      <c r="W25" s="772">
        <f>J25</f>
        <v>100</v>
      </c>
      <c r="X25" s="1808"/>
      <c r="Y25" s="3265"/>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65"/>
      <c r="Q26" s="1805">
        <f t="shared" ref="Q26:Q40" si="11">B26</f>
        <v>111</v>
      </c>
      <c r="R26" s="771" t="s">
        <v>17</v>
      </c>
      <c r="S26" s="772">
        <f>F26</f>
        <v>100</v>
      </c>
      <c r="T26" s="771" t="s">
        <v>17</v>
      </c>
      <c r="U26" s="772">
        <f>H26</f>
        <v>100</v>
      </c>
      <c r="V26" s="771" t="s">
        <v>17</v>
      </c>
      <c r="W26" s="772">
        <f>J26</f>
        <v>100</v>
      </c>
      <c r="X26" s="1808"/>
      <c r="Y26" s="3265"/>
      <c r="Z26" s="1809">
        <f>Q26</f>
        <v>111</v>
      </c>
      <c r="AA26" s="1806">
        <f t="shared" si="3"/>
        <v>1</v>
      </c>
      <c r="AB26" s="1806">
        <f t="shared" si="4"/>
        <v>1</v>
      </c>
      <c r="AC26" s="1806">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65"/>
      <c r="Q27" s="1790">
        <f t="shared" si="11"/>
        <v>111</v>
      </c>
      <c r="R27" s="767" t="s">
        <v>17</v>
      </c>
      <c r="S27" s="768">
        <f>F27</f>
        <v>100</v>
      </c>
      <c r="T27" s="767" t="s">
        <v>17</v>
      </c>
      <c r="U27" s="768">
        <f>H27</f>
        <v>100</v>
      </c>
      <c r="V27" s="767" t="s">
        <v>17</v>
      </c>
      <c r="W27" s="768">
        <f>J27</f>
        <v>100</v>
      </c>
      <c r="X27" s="769"/>
      <c r="Y27" s="3265"/>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65"/>
      <c r="Q28" s="1805">
        <f t="shared" si="11"/>
        <v>111</v>
      </c>
      <c r="R28" s="771" t="s">
        <v>17</v>
      </c>
      <c r="S28" s="772">
        <f t="shared" ref="S28:S40" si="12">F28</f>
        <v>100</v>
      </c>
      <c r="T28" s="771" t="s">
        <v>17</v>
      </c>
      <c r="U28" s="772">
        <f t="shared" ref="U28:U40" si="13">H28</f>
        <v>100</v>
      </c>
      <c r="V28" s="771" t="s">
        <v>17</v>
      </c>
      <c r="W28" s="772">
        <f t="shared" ref="W28:W40" si="14">J28</f>
        <v>100</v>
      </c>
      <c r="X28" s="1808"/>
      <c r="Y28" s="3265"/>
      <c r="Z28" s="1809">
        <f t="shared" ref="Z28:Z40" si="15">Q28</f>
        <v>111</v>
      </c>
      <c r="AA28" s="1806">
        <f t="shared" si="3"/>
        <v>1</v>
      </c>
      <c r="AB28" s="1806">
        <f t="shared" si="4"/>
        <v>1</v>
      </c>
      <c r="AC28" s="1806">
        <f t="shared" si="5"/>
        <v>1</v>
      </c>
    </row>
    <row r="29" spans="1:29" ht="15">
      <c r="A29" s="465" t="s">
        <v>2551</v>
      </c>
      <c r="B29" s="71" t="s">
        <v>2680</v>
      </c>
      <c r="C29" s="2672"/>
      <c r="D29" s="466">
        <v>100</v>
      </c>
      <c r="E29" s="2672"/>
      <c r="F29" s="460">
        <f>SUMIF(88:88,E29,89:89)-SUMIF(88:88,C29,89:89)+100</f>
        <v>100</v>
      </c>
      <c r="G29" s="2672"/>
      <c r="H29" s="434">
        <f>SUMIF(88:88,G29,89:89)-SUMIF(88:88,C29,89:89)+100</f>
        <v>100</v>
      </c>
      <c r="I29" s="2672"/>
      <c r="J29" s="466">
        <f>SUMIF(88:88,I29,89:89)-SUMIF(88:88,C29,89:89)+100</f>
        <v>100</v>
      </c>
      <c r="K29" s="611"/>
      <c r="L29" s="1135"/>
      <c r="M29" s="1126"/>
      <c r="N29" s="1126"/>
      <c r="O29" s="1134"/>
      <c r="P29" s="3291" t="s">
        <v>2553</v>
      </c>
      <c r="Q29" s="1805" t="str">
        <f t="shared" si="11"/>
        <v>建筑类型</v>
      </c>
      <c r="R29" s="771" t="s">
        <v>17</v>
      </c>
      <c r="S29" s="772">
        <f t="shared" si="12"/>
        <v>100</v>
      </c>
      <c r="T29" s="771" t="s">
        <v>17</v>
      </c>
      <c r="U29" s="772">
        <f t="shared" si="13"/>
        <v>100</v>
      </c>
      <c r="V29" s="771" t="s">
        <v>17</v>
      </c>
      <c r="W29" s="772">
        <f t="shared" si="14"/>
        <v>100</v>
      </c>
      <c r="X29" s="1808"/>
      <c r="Y29" s="3269" t="s">
        <v>2553</v>
      </c>
      <c r="Z29" s="1809" t="str">
        <f t="shared" si="15"/>
        <v>建筑类型</v>
      </c>
      <c r="AA29" s="1806">
        <f t="shared" si="3"/>
        <v>1</v>
      </c>
      <c r="AB29" s="1806">
        <f t="shared" si="4"/>
        <v>1</v>
      </c>
      <c r="AC29" s="1806">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3"/>
      <c r="M30" s="1136"/>
      <c r="N30" s="1136"/>
      <c r="O30" s="1137"/>
      <c r="P30" s="3269"/>
      <c r="Q30" s="773" t="str">
        <f t="shared" si="11"/>
        <v>项目建筑规模</v>
      </c>
      <c r="R30" s="774" t="s">
        <v>17</v>
      </c>
      <c r="S30" s="775" t="e">
        <f t="shared" si="12"/>
        <v>#N/A</v>
      </c>
      <c r="T30" s="774" t="s">
        <v>17</v>
      </c>
      <c r="U30" s="775" t="e">
        <f t="shared" si="13"/>
        <v>#N/A</v>
      </c>
      <c r="V30" s="774" t="s">
        <v>17</v>
      </c>
      <c r="W30" s="775" t="e">
        <f t="shared" si="14"/>
        <v>#N/A</v>
      </c>
      <c r="X30" s="776"/>
      <c r="Y30" s="3269"/>
      <c r="Z30" s="777" t="str">
        <f t="shared" si="15"/>
        <v>项目建筑规模</v>
      </c>
      <c r="AA30" s="1806" t="e">
        <f t="shared" si="3"/>
        <v>#N/A</v>
      </c>
      <c r="AB30" s="1806" t="e">
        <f t="shared" si="4"/>
        <v>#N/A</v>
      </c>
      <c r="AC30" s="1806"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69"/>
      <c r="Q31" s="1805" t="str">
        <f t="shared" si="11"/>
        <v>建筑结构</v>
      </c>
      <c r="R31" s="771" t="s">
        <v>17</v>
      </c>
      <c r="S31" s="772">
        <f t="shared" si="12"/>
        <v>100</v>
      </c>
      <c r="T31" s="771" t="s">
        <v>17</v>
      </c>
      <c r="U31" s="772">
        <f t="shared" si="13"/>
        <v>100</v>
      </c>
      <c r="V31" s="771" t="s">
        <v>17</v>
      </c>
      <c r="W31" s="772">
        <f t="shared" si="14"/>
        <v>100</v>
      </c>
      <c r="X31" s="1808"/>
      <c r="Y31" s="3269"/>
      <c r="Z31" s="1809" t="str">
        <f t="shared" si="15"/>
        <v>建筑结构</v>
      </c>
      <c r="AA31" s="1806">
        <f t="shared" si="3"/>
        <v>1</v>
      </c>
      <c r="AB31" s="1806">
        <f t="shared" si="4"/>
        <v>1</v>
      </c>
      <c r="AC31" s="1806">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69"/>
      <c r="Q32" s="1805" t="str">
        <f t="shared" si="11"/>
        <v>公共部分装修</v>
      </c>
      <c r="R32" s="771" t="s">
        <v>17</v>
      </c>
      <c r="S32" s="772">
        <f t="shared" si="12"/>
        <v>100</v>
      </c>
      <c r="T32" s="771" t="s">
        <v>17</v>
      </c>
      <c r="U32" s="772">
        <f t="shared" si="13"/>
        <v>100</v>
      </c>
      <c r="V32" s="771" t="s">
        <v>17</v>
      </c>
      <c r="W32" s="772">
        <f t="shared" si="14"/>
        <v>100</v>
      </c>
      <c r="X32" s="1808"/>
      <c r="Y32" s="3269"/>
      <c r="Z32" s="1809" t="str">
        <f t="shared" si="15"/>
        <v>公共部分装修</v>
      </c>
      <c r="AA32" s="1806">
        <f t="shared" si="3"/>
        <v>1</v>
      </c>
      <c r="AB32" s="1806">
        <f t="shared" si="4"/>
        <v>1</v>
      </c>
      <c r="AC32" s="1806">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69"/>
      <c r="Q33" s="1805" t="str">
        <f t="shared" si="11"/>
        <v>成新度</v>
      </c>
      <c r="R33" s="771" t="s">
        <v>17</v>
      </c>
      <c r="S33" s="772" t="e">
        <f t="shared" si="12"/>
        <v>#N/A</v>
      </c>
      <c r="T33" s="771" t="s">
        <v>17</v>
      </c>
      <c r="U33" s="772" t="e">
        <f t="shared" si="13"/>
        <v>#N/A</v>
      </c>
      <c r="V33" s="771" t="s">
        <v>17</v>
      </c>
      <c r="W33" s="772" t="e">
        <f t="shared" si="14"/>
        <v>#N/A</v>
      </c>
      <c r="X33" s="1808"/>
      <c r="Y33" s="3269"/>
      <c r="Z33" s="1809" t="str">
        <f t="shared" si="15"/>
        <v>成新度</v>
      </c>
      <c r="AA33" s="1806" t="e">
        <f t="shared" si="3"/>
        <v>#N/A</v>
      </c>
      <c r="AB33" s="1806" t="e">
        <f t="shared" si="4"/>
        <v>#N/A</v>
      </c>
      <c r="AC33" s="1806"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69"/>
      <c r="Q34" s="1790" t="str">
        <f t="shared" si="11"/>
        <v>物业管理</v>
      </c>
      <c r="R34" s="767" t="s">
        <v>17</v>
      </c>
      <c r="S34" s="768">
        <f t="shared" si="12"/>
        <v>100</v>
      </c>
      <c r="T34" s="767" t="s">
        <v>17</v>
      </c>
      <c r="U34" s="768">
        <f t="shared" si="13"/>
        <v>100</v>
      </c>
      <c r="V34" s="767" t="s">
        <v>17</v>
      </c>
      <c r="W34" s="768">
        <f t="shared" si="14"/>
        <v>100</v>
      </c>
      <c r="X34" s="769"/>
      <c r="Y34" s="3269"/>
      <c r="Z34" s="55" t="str">
        <f t="shared" si="15"/>
        <v>物业管理</v>
      </c>
      <c r="AA34" s="770">
        <f t="shared" si="3"/>
        <v>1</v>
      </c>
      <c r="AB34" s="770">
        <f t="shared" si="4"/>
        <v>1</v>
      </c>
      <c r="AC34" s="770">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69" t="s">
        <v>2553</v>
      </c>
      <c r="Q35" s="1805" t="str">
        <f t="shared" si="11"/>
        <v>市政基础设施</v>
      </c>
      <c r="R35" s="771" t="s">
        <v>17</v>
      </c>
      <c r="S35" s="772">
        <f t="shared" si="12"/>
        <v>100</v>
      </c>
      <c r="T35" s="771" t="s">
        <v>17</v>
      </c>
      <c r="U35" s="772">
        <f t="shared" si="13"/>
        <v>100</v>
      </c>
      <c r="V35" s="771" t="s">
        <v>17</v>
      </c>
      <c r="W35" s="772">
        <f t="shared" si="14"/>
        <v>100</v>
      </c>
      <c r="X35" s="1808"/>
      <c r="Y35" s="3269" t="s">
        <v>2553</v>
      </c>
      <c r="Z35" s="1809" t="str">
        <f t="shared" si="15"/>
        <v>市政基础设施</v>
      </c>
      <c r="AA35" s="1806">
        <f t="shared" si="3"/>
        <v>1</v>
      </c>
      <c r="AB35" s="1806">
        <f t="shared" si="4"/>
        <v>1</v>
      </c>
      <c r="AC35" s="1806">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69"/>
      <c r="Q36" s="1805" t="str">
        <f t="shared" si="11"/>
        <v>内部装修</v>
      </c>
      <c r="R36" s="771" t="s">
        <v>17</v>
      </c>
      <c r="S36" s="772">
        <f t="shared" si="12"/>
        <v>100</v>
      </c>
      <c r="T36" s="771" t="s">
        <v>17</v>
      </c>
      <c r="U36" s="772">
        <f t="shared" si="13"/>
        <v>100</v>
      </c>
      <c r="V36" s="771" t="s">
        <v>17</v>
      </c>
      <c r="W36" s="772">
        <f t="shared" si="14"/>
        <v>100</v>
      </c>
      <c r="X36" s="1808"/>
      <c r="Y36" s="3269"/>
      <c r="Z36" s="1809" t="str">
        <f t="shared" si="15"/>
        <v>内部装修</v>
      </c>
      <c r="AA36" s="1806">
        <f t="shared" si="3"/>
        <v>1</v>
      </c>
      <c r="AB36" s="1806">
        <f t="shared" si="4"/>
        <v>1</v>
      </c>
      <c r="AC36" s="1806">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69"/>
      <c r="Q37" s="1805" t="str">
        <f t="shared" si="11"/>
        <v>内部装修状况</v>
      </c>
      <c r="R37" s="771" t="s">
        <v>17</v>
      </c>
      <c r="S37" s="772">
        <f t="shared" si="12"/>
        <v>100</v>
      </c>
      <c r="T37" s="771" t="s">
        <v>17</v>
      </c>
      <c r="U37" s="772">
        <f t="shared" si="13"/>
        <v>100</v>
      </c>
      <c r="V37" s="771" t="s">
        <v>17</v>
      </c>
      <c r="W37" s="772">
        <f t="shared" si="14"/>
        <v>100</v>
      </c>
      <c r="X37" s="1808"/>
      <c r="Y37" s="3269"/>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69"/>
      <c r="Q38" s="773">
        <f t="shared" si="11"/>
        <v>111</v>
      </c>
      <c r="R38" s="774" t="s">
        <v>17</v>
      </c>
      <c r="S38" s="775">
        <f t="shared" si="12"/>
        <v>100</v>
      </c>
      <c r="T38" s="774" t="s">
        <v>17</v>
      </c>
      <c r="U38" s="775">
        <f t="shared" si="13"/>
        <v>100</v>
      </c>
      <c r="V38" s="774" t="s">
        <v>17</v>
      </c>
      <c r="W38" s="775">
        <f t="shared" si="14"/>
        <v>100</v>
      </c>
      <c r="X38" s="776"/>
      <c r="Y38" s="3269"/>
      <c r="Z38" s="777">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69"/>
      <c r="Q39" s="1805">
        <f t="shared" si="11"/>
        <v>111</v>
      </c>
      <c r="R39" s="771" t="s">
        <v>17</v>
      </c>
      <c r="S39" s="772">
        <f t="shared" si="12"/>
        <v>100</v>
      </c>
      <c r="T39" s="771" t="s">
        <v>17</v>
      </c>
      <c r="U39" s="772">
        <f t="shared" si="13"/>
        <v>100</v>
      </c>
      <c r="V39" s="771" t="s">
        <v>17</v>
      </c>
      <c r="W39" s="772">
        <f t="shared" si="14"/>
        <v>100</v>
      </c>
      <c r="X39" s="1808"/>
      <c r="Y39" s="3269"/>
      <c r="Z39" s="1809">
        <f t="shared" si="15"/>
        <v>111</v>
      </c>
      <c r="AA39" s="1806">
        <f t="shared" si="3"/>
        <v>1</v>
      </c>
      <c r="AB39" s="1806">
        <f t="shared" si="4"/>
        <v>1</v>
      </c>
      <c r="AC39" s="1806">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70"/>
      <c r="Q40" s="1805">
        <f t="shared" si="11"/>
        <v>111</v>
      </c>
      <c r="R40" s="771" t="s">
        <v>17</v>
      </c>
      <c r="S40" s="772">
        <f t="shared" si="12"/>
        <v>100</v>
      </c>
      <c r="T40" s="771" t="s">
        <v>17</v>
      </c>
      <c r="U40" s="772">
        <f t="shared" si="13"/>
        <v>100</v>
      </c>
      <c r="V40" s="771" t="s">
        <v>17</v>
      </c>
      <c r="W40" s="772">
        <f t="shared" si="14"/>
        <v>100</v>
      </c>
      <c r="X40" s="1808"/>
      <c r="Y40" s="3270"/>
      <c r="Z40" s="1809">
        <f t="shared" si="15"/>
        <v>111</v>
      </c>
      <c r="AA40" s="1806">
        <f t="shared" si="3"/>
        <v>1</v>
      </c>
      <c r="AB40" s="1806">
        <f t="shared" si="4"/>
        <v>1</v>
      </c>
      <c r="AC40" s="1806">
        <f t="shared" si="5"/>
        <v>1</v>
      </c>
    </row>
    <row r="41" spans="1:29" ht="15">
      <c r="A41" s="478" t="s">
        <v>2565</v>
      </c>
      <c r="B41" s="479"/>
      <c r="C41" s="1402" t="s">
        <v>1</v>
      </c>
      <c r="D41" s="1403"/>
      <c r="E41" s="1404"/>
      <c r="F41" s="1405"/>
      <c r="G41" s="1406"/>
      <c r="H41" s="1407"/>
      <c r="I41" s="1404"/>
      <c r="J41" s="1407"/>
      <c r="K41" s="780"/>
      <c r="L41" s="1138"/>
      <c r="M41" s="1139"/>
      <c r="N41" s="1126"/>
      <c r="O41" s="1139"/>
      <c r="P41" s="3271" t="str">
        <f>A41</f>
        <v>成交单价（元/平方米）</v>
      </c>
      <c r="Q41" s="3271"/>
      <c r="R41" s="3272">
        <f>E41</f>
        <v>0</v>
      </c>
      <c r="S41" s="3272"/>
      <c r="T41" s="3272">
        <f>G41</f>
        <v>0</v>
      </c>
      <c r="U41" s="3272"/>
      <c r="V41" s="3272">
        <f>I41</f>
        <v>0</v>
      </c>
      <c r="W41" s="3272"/>
      <c r="X41" s="756"/>
      <c r="Y41" s="778"/>
      <c r="Z41" s="756"/>
      <c r="AA41" s="756"/>
      <c r="AB41" s="756"/>
      <c r="AC41" s="756"/>
    </row>
    <row r="42" spans="1:29" ht="15.75" thickBot="1">
      <c r="A42" s="485" t="s">
        <v>2656</v>
      </c>
      <c r="B42" s="486"/>
      <c r="C42" s="1408" t="e">
        <f>R43</f>
        <v>#DIV/0!</v>
      </c>
      <c r="D42" s="1409"/>
      <c r="E42" s="1410" t="e">
        <f>R42</f>
        <v>#DIV/0!</v>
      </c>
      <c r="F42" s="1410"/>
      <c r="G42" s="1408" t="e">
        <f>T42</f>
        <v>#DIV/0!</v>
      </c>
      <c r="H42" s="1409"/>
      <c r="I42" s="1410" t="e">
        <f>V42</f>
        <v>#DIV/0!</v>
      </c>
      <c r="J42" s="1409"/>
      <c r="K42" s="781"/>
      <c r="L42" s="1138"/>
      <c r="M42" s="1139"/>
      <c r="N42" s="1126"/>
      <c r="O42" s="1139"/>
      <c r="P42" s="3271" t="str">
        <f>A42</f>
        <v>比较价值（元/平方米）</v>
      </c>
      <c r="Q42" s="3271"/>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6"/>
      <c r="Y42" s="756"/>
      <c r="Z42" s="756"/>
      <c r="AA42" s="756"/>
      <c r="AB42" s="756"/>
      <c r="AC42" s="756"/>
    </row>
    <row r="43" spans="1:29" ht="15.75" thickBot="1">
      <c r="A43" s="491" t="s">
        <v>2657</v>
      </c>
      <c r="B43" s="492"/>
      <c r="C43" s="1412" t="e">
        <f>R43</f>
        <v>#DIV/0!</v>
      </c>
      <c r="D43" s="1412"/>
      <c r="E43" s="1412"/>
      <c r="F43" s="1412"/>
      <c r="G43" s="1412"/>
      <c r="H43" s="1412"/>
      <c r="I43" s="1412"/>
      <c r="J43" s="1412"/>
      <c r="K43" s="782"/>
      <c r="L43" s="1138"/>
      <c r="M43" s="1139"/>
      <c r="N43" s="1139"/>
      <c r="O43" s="1139"/>
      <c r="P43" s="3288" t="str">
        <f>A43</f>
        <v>估价对象XX用房的比较价值（楼面单价，元/平方米）</v>
      </c>
      <c r="Q43" s="3289"/>
      <c r="R43" s="3290" t="e">
        <f>IF(F1="售价",ROUND(AVERAGE(R42:V42),0),ROUND(AVERAGE(R42:V42),1))</f>
        <v>#DIV/0!</v>
      </c>
      <c r="S43" s="3290"/>
      <c r="T43" s="3290"/>
      <c r="U43" s="3290"/>
      <c r="V43" s="3290"/>
      <c r="W43" s="3290"/>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2661</v>
      </c>
      <c r="B51" s="756"/>
      <c r="C51" s="761"/>
      <c r="D51" s="761"/>
      <c r="E51" s="761"/>
      <c r="F51" s="762"/>
      <c r="G51" s="762"/>
      <c r="H51" s="761"/>
      <c r="I51" s="761"/>
      <c r="J51" s="761"/>
      <c r="K51" s="1155"/>
      <c r="L51" s="1156"/>
      <c r="M51" s="1154"/>
      <c r="N51" s="1154"/>
      <c r="O51" s="1154"/>
      <c r="P51" s="502"/>
      <c r="Q51" s="503"/>
    </row>
    <row r="52" spans="1:17" s="507" customFormat="1" ht="15">
      <c r="A52" s="504" t="s">
        <v>2536</v>
      </c>
      <c r="B52" s="505"/>
      <c r="C52" s="1569" t="str">
        <f>YEAR(C7)&amp;"-"&amp;MONTH(C7)</f>
        <v>2018-3</v>
      </c>
      <c r="D52" s="1570">
        <f>EDATE(C52,-1)</f>
        <v>43132</v>
      </c>
      <c r="E52" s="1570">
        <f t="shared" ref="E52:O52" si="16">EDATE(D52,-1)</f>
        <v>43101</v>
      </c>
      <c r="F52" s="1570">
        <f t="shared" si="16"/>
        <v>43070</v>
      </c>
      <c r="G52" s="1570">
        <f t="shared" si="16"/>
        <v>43040</v>
      </c>
      <c r="H52" s="1570">
        <f t="shared" si="16"/>
        <v>43009</v>
      </c>
      <c r="I52" s="1570">
        <f t="shared" si="16"/>
        <v>42979</v>
      </c>
      <c r="J52" s="1570">
        <f t="shared" si="16"/>
        <v>42948</v>
      </c>
      <c r="K52" s="1570">
        <f t="shared" si="16"/>
        <v>42917</v>
      </c>
      <c r="L52" s="1570">
        <f t="shared" si="16"/>
        <v>42887</v>
      </c>
      <c r="M52" s="1570">
        <f t="shared" si="16"/>
        <v>42856</v>
      </c>
      <c r="N52" s="1570">
        <f t="shared" si="16"/>
        <v>42826</v>
      </c>
      <c r="O52" s="1570">
        <f t="shared" si="16"/>
        <v>42795</v>
      </c>
      <c r="P52" s="506"/>
    </row>
    <row r="53" spans="1:17" s="117" customFormat="1" ht="15">
      <c r="A53" s="508"/>
      <c r="B53" s="509"/>
      <c r="C53" s="1568">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46"/>
      <c r="O55" s="1146"/>
      <c r="P55" s="525"/>
      <c r="Q55" s="503"/>
    </row>
    <row r="56" spans="1:17" s="117" customFormat="1" ht="15.75" thickBot="1">
      <c r="A56" s="520"/>
      <c r="B56" s="509"/>
      <c r="C56" s="636">
        <v>100</v>
      </c>
      <c r="D56" s="511"/>
      <c r="E56" s="511"/>
      <c r="F56" s="511"/>
      <c r="G56" s="511"/>
      <c r="H56" s="511"/>
      <c r="I56" s="511"/>
      <c r="J56" s="511"/>
      <c r="K56" s="511"/>
      <c r="L56" s="511"/>
      <c r="M56" s="513"/>
      <c r="N56" s="1146"/>
      <c r="O56" s="1146"/>
      <c r="P56" s="503"/>
      <c r="Q56" s="503"/>
    </row>
    <row r="57" spans="1:17">
      <c r="A57" s="526" t="s">
        <v>2576</v>
      </c>
      <c r="B57" s="527" t="s">
        <v>2542</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2547</v>
      </c>
      <c r="B70" s="527" t="s">
        <v>2692</v>
      </c>
      <c r="C70" s="572" t="s">
        <v>2585</v>
      </c>
      <c r="D70" s="572" t="s">
        <v>2586</v>
      </c>
      <c r="E70" s="572" t="s">
        <v>2587</v>
      </c>
      <c r="F70" s="572" t="s">
        <v>2588</v>
      </c>
      <c r="G70" s="572" t="s">
        <v>2589</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2676</v>
      </c>
      <c r="C76" s="657" t="s">
        <v>2662</v>
      </c>
      <c r="D76" s="657" t="s">
        <v>2663</v>
      </c>
      <c r="E76" s="657" t="s">
        <v>2664</v>
      </c>
      <c r="F76" s="657" t="s">
        <v>2665</v>
      </c>
      <c r="G76" s="657" t="s">
        <v>2666</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48"/>
      <c r="O77" s="1148"/>
      <c r="P77" s="45"/>
      <c r="Q77" s="503"/>
    </row>
    <row r="78" spans="1:17" ht="15.75" thickTop="1">
      <c r="A78" s="533"/>
      <c r="B78" s="537" t="s">
        <v>2685</v>
      </c>
      <c r="C78" s="577" t="s">
        <v>2585</v>
      </c>
      <c r="D78" s="577" t="s">
        <v>2586</v>
      </c>
      <c r="E78" s="577" t="s">
        <v>2587</v>
      </c>
      <c r="F78" s="577" t="s">
        <v>2588</v>
      </c>
      <c r="G78" s="577" t="s">
        <v>2589</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9"/>
      <c r="B87" s="568"/>
      <c r="C87" s="569"/>
      <c r="D87" s="569"/>
      <c r="E87" s="569"/>
      <c r="F87" s="569"/>
      <c r="G87" s="590"/>
      <c r="H87" s="590"/>
      <c r="I87" s="590"/>
      <c r="J87" s="590"/>
      <c r="K87" s="590"/>
      <c r="L87" s="590"/>
      <c r="M87" s="591"/>
      <c r="N87" s="1148"/>
      <c r="O87" s="1148"/>
      <c r="P87" s="45"/>
      <c r="Q87" s="503"/>
    </row>
    <row r="88" spans="1:17">
      <c r="A88" s="526" t="s">
        <v>2551</v>
      </c>
      <c r="B88" s="527" t="s">
        <v>2600</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2602</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2604</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0"/>
      <c r="J98" s="620"/>
      <c r="K98" s="621"/>
      <c r="L98" s="622"/>
      <c r="M98" s="623"/>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2605</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2606</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2608</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3" t="s">
        <v>2693</v>
      </c>
      <c r="C106" s="577" t="s">
        <v>2585</v>
      </c>
      <c r="D106" s="577" t="s">
        <v>2586</v>
      </c>
      <c r="E106" s="577" t="s">
        <v>2587</v>
      </c>
      <c r="F106" s="577" t="s">
        <v>2588</v>
      </c>
      <c r="G106" s="577" t="s">
        <v>2589</v>
      </c>
      <c r="H106" s="538"/>
      <c r="I106" s="538"/>
      <c r="J106" s="538"/>
      <c r="K106" s="539"/>
      <c r="L106" s="540"/>
      <c r="M106" s="541"/>
      <c r="N106" s="1148"/>
      <c r="O106" s="1148"/>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9"/>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4" customFormat="1" ht="28.5" customHeight="1" thickBot="1">
      <c r="A1" s="1613" t="s">
        <v>2694</v>
      </c>
      <c r="B1" s="1614"/>
      <c r="C1" s="1615" t="s">
        <v>2518</v>
      </c>
      <c r="D1" s="1616"/>
      <c r="E1" s="1625"/>
      <c r="F1" s="2577"/>
      <c r="G1" s="1626" t="s">
        <v>2631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2315</v>
      </c>
      <c r="B2" s="1413" t="e">
        <f ca="1">IF(C2="——",ROUND(C37*D3/10000,0),ROUND(C37*D3/10000,0)-D2)</f>
        <v>#DIV/0!</v>
      </c>
      <c r="C2" s="2579"/>
      <c r="D2" s="1119" t="e">
        <f ca="1">SUMIF(INDIRECT("'"&amp;F2&amp;"'"&amp;"!A:A"),"承租人权益价值",INDIRECT("'"&amp;F2&amp;"'"&amp;"!c:c"))</f>
        <v>#REF!</v>
      </c>
      <c r="E2" s="2580" t="s">
        <v>2316</v>
      </c>
      <c r="F2" s="258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t="e">
        <f ca="1">IF(C2="——",C37,ROUND(B2*10000/D3,0))</f>
        <v>#DIV/0!</v>
      </c>
      <c r="C3" s="399" t="s">
        <v>2632</v>
      </c>
      <c r="D3" s="398">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6" t="s">
        <v>2634</v>
      </c>
      <c r="D4" s="3247"/>
      <c r="E4" s="3248" t="s">
        <v>2635</v>
      </c>
      <c r="F4" s="3249"/>
      <c r="G4" s="3246" t="s">
        <v>2636</v>
      </c>
      <c r="H4" s="3247"/>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24" t="s">
        <v>2636</v>
      </c>
      <c r="AC4" s="3276" t="s">
        <v>2637</v>
      </c>
    </row>
    <row r="5" spans="1:29" ht="15">
      <c r="A5" s="403"/>
      <c r="B5" s="404"/>
      <c r="C5" s="3234" t="s">
        <v>2530</v>
      </c>
      <c r="D5" s="3235"/>
      <c r="E5" s="3319" t="s">
        <v>2531</v>
      </c>
      <c r="F5" s="3233"/>
      <c r="G5" s="3234" t="s">
        <v>2532</v>
      </c>
      <c r="H5" s="3235"/>
      <c r="I5" s="3234" t="s">
        <v>2533</v>
      </c>
      <c r="J5" s="3235"/>
      <c r="K5" s="609"/>
      <c r="L5" s="1125"/>
      <c r="M5" s="1126"/>
      <c r="N5" s="1126"/>
      <c r="O5" s="1126"/>
      <c r="P5" s="3284"/>
      <c r="Q5" s="3253"/>
      <c r="R5" s="3230"/>
      <c r="S5" s="3231"/>
      <c r="T5" s="3230"/>
      <c r="U5" s="3231"/>
      <c r="V5" s="3259"/>
      <c r="W5" s="3259"/>
      <c r="X5" s="1808"/>
      <c r="Y5" s="3230"/>
      <c r="Z5" s="3231"/>
      <c r="AA5" s="3224"/>
      <c r="AB5" s="3224"/>
      <c r="AC5" s="3224"/>
    </row>
    <row r="6" spans="1:29" ht="15.75" thickBot="1">
      <c r="A6" s="405"/>
      <c r="B6" s="406"/>
      <c r="C6" s="3236" t="s">
        <v>2534</v>
      </c>
      <c r="D6" s="3237"/>
      <c r="E6" s="3279" t="s">
        <v>2534</v>
      </c>
      <c r="F6" s="3240"/>
      <c r="G6" s="3236" t="s">
        <v>2534</v>
      </c>
      <c r="H6" s="3237"/>
      <c r="I6" s="3236" t="s">
        <v>2534</v>
      </c>
      <c r="J6" s="3237"/>
      <c r="K6" s="609" t="s">
        <v>2535</v>
      </c>
      <c r="L6" s="1125"/>
      <c r="M6" s="1126"/>
      <c r="N6" s="1126"/>
      <c r="O6" s="1126"/>
      <c r="P6" s="3285"/>
      <c r="Q6" s="3255"/>
      <c r="R6" s="3230"/>
      <c r="S6" s="3231"/>
      <c r="T6" s="3256"/>
      <c r="U6" s="3257"/>
      <c r="V6" s="3259"/>
      <c r="W6" s="3259"/>
      <c r="X6" s="1808"/>
      <c r="Y6" s="3256"/>
      <c r="Z6" s="3257"/>
      <c r="AA6" s="3225"/>
      <c r="AB6" s="3225"/>
      <c r="AC6" s="3225"/>
    </row>
    <row r="7" spans="1:29" s="117" customFormat="1" ht="15.75" thickBot="1">
      <c r="A7" s="407" t="s">
        <v>2536</v>
      </c>
      <c r="B7" s="408"/>
      <c r="C7" s="409">
        <f>'数据-取费表'!B2</f>
        <v>43185</v>
      </c>
      <c r="D7" s="410">
        <v>100</v>
      </c>
      <c r="E7" s="411"/>
      <c r="F7" s="412">
        <f>SUMIF(46:46,YEAR(E7)&amp;"-"&amp;MONTH(E7),47:47)</f>
        <v>0</v>
      </c>
      <c r="G7" s="2689"/>
      <c r="H7" s="410">
        <f>SUMIF(46:46,YEAR(G7)&amp;"-"&amp;MONTH(G7),47:47)</f>
        <v>0</v>
      </c>
      <c r="I7" s="411"/>
      <c r="J7" s="410">
        <f>SUMIF(46:46,YEAR(I7)&amp;"-"&amp;MONTH(I7),47:47)</f>
        <v>0</v>
      </c>
      <c r="K7" s="610"/>
      <c r="L7" s="1127"/>
      <c r="M7" s="1128"/>
      <c r="N7" s="1128"/>
      <c r="O7" s="1128"/>
      <c r="P7" s="3226" t="s">
        <v>2537</v>
      </c>
      <c r="Q7" s="3261"/>
      <c r="R7" s="767" t="s">
        <v>17</v>
      </c>
      <c r="S7" s="768">
        <f t="shared" ref="S7:S14" si="0">F7</f>
        <v>0</v>
      </c>
      <c r="T7" s="767" t="s">
        <v>17</v>
      </c>
      <c r="U7" s="768">
        <f t="shared" ref="U7:U14" si="1">H7</f>
        <v>0</v>
      </c>
      <c r="V7" s="767" t="s">
        <v>17</v>
      </c>
      <c r="W7" s="768">
        <f t="shared" ref="W7:W14" si="2">J7</f>
        <v>0</v>
      </c>
      <c r="X7" s="769"/>
      <c r="Y7" s="3226" t="s">
        <v>2537</v>
      </c>
      <c r="Z7" s="3227"/>
      <c r="AA7" s="770" t="e">
        <f>D7/F7</f>
        <v>#DIV/0!</v>
      </c>
      <c r="AB7" s="770" t="e">
        <f>D7/H7</f>
        <v>#DIV/0!</v>
      </c>
      <c r="AC7" s="770"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26" t="s">
        <v>2540</v>
      </c>
      <c r="Q8" s="3227"/>
      <c r="R8" s="767" t="s">
        <v>17</v>
      </c>
      <c r="S8" s="768">
        <f t="shared" si="0"/>
        <v>0</v>
      </c>
      <c r="T8" s="767" t="s">
        <v>17</v>
      </c>
      <c r="U8" s="768">
        <f t="shared" si="1"/>
        <v>0</v>
      </c>
      <c r="V8" s="767" t="s">
        <v>17</v>
      </c>
      <c r="W8" s="768">
        <f t="shared" si="2"/>
        <v>0</v>
      </c>
      <c r="X8" s="769"/>
      <c r="Y8" s="3226" t="s">
        <v>2540</v>
      </c>
      <c r="Z8" s="3227"/>
      <c r="AA8" s="770" t="e">
        <f t="shared" ref="AA8:AA34" si="3">D8/F8</f>
        <v>#DIV/0!</v>
      </c>
      <c r="AB8" s="770" t="e">
        <f t="shared" ref="AB8:AB34" si="4">D8/H8</f>
        <v>#DIV/0!</v>
      </c>
      <c r="AC8" s="770"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27"/>
      <c r="M9" s="1128"/>
      <c r="N9" s="1128"/>
      <c r="O9" s="1129"/>
      <c r="P9" s="3271" t="s">
        <v>2543</v>
      </c>
      <c r="Q9" s="1790" t="str">
        <f t="shared" ref="Q9:Q14" si="6">B9</f>
        <v>用途</v>
      </c>
      <c r="R9" s="767" t="s">
        <v>17</v>
      </c>
      <c r="S9" s="768">
        <f t="shared" si="0"/>
        <v>100</v>
      </c>
      <c r="T9" s="767" t="s">
        <v>17</v>
      </c>
      <c r="U9" s="768">
        <f t="shared" si="1"/>
        <v>100</v>
      </c>
      <c r="V9" s="767" t="s">
        <v>17</v>
      </c>
      <c r="W9" s="768">
        <f t="shared" si="2"/>
        <v>100</v>
      </c>
      <c r="X9" s="769"/>
      <c r="Y9" s="3100" t="s">
        <v>2544</v>
      </c>
      <c r="Z9" s="55" t="str">
        <f t="shared" ref="Z9:Z14" si="7">Q9</f>
        <v>用途</v>
      </c>
      <c r="AA9" s="770">
        <f t="shared" si="3"/>
        <v>1</v>
      </c>
      <c r="AB9" s="770">
        <f t="shared" si="4"/>
        <v>1</v>
      </c>
      <c r="AC9" s="770">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30"/>
      <c r="M10" s="1131"/>
      <c r="N10" s="1131"/>
      <c r="O10" s="1132"/>
      <c r="P10" s="3271"/>
      <c r="Q10" s="1790" t="str">
        <f t="shared" si="6"/>
        <v>土地使用年限（年）</v>
      </c>
      <c r="R10" s="767" t="s">
        <v>17</v>
      </c>
      <c r="S10" s="768">
        <f t="shared" si="0"/>
        <v>100</v>
      </c>
      <c r="T10" s="767" t="s">
        <v>17</v>
      </c>
      <c r="U10" s="768">
        <f t="shared" si="1"/>
        <v>100</v>
      </c>
      <c r="V10" s="767" t="s">
        <v>17</v>
      </c>
      <c r="W10" s="768">
        <f t="shared" si="2"/>
        <v>100</v>
      </c>
      <c r="X10" s="769"/>
      <c r="Y10" s="3100"/>
      <c r="Z10" s="55" t="str">
        <f t="shared" si="7"/>
        <v>土地使用年限（年）</v>
      </c>
      <c r="AA10" s="770">
        <f t="shared" si="3"/>
        <v>1</v>
      </c>
      <c r="AB10" s="770">
        <f t="shared" si="4"/>
        <v>1</v>
      </c>
      <c r="AC10" s="770">
        <f t="shared" si="5"/>
        <v>1</v>
      </c>
    </row>
    <row r="11" spans="1:29" ht="15">
      <c r="A11" s="427"/>
      <c r="B11" s="2593">
        <v>111</v>
      </c>
      <c r="C11" s="431"/>
      <c r="D11" s="136">
        <v>100</v>
      </c>
      <c r="E11" s="468"/>
      <c r="F11" s="424">
        <f>SUMIF(55:55,E11,56:56)-SUMIF(55:55,C11,56:56)+100</f>
        <v>100</v>
      </c>
      <c r="G11" s="468"/>
      <c r="H11" s="136">
        <f>SUMIF(55:55,G11,56:56)-SUMIF(55:55,C11,56:56)+100</f>
        <v>100</v>
      </c>
      <c r="I11" s="468"/>
      <c r="J11" s="136">
        <f>SUMIF(55:55,I11,56:56)-SUMIF(55:55,C11,56:56)+100</f>
        <v>100</v>
      </c>
      <c r="K11" s="612"/>
      <c r="L11" s="1133"/>
      <c r="M11" s="1126"/>
      <c r="N11" s="1126"/>
      <c r="O11" s="1134"/>
      <c r="P11" s="3271"/>
      <c r="Q11" s="1790">
        <f t="shared" si="6"/>
        <v>111</v>
      </c>
      <c r="R11" s="767" t="s">
        <v>17</v>
      </c>
      <c r="S11" s="768">
        <f t="shared" si="0"/>
        <v>100</v>
      </c>
      <c r="T11" s="767" t="s">
        <v>17</v>
      </c>
      <c r="U11" s="768">
        <f t="shared" si="1"/>
        <v>100</v>
      </c>
      <c r="V11" s="767" t="s">
        <v>17</v>
      </c>
      <c r="W11" s="768">
        <f t="shared" si="2"/>
        <v>100</v>
      </c>
      <c r="X11" s="769"/>
      <c r="Y11" s="3100"/>
      <c r="Z11" s="55">
        <f t="shared" si="7"/>
        <v>111</v>
      </c>
      <c r="AA11" s="770">
        <f t="shared" si="3"/>
        <v>1</v>
      </c>
      <c r="AB11" s="770">
        <f t="shared" si="4"/>
        <v>1</v>
      </c>
      <c r="AC11" s="770">
        <f t="shared" si="5"/>
        <v>1</v>
      </c>
    </row>
    <row r="12" spans="1:29" s="117" customFormat="1" ht="15">
      <c r="A12" s="430"/>
      <c r="B12" s="2593">
        <v>111</v>
      </c>
      <c r="C12" s="431"/>
      <c r="D12" s="432">
        <v>100</v>
      </c>
      <c r="E12" s="468"/>
      <c r="F12" s="424">
        <f>SUMIF(57:57,E12,58:58)-SUMIF(57:57,C12,58:58)+100</f>
        <v>100</v>
      </c>
      <c r="G12" s="468"/>
      <c r="H12" s="136">
        <f>SUMIF(57:57,G12,58:58)-SUMIF(57:57,C12,58:58)+100</f>
        <v>100</v>
      </c>
      <c r="I12" s="468"/>
      <c r="J12" s="136">
        <f>SUMIF(57:57,I12,58:58)-SUMIF(57:57,C12,58:58)+100</f>
        <v>100</v>
      </c>
      <c r="K12" s="612"/>
      <c r="L12" s="1127"/>
      <c r="M12" s="1128"/>
      <c r="N12" s="1128"/>
      <c r="O12" s="1129"/>
      <c r="P12" s="3271"/>
      <c r="Q12" s="1790">
        <f t="shared" si="6"/>
        <v>111</v>
      </c>
      <c r="R12" s="767" t="s">
        <v>17</v>
      </c>
      <c r="S12" s="768">
        <f t="shared" si="0"/>
        <v>100</v>
      </c>
      <c r="T12" s="767" t="s">
        <v>17</v>
      </c>
      <c r="U12" s="768">
        <f t="shared" si="1"/>
        <v>100</v>
      </c>
      <c r="V12" s="767" t="s">
        <v>17</v>
      </c>
      <c r="W12" s="768">
        <f t="shared" si="2"/>
        <v>100</v>
      </c>
      <c r="X12" s="769"/>
      <c r="Y12" s="3100"/>
      <c r="Z12" s="55">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5"/>
      <c r="M13" s="1126"/>
      <c r="N13" s="1126"/>
      <c r="O13" s="1134"/>
      <c r="P13" s="3271"/>
      <c r="Q13" s="1790">
        <f t="shared" si="6"/>
        <v>111</v>
      </c>
      <c r="R13" s="767" t="s">
        <v>17</v>
      </c>
      <c r="S13" s="768">
        <f t="shared" si="0"/>
        <v>100</v>
      </c>
      <c r="T13" s="767" t="s">
        <v>17</v>
      </c>
      <c r="U13" s="768">
        <f t="shared" si="1"/>
        <v>100</v>
      </c>
      <c r="V13" s="767" t="s">
        <v>17</v>
      </c>
      <c r="W13" s="768">
        <f t="shared" si="2"/>
        <v>100</v>
      </c>
      <c r="X13" s="769"/>
      <c r="Y13" s="3100"/>
      <c r="Z13" s="55">
        <f t="shared" si="7"/>
        <v>111</v>
      </c>
      <c r="AA13" s="770">
        <f t="shared" si="3"/>
        <v>1</v>
      </c>
      <c r="AB13" s="770">
        <f t="shared" si="4"/>
        <v>1</v>
      </c>
      <c r="AC13" s="770">
        <f t="shared" si="5"/>
        <v>1</v>
      </c>
    </row>
    <row r="14" spans="1:29" ht="128.25">
      <c r="A14" s="439" t="s">
        <v>2547</v>
      </c>
      <c r="B14" s="69" t="s">
        <v>2696</v>
      </c>
      <c r="C14" s="2686" t="str">
        <f>IF(B1="工业",估价对象房地状况!G4,估价对象房地状况!C6)</f>
        <v>周边道路状况、公共交通通达情况、停车便捷程度（快速路西四环北路 六号线海淀五路居站 五路桥公交站  61路 79路 121路 地上停车位）</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64" t="s">
        <v>2548</v>
      </c>
      <c r="Q14" s="1805" t="str">
        <f t="shared" si="6"/>
        <v>交通便捷度</v>
      </c>
      <c r="R14" s="771" t="s">
        <v>17</v>
      </c>
      <c r="S14" s="772">
        <f t="shared" si="0"/>
        <v>100</v>
      </c>
      <c r="T14" s="771" t="s">
        <v>17</v>
      </c>
      <c r="U14" s="772">
        <f t="shared" si="1"/>
        <v>100</v>
      </c>
      <c r="V14" s="771" t="s">
        <v>17</v>
      </c>
      <c r="W14" s="772">
        <f t="shared" si="2"/>
        <v>100</v>
      </c>
      <c r="X14" s="1808"/>
      <c r="Y14" s="3264" t="s">
        <v>2548</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265"/>
      <c r="Q15" s="1805"/>
      <c r="R15" s="771"/>
      <c r="S15" s="772"/>
      <c r="T15" s="771"/>
      <c r="U15" s="772"/>
      <c r="V15" s="771"/>
      <c r="W15" s="772"/>
      <c r="X15" s="1808"/>
      <c r="Y15" s="3265"/>
      <c r="Z15" s="1809"/>
      <c r="AA15" s="1806">
        <v>1</v>
      </c>
      <c r="AB15" s="1806">
        <v>1</v>
      </c>
      <c r="AC15" s="1806">
        <v>1</v>
      </c>
    </row>
    <row r="16" spans="1:29" ht="199.5">
      <c r="A16" s="427"/>
      <c r="B16" s="450" t="s">
        <v>2675</v>
      </c>
      <c r="C16" s="2600"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65"/>
      <c r="Q16" s="1805" t="str">
        <f>B16</f>
        <v>公共配套设施</v>
      </c>
      <c r="R16" s="771" t="s">
        <v>17</v>
      </c>
      <c r="S16" s="772">
        <f>F16</f>
        <v>100</v>
      </c>
      <c r="T16" s="771" t="s">
        <v>17</v>
      </c>
      <c r="U16" s="772">
        <f>H16</f>
        <v>100</v>
      </c>
      <c r="V16" s="771" t="s">
        <v>17</v>
      </c>
      <c r="W16" s="772">
        <f>J16</f>
        <v>100</v>
      </c>
      <c r="X16" s="1808"/>
      <c r="Y16" s="3265"/>
      <c r="Z16" s="1809" t="str">
        <f>Q16</f>
        <v>公共配套设施</v>
      </c>
      <c r="AA16" s="1806">
        <f t="shared" si="3"/>
        <v>1</v>
      </c>
      <c r="AB16" s="1806">
        <f t="shared" si="4"/>
        <v>1</v>
      </c>
      <c r="AC16" s="1806">
        <f t="shared" si="5"/>
        <v>1</v>
      </c>
    </row>
    <row r="17" spans="1:29" ht="15">
      <c r="A17" s="427"/>
      <c r="B17" s="455"/>
      <c r="C17" s="2601"/>
      <c r="D17" s="447"/>
      <c r="E17" s="446"/>
      <c r="F17" s="448"/>
      <c r="G17" s="446"/>
      <c r="H17" s="447"/>
      <c r="I17" s="446"/>
      <c r="J17" s="447"/>
      <c r="K17" s="614"/>
      <c r="L17" s="1135"/>
      <c r="M17" s="1126"/>
      <c r="N17" s="1126"/>
      <c r="O17" s="1134"/>
      <c r="P17" s="3265"/>
      <c r="Q17" s="1805"/>
      <c r="R17" s="771"/>
      <c r="S17" s="772"/>
      <c r="T17" s="771"/>
      <c r="U17" s="772"/>
      <c r="V17" s="771"/>
      <c r="W17" s="772"/>
      <c r="X17" s="1808"/>
      <c r="Y17" s="3265"/>
      <c r="Z17" s="1809"/>
      <c r="AA17" s="1806">
        <v>1</v>
      </c>
      <c r="AB17" s="1806">
        <v>1</v>
      </c>
      <c r="AC17" s="1806">
        <v>1</v>
      </c>
    </row>
    <row r="18" spans="1:29" ht="15">
      <c r="A18" s="427"/>
      <c r="B18" s="1379" t="s">
        <v>2676</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65"/>
      <c r="Q18" s="1805" t="str">
        <f>B18</f>
        <v>基础设施水平</v>
      </c>
      <c r="R18" s="771" t="s">
        <v>17</v>
      </c>
      <c r="S18" s="772">
        <f>F18</f>
        <v>100</v>
      </c>
      <c r="T18" s="771" t="s">
        <v>17</v>
      </c>
      <c r="U18" s="772">
        <f>H18</f>
        <v>100</v>
      </c>
      <c r="V18" s="771" t="s">
        <v>17</v>
      </c>
      <c r="W18" s="772">
        <f>J18</f>
        <v>100</v>
      </c>
      <c r="X18" s="1808"/>
      <c r="Y18" s="3265"/>
      <c r="Z18" s="1809" t="str">
        <f>Q18</f>
        <v>基础设施水平</v>
      </c>
      <c r="AA18" s="1806">
        <f t="shared" ref="AA18" si="8">D18/F18</f>
        <v>1</v>
      </c>
      <c r="AB18" s="1806">
        <f t="shared" ref="AB18" si="9">D18/H18</f>
        <v>1</v>
      </c>
      <c r="AC18" s="1806">
        <f t="shared" ref="AC18" si="10">D18/J18</f>
        <v>1</v>
      </c>
    </row>
    <row r="19" spans="1:29" ht="15">
      <c r="A19" s="427"/>
      <c r="B19" s="1379"/>
      <c r="C19" s="2601"/>
      <c r="D19" s="449"/>
      <c r="E19" s="2601"/>
      <c r="F19" s="452"/>
      <c r="G19" s="2601"/>
      <c r="H19" s="447"/>
      <c r="I19" s="446"/>
      <c r="J19" s="447"/>
      <c r="K19" s="1378"/>
      <c r="L19" s="1135"/>
      <c r="M19" s="1126"/>
      <c r="N19" s="1126"/>
      <c r="O19" s="1134"/>
      <c r="P19" s="3265"/>
      <c r="Q19" s="1805"/>
      <c r="R19" s="771"/>
      <c r="S19" s="772"/>
      <c r="T19" s="771"/>
      <c r="U19" s="772"/>
      <c r="V19" s="771"/>
      <c r="W19" s="772"/>
      <c r="X19" s="1808"/>
      <c r="Y19" s="3265"/>
      <c r="Z19" s="1809"/>
      <c r="AA19" s="1806">
        <v>1</v>
      </c>
      <c r="AB19" s="1806">
        <v>1</v>
      </c>
      <c r="AC19" s="1806">
        <v>1</v>
      </c>
    </row>
    <row r="20" spans="1:29" ht="15">
      <c r="A20" s="427"/>
      <c r="B20" s="450" t="s">
        <v>2697</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65"/>
      <c r="Q20" s="1805" t="str">
        <f>B20</f>
        <v>自然及人文环境</v>
      </c>
      <c r="R20" s="771" t="s">
        <v>17</v>
      </c>
      <c r="S20" s="772">
        <f>F20</f>
        <v>100</v>
      </c>
      <c r="T20" s="771" t="s">
        <v>17</v>
      </c>
      <c r="U20" s="772">
        <f>H20</f>
        <v>100</v>
      </c>
      <c r="V20" s="771" t="s">
        <v>17</v>
      </c>
      <c r="W20" s="772">
        <f>J20</f>
        <v>100</v>
      </c>
      <c r="X20" s="1808"/>
      <c r="Y20" s="3265"/>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265"/>
      <c r="Q21" s="1805"/>
      <c r="R21" s="771"/>
      <c r="S21" s="772"/>
      <c r="T21" s="771"/>
      <c r="U21" s="772"/>
      <c r="V21" s="771"/>
      <c r="W21" s="772"/>
      <c r="X21" s="1808"/>
      <c r="Y21" s="3265"/>
      <c r="Z21" s="1809"/>
      <c r="AA21" s="1806">
        <v>1</v>
      </c>
      <c r="AB21" s="1806">
        <v>1</v>
      </c>
      <c r="AC21" s="1806">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65"/>
      <c r="Q22" s="1805" t="str">
        <f>B22</f>
        <v>楼层</v>
      </c>
      <c r="R22" s="771" t="s">
        <v>17</v>
      </c>
      <c r="S22" s="772">
        <f>F22</f>
        <v>100</v>
      </c>
      <c r="T22" s="771" t="s">
        <v>17</v>
      </c>
      <c r="U22" s="772">
        <f>H22</f>
        <v>100</v>
      </c>
      <c r="V22" s="771" t="s">
        <v>17</v>
      </c>
      <c r="W22" s="772">
        <f>J22</f>
        <v>100</v>
      </c>
      <c r="X22" s="1808"/>
      <c r="Y22" s="3265"/>
      <c r="Z22" s="1809" t="str">
        <f>Q22</f>
        <v>楼层</v>
      </c>
      <c r="AA22" s="1806">
        <f t="shared" si="3"/>
        <v>1</v>
      </c>
      <c r="AB22" s="1806">
        <f t="shared" si="4"/>
        <v>1</v>
      </c>
      <c r="AC22" s="1806">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65"/>
      <c r="Q23" s="1805">
        <f>B23</f>
        <v>111</v>
      </c>
      <c r="R23" s="771" t="s">
        <v>17</v>
      </c>
      <c r="S23" s="772">
        <f>F23</f>
        <v>100</v>
      </c>
      <c r="T23" s="771" t="s">
        <v>17</v>
      </c>
      <c r="U23" s="772">
        <f>H23</f>
        <v>100</v>
      </c>
      <c r="V23" s="771" t="s">
        <v>17</v>
      </c>
      <c r="W23" s="772">
        <f>J23</f>
        <v>100</v>
      </c>
      <c r="X23" s="1808"/>
      <c r="Y23" s="3265"/>
      <c r="Z23" s="1809">
        <f>Q23</f>
        <v>111</v>
      </c>
      <c r="AA23" s="1806">
        <f t="shared" si="3"/>
        <v>1</v>
      </c>
      <c r="AB23" s="1806">
        <f t="shared" si="4"/>
        <v>1</v>
      </c>
      <c r="AC23" s="1806">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65"/>
      <c r="Q24" s="1805">
        <f t="shared" ref="Q24:Q34" si="11">B24</f>
        <v>111</v>
      </c>
      <c r="R24" s="771" t="s">
        <v>17</v>
      </c>
      <c r="S24" s="772">
        <f>F24</f>
        <v>100</v>
      </c>
      <c r="T24" s="771" t="s">
        <v>17</v>
      </c>
      <c r="U24" s="772">
        <f>H24</f>
        <v>100</v>
      </c>
      <c r="V24" s="771" t="s">
        <v>17</v>
      </c>
      <c r="W24" s="772">
        <f>J24</f>
        <v>100</v>
      </c>
      <c r="X24" s="1808"/>
      <c r="Y24" s="3265"/>
      <c r="Z24" s="1809">
        <f>Q24</f>
        <v>111</v>
      </c>
      <c r="AA24" s="1806">
        <f t="shared" si="3"/>
        <v>1</v>
      </c>
      <c r="AB24" s="1806">
        <f t="shared" si="4"/>
        <v>1</v>
      </c>
      <c r="AC24" s="1806">
        <f t="shared" si="5"/>
        <v>1</v>
      </c>
    </row>
    <row r="25" spans="1:29" s="117" customFormat="1" ht="15.75" thickBot="1">
      <c r="A25" s="430"/>
      <c r="B25" s="2593">
        <v>111</v>
      </c>
      <c r="C25" s="2691"/>
      <c r="D25" s="662">
        <v>100</v>
      </c>
      <c r="E25" s="2691"/>
      <c r="F25" s="663">
        <f>SUMIF(75:75,E25,76:76)-SUMIF(75:75,C25,76:76)+100</f>
        <v>100</v>
      </c>
      <c r="G25" s="2691"/>
      <c r="H25" s="662">
        <f>SUMIF(75:75,G25,76:76)-SUMIF(75:75,C25,76:76)+100</f>
        <v>100</v>
      </c>
      <c r="I25" s="2691"/>
      <c r="J25" s="662">
        <f>SUMIF(75:75,I25,76:76)-SUMIF(75:75,C25,76:76)+100</f>
        <v>100</v>
      </c>
      <c r="K25" s="612"/>
      <c r="L25" s="1127"/>
      <c r="M25" s="1128"/>
      <c r="N25" s="1128"/>
      <c r="O25" s="1129"/>
      <c r="P25" s="3265"/>
      <c r="Q25" s="1790">
        <f t="shared" si="11"/>
        <v>111</v>
      </c>
      <c r="R25" s="767" t="s">
        <v>17</v>
      </c>
      <c r="S25" s="768">
        <f>F25</f>
        <v>100</v>
      </c>
      <c r="T25" s="767" t="s">
        <v>17</v>
      </c>
      <c r="U25" s="768">
        <f>H25</f>
        <v>100</v>
      </c>
      <c r="V25" s="767" t="s">
        <v>17</v>
      </c>
      <c r="W25" s="768">
        <f>J25</f>
        <v>100</v>
      </c>
      <c r="X25" s="769"/>
      <c r="Y25" s="3265"/>
      <c r="Z25" s="55">
        <f>Q25</f>
        <v>111</v>
      </c>
      <c r="AA25" s="1806">
        <f>D25/F25</f>
        <v>1</v>
      </c>
      <c r="AB25" s="1806">
        <f>D25/H25</f>
        <v>1</v>
      </c>
      <c r="AC25" s="1806">
        <f>D25/J25</f>
        <v>1</v>
      </c>
    </row>
    <row r="26" spans="1:29" ht="15">
      <c r="A26" s="465" t="s">
        <v>2551</v>
      </c>
      <c r="B26" s="71" t="s">
        <v>2701</v>
      </c>
      <c r="C26" s="2672"/>
      <c r="D26" s="466">
        <v>100</v>
      </c>
      <c r="E26" s="2672"/>
      <c r="F26" s="664">
        <f>SUMIF(77:77,E26,78:78)-SUMIF(77:77,C26,78:78)+100</f>
        <v>100</v>
      </c>
      <c r="G26" s="2672"/>
      <c r="H26" s="466">
        <f>SUMIF(77:77,G26,78:78)-SUMIF(77:77,C26,78:78)+100</f>
        <v>100</v>
      </c>
      <c r="I26" s="2672"/>
      <c r="J26" s="466">
        <f>SUMIF(77:77,I26,78:78)-SUMIF(77:77,C26,78:78)+100</f>
        <v>100</v>
      </c>
      <c r="K26" s="611"/>
      <c r="L26" s="1135"/>
      <c r="M26" s="1126"/>
      <c r="N26" s="1126"/>
      <c r="O26" s="1134"/>
      <c r="P26" s="3291" t="s">
        <v>2553</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69" t="s">
        <v>2553</v>
      </c>
      <c r="Z26" s="1809" t="str">
        <f t="shared" ref="Z26:Z34" si="15">Q26</f>
        <v>公共部分装修</v>
      </c>
      <c r="AA26" s="1806">
        <f t="shared" si="3"/>
        <v>1</v>
      </c>
      <c r="AB26" s="1806">
        <f t="shared" si="4"/>
        <v>1</v>
      </c>
      <c r="AC26" s="1806">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69"/>
      <c r="Q27" s="773" t="str">
        <f t="shared" si="11"/>
        <v>成新率</v>
      </c>
      <c r="R27" s="774" t="s">
        <v>17</v>
      </c>
      <c r="S27" s="775" t="e">
        <f t="shared" si="12"/>
        <v>#N/A</v>
      </c>
      <c r="T27" s="774" t="s">
        <v>17</v>
      </c>
      <c r="U27" s="775" t="e">
        <f t="shared" si="13"/>
        <v>#N/A</v>
      </c>
      <c r="V27" s="774" t="s">
        <v>17</v>
      </c>
      <c r="W27" s="775" t="e">
        <f t="shared" si="14"/>
        <v>#N/A</v>
      </c>
      <c r="X27" s="776"/>
      <c r="Y27" s="3269"/>
      <c r="Z27" s="777" t="str">
        <f t="shared" si="15"/>
        <v>成新率</v>
      </c>
      <c r="AA27" s="1806" t="e">
        <f t="shared" si="3"/>
        <v>#N/A</v>
      </c>
      <c r="AB27" s="1806" t="e">
        <f t="shared" si="4"/>
        <v>#N/A</v>
      </c>
      <c r="AC27" s="1806"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69"/>
      <c r="Q28" s="1805" t="str">
        <f t="shared" si="11"/>
        <v>物业等级</v>
      </c>
      <c r="R28" s="771" t="s">
        <v>17</v>
      </c>
      <c r="S28" s="772">
        <f t="shared" si="12"/>
        <v>100</v>
      </c>
      <c r="T28" s="771" t="s">
        <v>17</v>
      </c>
      <c r="U28" s="772">
        <f t="shared" si="13"/>
        <v>100</v>
      </c>
      <c r="V28" s="771" t="s">
        <v>17</v>
      </c>
      <c r="W28" s="772">
        <f t="shared" si="14"/>
        <v>100</v>
      </c>
      <c r="X28" s="1808"/>
      <c r="Y28" s="3269"/>
      <c r="Z28" s="1809" t="str">
        <f t="shared" si="15"/>
        <v>物业等级</v>
      </c>
      <c r="AA28" s="1806">
        <f t="shared" si="3"/>
        <v>1</v>
      </c>
      <c r="AB28" s="1806">
        <f t="shared" si="4"/>
        <v>1</v>
      </c>
      <c r="AC28" s="1806">
        <f t="shared" si="5"/>
        <v>1</v>
      </c>
    </row>
    <row r="29" spans="1:29" ht="15">
      <c r="A29" s="471"/>
      <c r="B29" s="421" t="s">
        <v>2723</v>
      </c>
      <c r="C29" s="654"/>
      <c r="D29" s="434">
        <v>100</v>
      </c>
      <c r="E29" s="654"/>
      <c r="F29" s="460">
        <f>SUMIF(84:84,E29,85:85)-SUMIF(84:84,C29,85:85)+100</f>
        <v>100</v>
      </c>
      <c r="G29" s="654"/>
      <c r="H29" s="434">
        <f>SUMIF(84:84,G29,85:85)-SUMIF(84:84,C29,85:85)+100</f>
        <v>100</v>
      </c>
      <c r="I29" s="654"/>
      <c r="J29" s="434">
        <f>SUMIF(84:84,I29,85:85)-SUMIF(84:84,C29,85:85)+100</f>
        <v>100</v>
      </c>
      <c r="K29" s="611"/>
      <c r="L29" s="1135"/>
      <c r="M29" s="1126"/>
      <c r="N29" s="1126"/>
      <c r="O29" s="1134"/>
      <c r="P29" s="3269"/>
      <c r="Q29" s="1805" t="str">
        <f t="shared" si="11"/>
        <v>有无电梯</v>
      </c>
      <c r="R29" s="771" t="s">
        <v>17</v>
      </c>
      <c r="S29" s="772">
        <f t="shared" si="12"/>
        <v>100</v>
      </c>
      <c r="T29" s="771" t="s">
        <v>17</v>
      </c>
      <c r="U29" s="772">
        <f t="shared" si="13"/>
        <v>100</v>
      </c>
      <c r="V29" s="771" t="s">
        <v>17</v>
      </c>
      <c r="W29" s="772">
        <f t="shared" si="14"/>
        <v>100</v>
      </c>
      <c r="X29" s="1808"/>
      <c r="Y29" s="3269"/>
      <c r="Z29" s="1809" t="str">
        <f t="shared" si="15"/>
        <v>有无电梯</v>
      </c>
      <c r="AA29" s="1806">
        <f t="shared" si="3"/>
        <v>1</v>
      </c>
      <c r="AB29" s="1806">
        <f t="shared" si="4"/>
        <v>1</v>
      </c>
      <c r="AC29" s="1806">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69"/>
      <c r="Q30" s="1805" t="str">
        <f t="shared" si="11"/>
        <v>建筑面积</v>
      </c>
      <c r="R30" s="771" t="s">
        <v>17</v>
      </c>
      <c r="S30" s="772" t="e">
        <f t="shared" si="12"/>
        <v>#N/A</v>
      </c>
      <c r="T30" s="771" t="s">
        <v>17</v>
      </c>
      <c r="U30" s="772" t="e">
        <f t="shared" si="13"/>
        <v>#N/A</v>
      </c>
      <c r="V30" s="771" t="s">
        <v>17</v>
      </c>
      <c r="W30" s="772" t="e">
        <f t="shared" si="14"/>
        <v>#N/A</v>
      </c>
      <c r="X30" s="1808"/>
      <c r="Y30" s="3269"/>
      <c r="Z30" s="1809" t="str">
        <f t="shared" si="15"/>
        <v>建筑面积</v>
      </c>
      <c r="AA30" s="1806" t="e">
        <f t="shared" si="3"/>
        <v>#N/A</v>
      </c>
      <c r="AB30" s="1806" t="e">
        <f t="shared" si="4"/>
        <v>#N/A</v>
      </c>
      <c r="AC30" s="1806" t="e">
        <f t="shared" si="5"/>
        <v>#N/A</v>
      </c>
    </row>
    <row r="31" spans="1:29" s="117" customFormat="1" ht="15">
      <c r="A31" s="472"/>
      <c r="B31" s="421" t="s">
        <v>2725</v>
      </c>
      <c r="C31" s="654"/>
      <c r="D31" s="136">
        <v>100</v>
      </c>
      <c r="E31" s="654"/>
      <c r="F31" s="460">
        <f>SUMIF(89:89,E31,90:90)-SUMIF(89:89,C31,90:90)+100</f>
        <v>100</v>
      </c>
      <c r="G31" s="654"/>
      <c r="H31" s="434">
        <f>SUMIF(89:89,G31,90:90)-SUMIF(89:89,C31,90:90)+100</f>
        <v>100</v>
      </c>
      <c r="I31" s="654"/>
      <c r="J31" s="434">
        <f>SUMIF(89:89,I31,90:90)-SUMIF(89:89,C31,90:90)+100</f>
        <v>100</v>
      </c>
      <c r="K31" s="611"/>
      <c r="L31" s="1127"/>
      <c r="M31" s="1128"/>
      <c r="N31" s="1128"/>
      <c r="O31" s="1129"/>
      <c r="P31" s="3269"/>
      <c r="Q31" s="1790" t="str">
        <f t="shared" si="11"/>
        <v>是否封闭</v>
      </c>
      <c r="R31" s="767" t="s">
        <v>17</v>
      </c>
      <c r="S31" s="768">
        <f t="shared" si="12"/>
        <v>100</v>
      </c>
      <c r="T31" s="767" t="s">
        <v>17</v>
      </c>
      <c r="U31" s="768">
        <f t="shared" si="13"/>
        <v>100</v>
      </c>
      <c r="V31" s="767" t="s">
        <v>17</v>
      </c>
      <c r="W31" s="768">
        <f t="shared" si="14"/>
        <v>100</v>
      </c>
      <c r="X31" s="769"/>
      <c r="Y31" s="3269"/>
      <c r="Z31" s="55"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69" t="s">
        <v>2553</v>
      </c>
      <c r="Q32" s="1805">
        <f t="shared" si="11"/>
        <v>111</v>
      </c>
      <c r="R32" s="771" t="s">
        <v>17</v>
      </c>
      <c r="S32" s="772">
        <f t="shared" si="12"/>
        <v>100</v>
      </c>
      <c r="T32" s="771" t="s">
        <v>17</v>
      </c>
      <c r="U32" s="772">
        <f t="shared" si="13"/>
        <v>100</v>
      </c>
      <c r="V32" s="771" t="s">
        <v>17</v>
      </c>
      <c r="W32" s="772">
        <f t="shared" si="14"/>
        <v>100</v>
      </c>
      <c r="X32" s="1808"/>
      <c r="Y32" s="3269" t="s">
        <v>2553</v>
      </c>
      <c r="Z32" s="1809">
        <f t="shared" si="15"/>
        <v>111</v>
      </c>
      <c r="AA32" s="1806">
        <f t="shared" si="3"/>
        <v>1</v>
      </c>
      <c r="AB32" s="1806">
        <f t="shared" si="4"/>
        <v>1</v>
      </c>
      <c r="AC32" s="1806">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69"/>
      <c r="Q33" s="1805">
        <f t="shared" si="11"/>
        <v>111</v>
      </c>
      <c r="R33" s="771" t="s">
        <v>17</v>
      </c>
      <c r="S33" s="772">
        <f t="shared" si="12"/>
        <v>100</v>
      </c>
      <c r="T33" s="771" t="s">
        <v>17</v>
      </c>
      <c r="U33" s="772">
        <f t="shared" si="13"/>
        <v>100</v>
      </c>
      <c r="V33" s="771" t="s">
        <v>17</v>
      </c>
      <c r="W33" s="772">
        <f t="shared" si="14"/>
        <v>100</v>
      </c>
      <c r="X33" s="1808"/>
      <c r="Y33" s="3269"/>
      <c r="Z33" s="1809">
        <f t="shared" si="15"/>
        <v>111</v>
      </c>
      <c r="AA33" s="1806">
        <f t="shared" si="3"/>
        <v>1</v>
      </c>
      <c r="AB33" s="1806">
        <f t="shared" si="4"/>
        <v>1</v>
      </c>
      <c r="AC33" s="1806">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5"/>
      <c r="M34" s="1126"/>
      <c r="N34" s="1126"/>
      <c r="O34" s="1134"/>
      <c r="P34" s="3269"/>
      <c r="Q34" s="1805">
        <f t="shared" si="11"/>
        <v>111</v>
      </c>
      <c r="R34" s="771" t="s">
        <v>17</v>
      </c>
      <c r="S34" s="772">
        <f t="shared" si="12"/>
        <v>100</v>
      </c>
      <c r="T34" s="771" t="s">
        <v>17</v>
      </c>
      <c r="U34" s="772">
        <f t="shared" si="13"/>
        <v>100</v>
      </c>
      <c r="V34" s="771" t="s">
        <v>17</v>
      </c>
      <c r="W34" s="772">
        <f t="shared" si="14"/>
        <v>100</v>
      </c>
      <c r="X34" s="1808"/>
      <c r="Y34" s="3269"/>
      <c r="Z34" s="1809">
        <f t="shared" si="15"/>
        <v>111</v>
      </c>
      <c r="AA34" s="1806">
        <f t="shared" si="3"/>
        <v>1</v>
      </c>
      <c r="AB34" s="1806">
        <f t="shared" si="4"/>
        <v>1</v>
      </c>
      <c r="AC34" s="1806">
        <f t="shared" si="5"/>
        <v>1</v>
      </c>
    </row>
    <row r="35" spans="1:29" ht="15">
      <c r="A35" s="478" t="s">
        <v>2565</v>
      </c>
      <c r="B35" s="479"/>
      <c r="C35" s="1402" t="s">
        <v>1</v>
      </c>
      <c r="D35" s="1403"/>
      <c r="E35" s="1404"/>
      <c r="F35" s="1405"/>
      <c r="G35" s="1406"/>
      <c r="H35" s="1407"/>
      <c r="I35" s="1404"/>
      <c r="J35" s="1407"/>
      <c r="K35" s="780"/>
      <c r="L35" s="1138"/>
      <c r="M35" s="1139"/>
      <c r="N35" s="1126"/>
      <c r="O35" s="1139"/>
      <c r="P35" s="3271" t="str">
        <f>A35</f>
        <v>成交单价（元/平方米）</v>
      </c>
      <c r="Q35" s="3271"/>
      <c r="R35" s="3272">
        <f>E35</f>
        <v>0</v>
      </c>
      <c r="S35" s="3272"/>
      <c r="T35" s="3272">
        <f>G35</f>
        <v>0</v>
      </c>
      <c r="U35" s="3272"/>
      <c r="V35" s="3272">
        <f>I35</f>
        <v>0</v>
      </c>
      <c r="W35" s="3272"/>
      <c r="X35" s="756"/>
      <c r="Y35" s="778"/>
      <c r="Z35" s="756"/>
      <c r="AA35" s="756"/>
      <c r="AB35" s="756"/>
      <c r="AC35" s="756"/>
    </row>
    <row r="36" spans="1:29" ht="15.75" thickBot="1">
      <c r="A36" s="485" t="s">
        <v>2656</v>
      </c>
      <c r="B36" s="486"/>
      <c r="C36" s="1408" t="e">
        <f>R37</f>
        <v>#DIV/0!</v>
      </c>
      <c r="D36" s="1409"/>
      <c r="E36" s="1410" t="e">
        <f>R36</f>
        <v>#DIV/0!</v>
      </c>
      <c r="F36" s="1410"/>
      <c r="G36" s="1408" t="e">
        <f>T36</f>
        <v>#DIV/0!</v>
      </c>
      <c r="H36" s="1409"/>
      <c r="I36" s="1410" t="e">
        <f>V36</f>
        <v>#DIV/0!</v>
      </c>
      <c r="J36" s="1409"/>
      <c r="K36" s="781"/>
      <c r="L36" s="1138"/>
      <c r="M36" s="1139"/>
      <c r="N36" s="1126"/>
      <c r="O36" s="1139"/>
      <c r="P36" s="3271" t="str">
        <f>A36</f>
        <v>比较价值（元/平方米）</v>
      </c>
      <c r="Q36" s="3271"/>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6"/>
      <c r="Y36" s="756"/>
      <c r="Z36" s="756"/>
      <c r="AA36" s="756"/>
      <c r="AB36" s="756"/>
      <c r="AC36" s="756"/>
    </row>
    <row r="37" spans="1:29" ht="15.75" thickBot="1">
      <c r="A37" s="491" t="s">
        <v>2657</v>
      </c>
      <c r="B37" s="492"/>
      <c r="C37" s="1412" t="e">
        <f>R37</f>
        <v>#DIV/0!</v>
      </c>
      <c r="D37" s="1412"/>
      <c r="E37" s="1412"/>
      <c r="F37" s="1412"/>
      <c r="G37" s="1412"/>
      <c r="H37" s="1412"/>
      <c r="I37" s="1412"/>
      <c r="J37" s="1412"/>
      <c r="K37" s="782"/>
      <c r="L37" s="1138"/>
      <c r="M37" s="1139"/>
      <c r="N37" s="1139"/>
      <c r="O37" s="1139"/>
      <c r="P37" s="3288" t="str">
        <f>A37</f>
        <v>估价对象XX用房的比较价值（楼面单价，元/平方米）</v>
      </c>
      <c r="Q37" s="3289"/>
      <c r="R37" s="3290" t="e">
        <f>IF(F1="售价",ROUND(AVERAGE(R36:V36),0),ROUND(AVERAGE(R36:V36),1))</f>
        <v>#DIV/0!</v>
      </c>
      <c r="S37" s="3290"/>
      <c r="T37" s="3290"/>
      <c r="U37" s="3290"/>
      <c r="V37" s="3290"/>
      <c r="W37" s="3290"/>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2661</v>
      </c>
      <c r="B45" s="756"/>
      <c r="C45" s="761"/>
      <c r="D45" s="761"/>
      <c r="E45" s="761"/>
      <c r="F45" s="762"/>
      <c r="G45" s="762"/>
      <c r="H45" s="761"/>
      <c r="I45" s="761"/>
      <c r="J45" s="761"/>
      <c r="K45" s="763"/>
      <c r="L45" s="764"/>
      <c r="M45" s="761"/>
      <c r="N45" s="761"/>
      <c r="O45" s="761"/>
      <c r="P45" s="502"/>
      <c r="Q45" s="503"/>
    </row>
    <row r="46" spans="1:29" s="507" customFormat="1" ht="15">
      <c r="A46" s="504" t="s">
        <v>2536</v>
      </c>
      <c r="B46" s="505"/>
      <c r="C46" s="1569" t="str">
        <f>YEAR(C7)&amp;"-"&amp;MONTH(C7)</f>
        <v>2018-3</v>
      </c>
      <c r="D46" s="1570">
        <f>EDATE(C46,-1)</f>
        <v>43132</v>
      </c>
      <c r="E46" s="1570">
        <f t="shared" ref="E46:O46" si="16">EDATE(D46,-1)</f>
        <v>43101</v>
      </c>
      <c r="F46" s="1570">
        <f t="shared" si="16"/>
        <v>43070</v>
      </c>
      <c r="G46" s="1570">
        <f t="shared" si="16"/>
        <v>43040</v>
      </c>
      <c r="H46" s="1570">
        <f t="shared" si="16"/>
        <v>43009</v>
      </c>
      <c r="I46" s="1570">
        <f t="shared" si="16"/>
        <v>42979</v>
      </c>
      <c r="J46" s="1570">
        <f t="shared" si="16"/>
        <v>42948</v>
      </c>
      <c r="K46" s="1570">
        <f t="shared" si="16"/>
        <v>42917</v>
      </c>
      <c r="L46" s="1570">
        <f t="shared" si="16"/>
        <v>42887</v>
      </c>
      <c r="M46" s="1570">
        <f t="shared" si="16"/>
        <v>42856</v>
      </c>
      <c r="N46" s="1570">
        <f t="shared" si="16"/>
        <v>42826</v>
      </c>
      <c r="O46" s="1570">
        <f t="shared" si="16"/>
        <v>42795</v>
      </c>
      <c r="P46" s="506"/>
    </row>
    <row r="47" spans="1:29" s="117" customFormat="1" ht="15">
      <c r="A47" s="508"/>
      <c r="B47" s="509"/>
      <c r="C47" s="1568">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46"/>
      <c r="O49" s="1146"/>
      <c r="P49" s="525"/>
      <c r="Q49" s="503"/>
    </row>
    <row r="50" spans="1:17" s="117" customFormat="1" ht="15.75" thickBot="1">
      <c r="A50" s="520"/>
      <c r="B50" s="509"/>
      <c r="C50" s="636">
        <v>100</v>
      </c>
      <c r="D50" s="511"/>
      <c r="E50" s="511"/>
      <c r="F50" s="511"/>
      <c r="G50" s="511"/>
      <c r="H50" s="511"/>
      <c r="I50" s="511"/>
      <c r="J50" s="511"/>
      <c r="K50" s="511"/>
      <c r="L50" s="511"/>
      <c r="M50" s="513"/>
      <c r="N50" s="1146"/>
      <c r="O50" s="1146"/>
      <c r="P50" s="503"/>
      <c r="Q50" s="503"/>
    </row>
    <row r="51" spans="1:17">
      <c r="A51" s="526" t="s">
        <v>2576</v>
      </c>
      <c r="B51" s="527" t="s">
        <v>2542</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7">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2726</v>
      </c>
      <c r="C63" s="577" t="s">
        <v>2585</v>
      </c>
      <c r="D63" s="577" t="s">
        <v>2586</v>
      </c>
      <c r="E63" s="577" t="s">
        <v>2587</v>
      </c>
      <c r="F63" s="577" t="s">
        <v>2588</v>
      </c>
      <c r="G63" s="577" t="s">
        <v>2589</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2676</v>
      </c>
      <c r="C65" s="657" t="s">
        <v>2662</v>
      </c>
      <c r="D65" s="657" t="s">
        <v>2663</v>
      </c>
      <c r="E65" s="657" t="s">
        <v>2664</v>
      </c>
      <c r="F65" s="657" t="s">
        <v>2665</v>
      </c>
      <c r="G65" s="657" t="s">
        <v>2666</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48"/>
      <c r="O66" s="1148"/>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2715</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2551</v>
      </c>
      <c r="B77" s="527" t="s">
        <v>2604</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7"/>
      <c r="J80" s="657"/>
      <c r="K80" s="665"/>
      <c r="L80" s="666"/>
      <c r="M80" s="667"/>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2719</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2727</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2729</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3">
        <f>B34</f>
        <v>111</v>
      </c>
      <c r="C95" s="548"/>
      <c r="D95" s="548"/>
      <c r="E95" s="548"/>
      <c r="F95" s="548"/>
      <c r="G95" s="553"/>
      <c r="H95" s="554"/>
      <c r="I95" s="554"/>
      <c r="J95" s="554"/>
      <c r="K95" s="554"/>
      <c r="L95" s="555"/>
      <c r="M95" s="556"/>
      <c r="N95" s="1148"/>
      <c r="O95" s="1148"/>
      <c r="P95" s="634"/>
      <c r="Q95" s="635"/>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2" customWidth="1"/>
    <col min="2" max="2" width="15.625" style="402" customWidth="1"/>
    <col min="3" max="3" width="14.3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2730</v>
      </c>
      <c r="B1" s="394"/>
      <c r="C1" s="395" t="s">
        <v>2731</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2315</v>
      </c>
      <c r="B2" s="668" t="e">
        <f>F66</f>
        <v>#DIV/0!</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6"/>
    </row>
    <row r="3" spans="1:30" s="397" customFormat="1" ht="28.5" customHeight="1" thickBot="1">
      <c r="A3" s="246" t="s">
        <v>2317</v>
      </c>
      <c r="B3" s="608" t="e">
        <f>ROUND(IF(D3="",B2*10000/'数据-汇总表'!E3,B2*10000/D3),0)</f>
        <v>#DIV/0!</v>
      </c>
      <c r="C3" s="246"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400" t="s">
        <v>2633</v>
      </c>
      <c r="B4" s="401"/>
      <c r="C4" s="3246" t="s">
        <v>2634</v>
      </c>
      <c r="D4" s="3247"/>
      <c r="E4" s="3248" t="s">
        <v>2635</v>
      </c>
      <c r="F4" s="3249"/>
      <c r="G4" s="3246" t="s">
        <v>2636</v>
      </c>
      <c r="H4" s="3247"/>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24" t="s">
        <v>2636</v>
      </c>
      <c r="AC4" s="3276" t="s">
        <v>2637</v>
      </c>
    </row>
    <row r="5" spans="1:30" ht="15">
      <c r="A5" s="403"/>
      <c r="B5" s="404"/>
      <c r="C5" s="3234" t="s">
        <v>2530</v>
      </c>
      <c r="D5" s="3235"/>
      <c r="E5" s="3319" t="s">
        <v>2531</v>
      </c>
      <c r="F5" s="3233"/>
      <c r="G5" s="3234" t="s">
        <v>2532</v>
      </c>
      <c r="H5" s="3235"/>
      <c r="I5" s="3234" t="s">
        <v>2533</v>
      </c>
      <c r="J5" s="3235"/>
      <c r="K5" s="609"/>
      <c r="L5" s="1125"/>
      <c r="M5" s="1126"/>
      <c r="N5" s="1126"/>
      <c r="O5" s="1126"/>
      <c r="P5" s="3284"/>
      <c r="Q5" s="3253"/>
      <c r="R5" s="3230"/>
      <c r="S5" s="3231"/>
      <c r="T5" s="3230"/>
      <c r="U5" s="3231"/>
      <c r="V5" s="3259"/>
      <c r="W5" s="3259"/>
      <c r="X5" s="1808"/>
      <c r="Y5" s="3230"/>
      <c r="Z5" s="3231"/>
      <c r="AA5" s="3224"/>
      <c r="AB5" s="3224"/>
      <c r="AC5" s="3224"/>
    </row>
    <row r="6" spans="1:30" ht="15.75" thickBot="1">
      <c r="A6" s="405"/>
      <c r="B6" s="406"/>
      <c r="C6" s="3236" t="s">
        <v>2534</v>
      </c>
      <c r="D6" s="3237"/>
      <c r="E6" s="3279" t="s">
        <v>2534</v>
      </c>
      <c r="F6" s="3240"/>
      <c r="G6" s="3236" t="s">
        <v>2534</v>
      </c>
      <c r="H6" s="3237"/>
      <c r="I6" s="3236" t="s">
        <v>2534</v>
      </c>
      <c r="J6" s="3237"/>
      <c r="K6" s="609" t="s">
        <v>2535</v>
      </c>
      <c r="L6" s="1125"/>
      <c r="M6" s="1126"/>
      <c r="N6" s="1126"/>
      <c r="O6" s="1126"/>
      <c r="P6" s="3285"/>
      <c r="Q6" s="3255"/>
      <c r="R6" s="3230"/>
      <c r="S6" s="3231"/>
      <c r="T6" s="3256"/>
      <c r="U6" s="3257"/>
      <c r="V6" s="3259"/>
      <c r="W6" s="3259"/>
      <c r="X6" s="1808"/>
      <c r="Y6" s="3256"/>
      <c r="Z6" s="3257"/>
      <c r="AA6" s="3225"/>
      <c r="AB6" s="3225"/>
      <c r="AC6" s="3225"/>
    </row>
    <row r="7" spans="1:30" s="117" customFormat="1" ht="15.75" thickBot="1">
      <c r="A7" s="407" t="s">
        <v>2536</v>
      </c>
      <c r="B7" s="408"/>
      <c r="C7" s="409">
        <f>'数据-取费表'!B2</f>
        <v>43185</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7"/>
      <c r="M7" s="1128"/>
      <c r="N7" s="1128"/>
      <c r="O7" s="1128"/>
      <c r="P7" s="3226" t="s">
        <v>2537</v>
      </c>
      <c r="Q7" s="3261"/>
      <c r="R7" s="767" t="s">
        <v>17</v>
      </c>
      <c r="S7" s="768">
        <f t="shared" ref="S7:S15" si="0">F7</f>
        <v>0</v>
      </c>
      <c r="T7" s="767" t="s">
        <v>17</v>
      </c>
      <c r="U7" s="768">
        <f t="shared" ref="U7:U15" si="1">H7</f>
        <v>0</v>
      </c>
      <c r="V7" s="767" t="s">
        <v>17</v>
      </c>
      <c r="W7" s="768">
        <f t="shared" ref="W7:W15" si="2">J7</f>
        <v>0</v>
      </c>
      <c r="X7" s="769"/>
      <c r="Y7" s="3226" t="s">
        <v>2537</v>
      </c>
      <c r="Z7" s="3227"/>
      <c r="AA7" s="770" t="e">
        <f>D7/F7</f>
        <v>#DIV/0!</v>
      </c>
      <c r="AB7" s="770" t="e">
        <f>D7/H7</f>
        <v>#DIV/0!</v>
      </c>
      <c r="AC7" s="770" t="e">
        <f>D7/J7</f>
        <v>#DIV/0!</v>
      </c>
    </row>
    <row r="8" spans="1:30" s="117"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226" t="s">
        <v>2540</v>
      </c>
      <c r="Q8" s="3227"/>
      <c r="R8" s="767" t="s">
        <v>17</v>
      </c>
      <c r="S8" s="768">
        <f t="shared" si="0"/>
        <v>0</v>
      </c>
      <c r="T8" s="767" t="s">
        <v>17</v>
      </c>
      <c r="U8" s="768">
        <f t="shared" si="1"/>
        <v>0</v>
      </c>
      <c r="V8" s="767" t="s">
        <v>17</v>
      </c>
      <c r="W8" s="768">
        <f t="shared" si="2"/>
        <v>0</v>
      </c>
      <c r="X8" s="769"/>
      <c r="Y8" s="3226" t="s">
        <v>2540</v>
      </c>
      <c r="Z8" s="3227"/>
      <c r="AA8" s="770" t="e">
        <f t="shared" ref="AA8:AA45" si="3">D8/F8</f>
        <v>#DIV/0!</v>
      </c>
      <c r="AB8" s="770" t="e">
        <f t="shared" ref="AB8:AB45" si="4">D8/H8</f>
        <v>#DIV/0!</v>
      </c>
      <c r="AC8" s="770" t="e">
        <f t="shared" ref="AC8:AC45" si="5">D8/J8</f>
        <v>#DIV/0!</v>
      </c>
    </row>
    <row r="9" spans="1:30" s="117" customFormat="1">
      <c r="A9" s="414" t="s">
        <v>2541</v>
      </c>
      <c r="B9" s="71" t="s">
        <v>2542</v>
      </c>
      <c r="C9" s="2692"/>
      <c r="D9" s="135">
        <v>100</v>
      </c>
      <c r="E9" s="2692"/>
      <c r="F9" s="135">
        <f>SUMIF(75:75,E9,76:76)-SUMIF(75:75,C9,76:76)+100</f>
        <v>100</v>
      </c>
      <c r="G9" s="2692"/>
      <c r="H9" s="135">
        <f>SUMIF(75:75,G9,76:76)-SUMIF(75:75,C9,76:76)+100</f>
        <v>100</v>
      </c>
      <c r="I9" s="2692"/>
      <c r="J9" s="135">
        <f>SUMIF(75:75,I9,76:76)-SUMIF(75:75,C9,76:76)+100</f>
        <v>100</v>
      </c>
      <c r="K9" s="610"/>
      <c r="L9" s="1127"/>
      <c r="M9" s="1128"/>
      <c r="N9" s="1128"/>
      <c r="O9" s="1129"/>
      <c r="P9" s="3271"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770">
        <f t="shared" si="5"/>
        <v>1</v>
      </c>
    </row>
    <row r="10" spans="1:30" s="426" customFormat="1" ht="27">
      <c r="A10" s="420"/>
      <c r="B10" s="421" t="s">
        <v>2545</v>
      </c>
      <c r="C10" s="431"/>
      <c r="D10" s="136">
        <v>100</v>
      </c>
      <c r="E10" s="464"/>
      <c r="F10" s="136">
        <f>ROUND(100/'数据-取费表'!G16,0)</f>
        <v>106</v>
      </c>
      <c r="G10" s="462"/>
      <c r="H10" s="136">
        <f>ROUND(100/'数据-取费表'!G16,0)</f>
        <v>106</v>
      </c>
      <c r="I10" s="462"/>
      <c r="J10" s="136">
        <f>ROUND(100/'数据-取费表'!G16,0)</f>
        <v>106</v>
      </c>
      <c r="K10" s="669"/>
      <c r="L10" s="1130"/>
      <c r="M10" s="1131"/>
      <c r="N10" s="1131"/>
      <c r="O10" s="1132"/>
      <c r="P10" s="3271"/>
      <c r="Q10" s="1790" t="str">
        <f t="shared" si="6"/>
        <v>土地使用年限（年）</v>
      </c>
      <c r="R10" s="767" t="s">
        <v>17</v>
      </c>
      <c r="S10" s="768">
        <f t="shared" si="0"/>
        <v>106</v>
      </c>
      <c r="T10" s="767" t="s">
        <v>17</v>
      </c>
      <c r="U10" s="768">
        <f t="shared" si="1"/>
        <v>106</v>
      </c>
      <c r="V10" s="767" t="s">
        <v>17</v>
      </c>
      <c r="W10" s="768">
        <f t="shared" si="2"/>
        <v>106</v>
      </c>
      <c r="X10" s="769"/>
      <c r="Y10" s="3100"/>
      <c r="Z10" s="55" t="str">
        <f t="shared" si="7"/>
        <v>土地使用年限（年）</v>
      </c>
      <c r="AA10" s="770">
        <f t="shared" si="3"/>
        <v>0.94339622641509435</v>
      </c>
      <c r="AB10" s="770">
        <f t="shared" si="4"/>
        <v>0.94339622641509435</v>
      </c>
      <c r="AC10" s="770">
        <f t="shared" si="5"/>
        <v>0.94339622641509435</v>
      </c>
    </row>
    <row r="11" spans="1:30" ht="15">
      <c r="A11" s="427"/>
      <c r="B11" s="421" t="s">
        <v>2546</v>
      </c>
      <c r="C11" s="428"/>
      <c r="D11" s="136">
        <v>100</v>
      </c>
      <c r="E11" s="428"/>
      <c r="F11" s="136" t="e">
        <f>LOOKUP(E11,80:80,81:81)-LOOKUP(C11,80:80,81:81)+100</f>
        <v>#N/A</v>
      </c>
      <c r="G11" s="429"/>
      <c r="H11" s="136" t="e">
        <f>LOOKUP(G11,80:80,81:81)-LOOKUP(C11,80:80,81:81)+100</f>
        <v>#N/A</v>
      </c>
      <c r="I11" s="428"/>
      <c r="J11" s="136" t="e">
        <f>LOOKUP(I11,80:80,81:81)-LOOKUP(C11,80:80,81:81)+100</f>
        <v>#N/A</v>
      </c>
      <c r="K11" s="670"/>
      <c r="L11" s="1133"/>
      <c r="M11" s="1126"/>
      <c r="N11" s="1126"/>
      <c r="O11" s="1134"/>
      <c r="P11" s="3271"/>
      <c r="Q11" s="1790" t="str">
        <f t="shared" si="6"/>
        <v>容积率</v>
      </c>
      <c r="R11" s="767" t="s">
        <v>17</v>
      </c>
      <c r="S11" s="768" t="e">
        <f t="shared" si="0"/>
        <v>#N/A</v>
      </c>
      <c r="T11" s="767" t="s">
        <v>17</v>
      </c>
      <c r="U11" s="768" t="e">
        <f t="shared" si="1"/>
        <v>#N/A</v>
      </c>
      <c r="V11" s="767" t="s">
        <v>17</v>
      </c>
      <c r="W11" s="768" t="e">
        <f t="shared" si="2"/>
        <v>#N/A</v>
      </c>
      <c r="X11" s="769"/>
      <c r="Y11" s="3100"/>
      <c r="Z11" s="55" t="str">
        <f t="shared" si="7"/>
        <v>容积率</v>
      </c>
      <c r="AA11" s="770" t="e">
        <f t="shared" si="3"/>
        <v>#N/A</v>
      </c>
      <c r="AB11" s="770" t="e">
        <f t="shared" si="4"/>
        <v>#N/A</v>
      </c>
      <c r="AC11" s="770" t="e">
        <f t="shared" si="5"/>
        <v>#N/A</v>
      </c>
    </row>
    <row r="12" spans="1:30" s="117" customFormat="1" ht="15">
      <c r="A12" s="430"/>
      <c r="B12" s="2593" t="s">
        <v>2733</v>
      </c>
      <c r="C12" s="431"/>
      <c r="D12" s="432">
        <v>100</v>
      </c>
      <c r="E12" s="464"/>
      <c r="F12" s="136">
        <f>SUMIF(82:82,E12,83:83)-SUMIF(82:82,C12,83:83)+100</f>
        <v>100</v>
      </c>
      <c r="G12" s="462"/>
      <c r="H12" s="136">
        <f>SUMIF(82:82,G12,83:83)-SUMIF(82:82,C12,83:83)+100</f>
        <v>100</v>
      </c>
      <c r="I12" s="464"/>
      <c r="J12" s="136">
        <f>SUMIF(82:82,I12,83:83)-SUMIF(82:82,C12,83:83)+100</f>
        <v>100</v>
      </c>
      <c r="K12" s="669"/>
      <c r="L12" s="1127"/>
      <c r="M12" s="1128"/>
      <c r="N12" s="1128"/>
      <c r="O12" s="1129"/>
      <c r="P12" s="3271"/>
      <c r="Q12" s="1790" t="str">
        <f t="shared" si="6"/>
        <v>配建</v>
      </c>
      <c r="R12" s="767" t="s">
        <v>17</v>
      </c>
      <c r="S12" s="768">
        <f t="shared" si="0"/>
        <v>100</v>
      </c>
      <c r="T12" s="767" t="s">
        <v>17</v>
      </c>
      <c r="U12" s="768">
        <f t="shared" si="1"/>
        <v>100</v>
      </c>
      <c r="V12" s="767" t="s">
        <v>17</v>
      </c>
      <c r="W12" s="768">
        <f t="shared" si="2"/>
        <v>100</v>
      </c>
      <c r="X12" s="769"/>
      <c r="Y12" s="3100"/>
      <c r="Z12" s="55" t="str">
        <f t="shared" si="7"/>
        <v>配建</v>
      </c>
      <c r="AA12" s="770">
        <f>D12/F12</f>
        <v>1</v>
      </c>
      <c r="AB12" s="770">
        <f>D12/H12</f>
        <v>1</v>
      </c>
      <c r="AC12" s="770">
        <f>D12/J12</f>
        <v>1</v>
      </c>
    </row>
    <row r="13" spans="1:30" ht="15">
      <c r="A13" s="427"/>
      <c r="B13" s="2593">
        <v>111</v>
      </c>
      <c r="C13" s="433"/>
      <c r="D13" s="434">
        <v>100</v>
      </c>
      <c r="E13" s="548"/>
      <c r="F13" s="136">
        <f>SUMIF(84:84,E13,85:85)-SUMIF(84:84,C13,85:85)+100</f>
        <v>100</v>
      </c>
      <c r="G13" s="671"/>
      <c r="H13" s="434">
        <f>SUMIF(84:84,G13,85:85)-SUMIF(84:84,C13,85:85)+100</f>
        <v>100</v>
      </c>
      <c r="I13" s="671"/>
      <c r="J13" s="434">
        <f>SUMIF(84:84,I13,85:85)-SUMIF(84:84,C13,85:85)+100</f>
        <v>100</v>
      </c>
      <c r="K13" s="669"/>
      <c r="L13" s="1135"/>
      <c r="M13" s="1126"/>
      <c r="N13" s="1126"/>
      <c r="O13" s="1134"/>
      <c r="P13" s="3271"/>
      <c r="Q13" s="1790">
        <f t="shared" si="6"/>
        <v>111</v>
      </c>
      <c r="R13" s="767" t="s">
        <v>17</v>
      </c>
      <c r="S13" s="768">
        <f t="shared" si="0"/>
        <v>100</v>
      </c>
      <c r="T13" s="767" t="s">
        <v>17</v>
      </c>
      <c r="U13" s="768">
        <f t="shared" si="1"/>
        <v>100</v>
      </c>
      <c r="V13" s="767" t="s">
        <v>17</v>
      </c>
      <c r="W13" s="768">
        <f t="shared" si="2"/>
        <v>100</v>
      </c>
      <c r="X13" s="769"/>
      <c r="Y13" s="3100"/>
      <c r="Z13" s="55">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1"/>
      <c r="H14" s="437">
        <f>SUMIF(86:86,G14,87:87)-SUMIF(86:86,C14,87:87)+100</f>
        <v>100</v>
      </c>
      <c r="I14" s="671"/>
      <c r="J14" s="437">
        <f>SUMIF(86:86,I14,87:87)-SUMIF(86:86,C14,87:87)+100</f>
        <v>100</v>
      </c>
      <c r="K14" s="669"/>
      <c r="L14" s="1135"/>
      <c r="M14" s="1126"/>
      <c r="N14" s="1126"/>
      <c r="O14" s="1134"/>
      <c r="P14" s="3271"/>
      <c r="Q14" s="1790">
        <f t="shared" si="6"/>
        <v>111</v>
      </c>
      <c r="R14" s="767" t="s">
        <v>17</v>
      </c>
      <c r="S14" s="768">
        <f t="shared" si="0"/>
        <v>100</v>
      </c>
      <c r="T14" s="767" t="s">
        <v>17</v>
      </c>
      <c r="U14" s="768">
        <f t="shared" si="1"/>
        <v>100</v>
      </c>
      <c r="V14" s="767" t="s">
        <v>17</v>
      </c>
      <c r="W14" s="768">
        <f t="shared" si="2"/>
        <v>100</v>
      </c>
      <c r="X14" s="769"/>
      <c r="Y14" s="3100"/>
      <c r="Z14" s="55">
        <f t="shared" si="7"/>
        <v>111</v>
      </c>
      <c r="AA14" s="770">
        <f>D14/F14</f>
        <v>1</v>
      </c>
      <c r="AB14" s="770">
        <f>D14/H14</f>
        <v>1</v>
      </c>
      <c r="AC14" s="770">
        <f>D14/J14</f>
        <v>1</v>
      </c>
    </row>
    <row r="15" spans="1:30" ht="15">
      <c r="A15" s="439" t="s">
        <v>2547</v>
      </c>
      <c r="B15" s="69" t="s">
        <v>2082</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0"/>
      <c r="L15" s="1135"/>
      <c r="M15" s="1126"/>
      <c r="N15" s="1126"/>
      <c r="O15" s="1134"/>
      <c r="P15" s="3264" t="s">
        <v>2548</v>
      </c>
      <c r="Q15" s="1805" t="str">
        <f t="shared" si="6"/>
        <v>居住社区成熟度</v>
      </c>
      <c r="R15" s="771" t="s">
        <v>17</v>
      </c>
      <c r="S15" s="772">
        <f t="shared" si="0"/>
        <v>100</v>
      </c>
      <c r="T15" s="771" t="s">
        <v>17</v>
      </c>
      <c r="U15" s="772">
        <f t="shared" si="1"/>
        <v>100</v>
      </c>
      <c r="V15" s="771" t="s">
        <v>17</v>
      </c>
      <c r="W15" s="772">
        <f t="shared" si="2"/>
        <v>100</v>
      </c>
      <c r="X15" s="1808"/>
      <c r="Y15" s="3264" t="s">
        <v>2548</v>
      </c>
      <c r="Z15" s="1809" t="str">
        <f t="shared" si="7"/>
        <v>居住社区成熟度</v>
      </c>
      <c r="AA15" s="1806">
        <f t="shared" si="3"/>
        <v>1</v>
      </c>
      <c r="AB15" s="1806">
        <f t="shared" si="4"/>
        <v>1</v>
      </c>
      <c r="AC15" s="1806">
        <f t="shared" si="5"/>
        <v>1</v>
      </c>
    </row>
    <row r="16" spans="1:30" ht="15">
      <c r="A16" s="427"/>
      <c r="B16" s="445"/>
      <c r="C16" s="446"/>
      <c r="D16" s="447"/>
      <c r="E16" s="2598"/>
      <c r="F16" s="447"/>
      <c r="G16" s="2598"/>
      <c r="H16" s="449"/>
      <c r="I16" s="2597"/>
      <c r="J16" s="447"/>
      <c r="K16" s="669"/>
      <c r="L16" s="1135"/>
      <c r="M16" s="1126"/>
      <c r="N16" s="1126"/>
      <c r="O16" s="1134"/>
      <c r="P16" s="3265"/>
      <c r="Q16" s="1805"/>
      <c r="R16" s="771"/>
      <c r="S16" s="772"/>
      <c r="T16" s="771"/>
      <c r="U16" s="772"/>
      <c r="V16" s="771"/>
      <c r="W16" s="772"/>
      <c r="X16" s="1808"/>
      <c r="Y16" s="3265"/>
      <c r="Z16" s="1809"/>
      <c r="AA16" s="1806">
        <v>1</v>
      </c>
      <c r="AB16" s="1806">
        <v>1</v>
      </c>
      <c r="AC16" s="1806">
        <v>1</v>
      </c>
    </row>
    <row r="17" spans="1:29" ht="28.5">
      <c r="A17" s="427"/>
      <c r="B17" s="450" t="s">
        <v>2641</v>
      </c>
      <c r="C17" s="2657" t="str">
        <f>估价对象房地状况!C16</f>
        <v>XX商圈，周边商业氛围，人流量</v>
      </c>
      <c r="D17" s="449">
        <v>100</v>
      </c>
      <c r="E17" s="451"/>
      <c r="F17" s="449">
        <f>SUMIF(90:90,E18,91:91)-SUMIF(90:90,C18,91:91)+100</f>
        <v>100</v>
      </c>
      <c r="G17" s="451"/>
      <c r="H17" s="454">
        <f>SUMIF(90:90,G18,91:91)-SUMIF(90:90,C18,91:91)+100</f>
        <v>100</v>
      </c>
      <c r="I17" s="453"/>
      <c r="J17" s="454">
        <f>SUMIF(90:90,I18,91:91)-SUMIF(90:90,C18,91:91)+100</f>
        <v>100</v>
      </c>
      <c r="K17" s="670"/>
      <c r="L17" s="1135"/>
      <c r="M17" s="1126"/>
      <c r="N17" s="1126"/>
      <c r="O17" s="1134"/>
      <c r="P17" s="3265"/>
      <c r="Q17" s="1805" t="str">
        <f>B17</f>
        <v>商业繁华度</v>
      </c>
      <c r="R17" s="771" t="s">
        <v>17</v>
      </c>
      <c r="S17" s="772">
        <f>F17</f>
        <v>100</v>
      </c>
      <c r="T17" s="771" t="s">
        <v>17</v>
      </c>
      <c r="U17" s="772">
        <f>H17</f>
        <v>100</v>
      </c>
      <c r="V17" s="771" t="s">
        <v>17</v>
      </c>
      <c r="W17" s="772">
        <f>J17</f>
        <v>100</v>
      </c>
      <c r="X17" s="1808"/>
      <c r="Y17" s="3265"/>
      <c r="Z17" s="1809" t="str">
        <f>Q17</f>
        <v>商业繁华度</v>
      </c>
      <c r="AA17" s="1806">
        <f t="shared" si="3"/>
        <v>1</v>
      </c>
      <c r="AB17" s="1806">
        <f t="shared" si="4"/>
        <v>1</v>
      </c>
      <c r="AC17" s="1806">
        <f t="shared" si="5"/>
        <v>1</v>
      </c>
    </row>
    <row r="18" spans="1:29" ht="15">
      <c r="A18" s="427"/>
      <c r="B18" s="455"/>
      <c r="C18" s="2601"/>
      <c r="D18" s="449"/>
      <c r="E18" s="2603"/>
      <c r="F18" s="449"/>
      <c r="G18" s="2603"/>
      <c r="H18" s="447"/>
      <c r="I18" s="2602"/>
      <c r="J18" s="447"/>
      <c r="K18" s="669"/>
      <c r="L18" s="1135"/>
      <c r="M18" s="1126"/>
      <c r="N18" s="1126"/>
      <c r="O18" s="1134"/>
      <c r="P18" s="3265"/>
      <c r="Q18" s="1805"/>
      <c r="R18" s="771"/>
      <c r="S18" s="772"/>
      <c r="T18" s="771"/>
      <c r="U18" s="772"/>
      <c r="V18" s="771"/>
      <c r="W18" s="772"/>
      <c r="X18" s="1808"/>
      <c r="Y18" s="3265"/>
      <c r="Z18" s="1809"/>
      <c r="AA18" s="1806">
        <v>1</v>
      </c>
      <c r="AB18" s="1806">
        <v>1</v>
      </c>
      <c r="AC18" s="1806">
        <v>1</v>
      </c>
    </row>
    <row r="19" spans="1:29" ht="71.25">
      <c r="A19" s="427"/>
      <c r="B19" s="450" t="s">
        <v>2674</v>
      </c>
      <c r="C19" s="2657" t="str">
        <f>估价对象房地状况!C17</f>
        <v>XX商圈，周边办公楼项目，入驻率（物美慧科大厦 新奥特科技大厦 裕友大厦）</v>
      </c>
      <c r="D19" s="454">
        <v>100</v>
      </c>
      <c r="E19" s="456"/>
      <c r="F19" s="454">
        <f>SUMIF(92:92,E20,93:93)-SUMIF(92:92,C20,93:93)+100</f>
        <v>100</v>
      </c>
      <c r="G19" s="456"/>
      <c r="H19" s="449">
        <f>SUMIF(92:92,G20,93:93)-SUMIF(92:92,C20,93:93)+100</f>
        <v>100</v>
      </c>
      <c r="I19" s="458"/>
      <c r="J19" s="449">
        <f>SUMIF(92:92,I20,93:93)-SUMIF(92:92,C20,93:93)+100</f>
        <v>100</v>
      </c>
      <c r="K19" s="670"/>
      <c r="L19" s="1135"/>
      <c r="M19" s="1126"/>
      <c r="N19" s="1126"/>
      <c r="O19" s="1134"/>
      <c r="P19" s="3265"/>
      <c r="Q19" s="1805" t="str">
        <f>B19</f>
        <v>办公集聚程度</v>
      </c>
      <c r="R19" s="771" t="s">
        <v>17</v>
      </c>
      <c r="S19" s="772">
        <f>F19</f>
        <v>100</v>
      </c>
      <c r="T19" s="771" t="s">
        <v>17</v>
      </c>
      <c r="U19" s="772">
        <f>H19</f>
        <v>100</v>
      </c>
      <c r="V19" s="771" t="s">
        <v>17</v>
      </c>
      <c r="W19" s="772">
        <f>J19</f>
        <v>100</v>
      </c>
      <c r="X19" s="1808"/>
      <c r="Y19" s="3265"/>
      <c r="Z19" s="1809" t="str">
        <f>Q19</f>
        <v>办公集聚程度</v>
      </c>
      <c r="AA19" s="1806">
        <f t="shared" si="3"/>
        <v>1</v>
      </c>
      <c r="AB19" s="1806">
        <f t="shared" si="4"/>
        <v>1</v>
      </c>
      <c r="AC19" s="1806">
        <f t="shared" si="5"/>
        <v>1</v>
      </c>
    </row>
    <row r="20" spans="1:29" ht="15">
      <c r="A20" s="427"/>
      <c r="B20" s="455"/>
      <c r="C20" s="446"/>
      <c r="D20" s="447"/>
      <c r="E20" s="2598"/>
      <c r="F20" s="447"/>
      <c r="G20" s="2598"/>
      <c r="H20" s="447"/>
      <c r="I20" s="2597"/>
      <c r="J20" s="447"/>
      <c r="K20" s="669"/>
      <c r="L20" s="1135"/>
      <c r="M20" s="1126"/>
      <c r="N20" s="1126"/>
      <c r="O20" s="1134"/>
      <c r="P20" s="3265"/>
      <c r="Q20" s="1805"/>
      <c r="R20" s="771"/>
      <c r="S20" s="772"/>
      <c r="T20" s="771"/>
      <c r="U20" s="772"/>
      <c r="V20" s="771"/>
      <c r="W20" s="772"/>
      <c r="X20" s="1808"/>
      <c r="Y20" s="3265"/>
      <c r="Z20" s="1809"/>
      <c r="AA20" s="1806">
        <v>1</v>
      </c>
      <c r="AB20" s="1806">
        <v>1</v>
      </c>
      <c r="AC20" s="1806">
        <v>1</v>
      </c>
    </row>
    <row r="21" spans="1:29" ht="128.25">
      <c r="A21" s="427"/>
      <c r="B21" s="450" t="s">
        <v>2696</v>
      </c>
      <c r="C21" s="2600" t="str">
        <f>估价对象房地状况!C18</f>
        <v>周边道路状况、公共交通通达情况、停车便捷程度（快速路西四环北路 六号线海淀五路居站 五路桥公交站  61路 79路 121路 地上停车位）</v>
      </c>
      <c r="D21" s="449">
        <v>100</v>
      </c>
      <c r="E21" s="451"/>
      <c r="F21" s="454">
        <f>SUMIF(94:94,E22,95:95)-SUMIF(94:94,C22,95:95)+100</f>
        <v>100</v>
      </c>
      <c r="G21" s="451"/>
      <c r="H21" s="449">
        <f>SUMIF(94:94,G22,95:95)-SUMIF(94:94,C22,95:95)+100</f>
        <v>100</v>
      </c>
      <c r="I21" s="453"/>
      <c r="J21" s="449">
        <f>SUMIF(94:94,I22,95:95)-SUMIF(94:94,C22,95:95)+100</f>
        <v>100</v>
      </c>
      <c r="K21" s="670"/>
      <c r="L21" s="1135"/>
      <c r="M21" s="1126"/>
      <c r="N21" s="1126"/>
      <c r="O21" s="1134"/>
      <c r="P21" s="3265"/>
      <c r="Q21" s="1805" t="str">
        <f>B21</f>
        <v>交通便捷度</v>
      </c>
      <c r="R21" s="771" t="s">
        <v>17</v>
      </c>
      <c r="S21" s="772">
        <f>F21</f>
        <v>100</v>
      </c>
      <c r="T21" s="771" t="s">
        <v>17</v>
      </c>
      <c r="U21" s="772">
        <f>H21</f>
        <v>100</v>
      </c>
      <c r="V21" s="771" t="s">
        <v>17</v>
      </c>
      <c r="W21" s="772">
        <f>J21</f>
        <v>100</v>
      </c>
      <c r="X21" s="1808"/>
      <c r="Y21" s="3265"/>
      <c r="Z21" s="1809" t="str">
        <f>Q21</f>
        <v>交通便捷度</v>
      </c>
      <c r="AA21" s="1806">
        <f t="shared" si="3"/>
        <v>1</v>
      </c>
      <c r="AB21" s="1806">
        <f t="shared" si="4"/>
        <v>1</v>
      </c>
      <c r="AC21" s="1806">
        <f t="shared" si="5"/>
        <v>1</v>
      </c>
    </row>
    <row r="22" spans="1:29" ht="15">
      <c r="A22" s="427"/>
      <c r="B22" s="1379"/>
      <c r="C22" s="446"/>
      <c r="D22" s="449"/>
      <c r="E22" s="2598"/>
      <c r="F22" s="447"/>
      <c r="G22" s="2598"/>
      <c r="H22" s="447"/>
      <c r="I22" s="2597"/>
      <c r="J22" s="447"/>
      <c r="K22" s="669"/>
      <c r="L22" s="1135"/>
      <c r="M22" s="1126"/>
      <c r="N22" s="1126"/>
      <c r="O22" s="1134"/>
      <c r="P22" s="3265"/>
      <c r="Q22" s="1805"/>
      <c r="R22" s="771"/>
      <c r="S22" s="772"/>
      <c r="T22" s="771"/>
      <c r="U22" s="772"/>
      <c r="V22" s="771"/>
      <c r="W22" s="772"/>
      <c r="X22" s="1808"/>
      <c r="Y22" s="3265"/>
      <c r="Z22" s="1809"/>
      <c r="AA22" s="1806">
        <v>1</v>
      </c>
      <c r="AB22" s="1806">
        <v>1</v>
      </c>
      <c r="AC22" s="1806">
        <v>1</v>
      </c>
    </row>
    <row r="23" spans="1:29" ht="15">
      <c r="A23" s="403"/>
      <c r="B23" s="450" t="s">
        <v>2734</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35"/>
      <c r="M23" s="1126"/>
      <c r="N23" s="1126"/>
      <c r="O23" s="1134"/>
      <c r="P23" s="3265"/>
      <c r="Q23" s="1805" t="str">
        <f t="shared" ref="Q23:Q37" si="8">B23</f>
        <v>区域土地利用方向</v>
      </c>
      <c r="R23" s="771" t="s">
        <v>17</v>
      </c>
      <c r="S23" s="772">
        <f>F23</f>
        <v>100</v>
      </c>
      <c r="T23" s="771" t="s">
        <v>17</v>
      </c>
      <c r="U23" s="772">
        <f>H23</f>
        <v>100</v>
      </c>
      <c r="V23" s="771" t="s">
        <v>17</v>
      </c>
      <c r="W23" s="772">
        <f>J23</f>
        <v>100</v>
      </c>
      <c r="X23" s="1808"/>
      <c r="Y23" s="3265"/>
      <c r="Z23" s="1809" t="str">
        <f>Q23</f>
        <v>区域土地利用方向</v>
      </c>
      <c r="AA23" s="1806">
        <f t="shared" si="3"/>
        <v>1</v>
      </c>
      <c r="AB23" s="1806">
        <f t="shared" si="4"/>
        <v>1</v>
      </c>
      <c r="AC23" s="1806">
        <f t="shared" si="5"/>
        <v>1</v>
      </c>
    </row>
    <row r="24" spans="1:29" ht="15">
      <c r="A24" s="403"/>
      <c r="B24" s="455"/>
      <c r="C24" s="615"/>
      <c r="D24" s="447"/>
      <c r="E24" s="2598"/>
      <c r="F24" s="447"/>
      <c r="G24" s="2597"/>
      <c r="H24" s="447"/>
      <c r="I24" s="2597"/>
      <c r="J24" s="447"/>
      <c r="K24" s="804"/>
      <c r="L24" s="1135"/>
      <c r="M24" s="1126"/>
      <c r="N24" s="1126"/>
      <c r="O24" s="1134"/>
      <c r="P24" s="3265"/>
      <c r="Q24" s="1805"/>
      <c r="R24" s="771"/>
      <c r="S24" s="772"/>
      <c r="T24" s="771"/>
      <c r="U24" s="772"/>
      <c r="V24" s="771"/>
      <c r="W24" s="772"/>
      <c r="X24" s="1808"/>
      <c r="Y24" s="3265"/>
      <c r="Z24" s="1809"/>
      <c r="AA24" s="1806"/>
      <c r="AB24" s="1806"/>
      <c r="AC24" s="1806"/>
    </row>
    <row r="25" spans="1:29" ht="27">
      <c r="A25" s="403"/>
      <c r="B25" s="1379" t="s">
        <v>2735</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0"/>
      <c r="L25" s="1135"/>
      <c r="M25" s="1126"/>
      <c r="N25" s="1126"/>
      <c r="O25" s="1134"/>
      <c r="P25" s="3265"/>
      <c r="Q25" s="1805" t="str">
        <f t="shared" si="8"/>
        <v>自然及人文环境状况</v>
      </c>
      <c r="R25" s="771" t="s">
        <v>17</v>
      </c>
      <c r="S25" s="772">
        <f>F25</f>
        <v>100</v>
      </c>
      <c r="T25" s="771" t="s">
        <v>17</v>
      </c>
      <c r="U25" s="772">
        <f>H25</f>
        <v>100</v>
      </c>
      <c r="V25" s="771" t="s">
        <v>17</v>
      </c>
      <c r="W25" s="772">
        <f>J25</f>
        <v>100</v>
      </c>
      <c r="X25" s="1808"/>
      <c r="Y25" s="3265"/>
      <c r="Z25" s="1809" t="str">
        <f>Q25</f>
        <v>自然及人文环境状况</v>
      </c>
      <c r="AA25" s="1806">
        <f t="shared" si="3"/>
        <v>1</v>
      </c>
      <c r="AB25" s="1806">
        <f t="shared" si="4"/>
        <v>1</v>
      </c>
      <c r="AC25" s="1806">
        <f t="shared" si="5"/>
        <v>1</v>
      </c>
    </row>
    <row r="26" spans="1:29" ht="15">
      <c r="A26" s="403"/>
      <c r="B26" s="455"/>
      <c r="C26" s="446"/>
      <c r="D26" s="447"/>
      <c r="E26" s="2604"/>
      <c r="F26" s="447"/>
      <c r="G26" s="2604"/>
      <c r="H26" s="447"/>
      <c r="I26" s="446"/>
      <c r="J26" s="447"/>
      <c r="K26" s="669"/>
      <c r="L26" s="1135"/>
      <c r="M26" s="1126"/>
      <c r="N26" s="1126"/>
      <c r="O26" s="1134"/>
      <c r="P26" s="3265"/>
      <c r="Q26" s="1805"/>
      <c r="R26" s="771"/>
      <c r="S26" s="772"/>
      <c r="T26" s="771"/>
      <c r="U26" s="772"/>
      <c r="V26" s="771"/>
      <c r="W26" s="772"/>
      <c r="X26" s="1808"/>
      <c r="Y26" s="3265"/>
      <c r="Z26" s="1809"/>
      <c r="AA26" s="1806">
        <v>1</v>
      </c>
      <c r="AB26" s="1806">
        <v>1</v>
      </c>
      <c r="AC26" s="1806">
        <v>1</v>
      </c>
    </row>
    <row r="27" spans="1:29" s="117" customFormat="1" ht="199.5">
      <c r="A27" s="646"/>
      <c r="B27" s="1379" t="s">
        <v>2642</v>
      </c>
      <c r="C27" s="260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27"/>
      <c r="M27" s="1128"/>
      <c r="N27" s="1128"/>
      <c r="O27" s="1129"/>
      <c r="P27" s="3265"/>
      <c r="Q27" s="1790" t="str">
        <f t="shared" si="8"/>
        <v>公共配套设施</v>
      </c>
      <c r="R27" s="767" t="s">
        <v>17</v>
      </c>
      <c r="S27" s="768">
        <f>F27</f>
        <v>100</v>
      </c>
      <c r="T27" s="767" t="s">
        <v>17</v>
      </c>
      <c r="U27" s="768">
        <f>H27</f>
        <v>100</v>
      </c>
      <c r="V27" s="767" t="s">
        <v>17</v>
      </c>
      <c r="W27" s="768">
        <f>J27</f>
        <v>100</v>
      </c>
      <c r="X27" s="769"/>
      <c r="Y27" s="3265"/>
      <c r="Z27" s="55" t="str">
        <f>Q27</f>
        <v>公共配套设施</v>
      </c>
      <c r="AA27" s="1806">
        <f>D27/F27</f>
        <v>1</v>
      </c>
      <c r="AB27" s="1806">
        <f>D27/H27</f>
        <v>1</v>
      </c>
      <c r="AC27" s="1806">
        <f>D27/J27</f>
        <v>1</v>
      </c>
    </row>
    <row r="28" spans="1:29" s="117" customFormat="1" ht="15">
      <c r="A28" s="646"/>
      <c r="B28" s="455"/>
      <c r="C28" s="2693"/>
      <c r="D28" s="447"/>
      <c r="E28" s="2604"/>
      <c r="F28" s="447"/>
      <c r="G28" s="2604"/>
      <c r="H28" s="447"/>
      <c r="I28" s="446"/>
      <c r="J28" s="447"/>
      <c r="K28" s="669"/>
      <c r="L28" s="1127"/>
      <c r="M28" s="1128"/>
      <c r="N28" s="1128"/>
      <c r="O28" s="1129"/>
      <c r="P28" s="3265"/>
      <c r="Q28" s="1790"/>
      <c r="R28" s="767"/>
      <c r="S28" s="768"/>
      <c r="T28" s="767"/>
      <c r="U28" s="768"/>
      <c r="V28" s="767"/>
      <c r="W28" s="768"/>
      <c r="X28" s="769"/>
      <c r="Y28" s="3265"/>
      <c r="Z28" s="55"/>
      <c r="AA28" s="1806">
        <v>1</v>
      </c>
      <c r="AB28" s="1806">
        <v>1</v>
      </c>
      <c r="AC28" s="1806">
        <v>1</v>
      </c>
    </row>
    <row r="29" spans="1:29" s="117" customFormat="1" ht="15">
      <c r="A29" s="646"/>
      <c r="B29" s="1379" t="s">
        <v>2643</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27"/>
      <c r="M29" s="1128"/>
      <c r="N29" s="1128"/>
      <c r="O29" s="1129"/>
      <c r="P29" s="3265"/>
      <c r="Q29" s="1790" t="str">
        <f t="shared" ref="Q29" si="9">B29</f>
        <v>基础设施水平</v>
      </c>
      <c r="R29" s="767" t="s">
        <v>17</v>
      </c>
      <c r="S29" s="768">
        <f>F29</f>
        <v>100</v>
      </c>
      <c r="T29" s="767" t="s">
        <v>17</v>
      </c>
      <c r="U29" s="768">
        <f>H29</f>
        <v>100</v>
      </c>
      <c r="V29" s="767" t="s">
        <v>17</v>
      </c>
      <c r="W29" s="768">
        <f>J29</f>
        <v>100</v>
      </c>
      <c r="X29" s="769"/>
      <c r="Y29" s="3265"/>
      <c r="Z29" s="55" t="str">
        <f>Q29</f>
        <v>基础设施水平</v>
      </c>
      <c r="AA29" s="1806">
        <f>D29/F29</f>
        <v>1</v>
      </c>
      <c r="AB29" s="1806">
        <f>D29/H29</f>
        <v>1</v>
      </c>
      <c r="AC29" s="1806">
        <f>D29/J29</f>
        <v>1</v>
      </c>
    </row>
    <row r="30" spans="1:29" s="117" customFormat="1" ht="15">
      <c r="A30" s="646"/>
      <c r="B30" s="455"/>
      <c r="C30" s="2693"/>
      <c r="D30" s="447"/>
      <c r="E30" s="2694"/>
      <c r="F30" s="447"/>
      <c r="G30" s="2694"/>
      <c r="H30" s="447"/>
      <c r="I30" s="2694"/>
      <c r="J30" s="447"/>
      <c r="K30" s="669"/>
      <c r="L30" s="1127"/>
      <c r="M30" s="1128"/>
      <c r="N30" s="1128"/>
      <c r="O30" s="1129"/>
      <c r="P30" s="3265"/>
      <c r="Q30" s="1790"/>
      <c r="R30" s="767"/>
      <c r="S30" s="768"/>
      <c r="T30" s="767"/>
      <c r="U30" s="768"/>
      <c r="V30" s="767"/>
      <c r="W30" s="768"/>
      <c r="X30" s="769"/>
      <c r="Y30" s="3265"/>
      <c r="Z30" s="55"/>
      <c r="AA30" s="1806">
        <v>1</v>
      </c>
      <c r="AB30" s="1806">
        <v>1</v>
      </c>
      <c r="AC30" s="1806">
        <v>1</v>
      </c>
    </row>
    <row r="31" spans="1:29" ht="15">
      <c r="A31" s="427"/>
      <c r="B31" s="455" t="s">
        <v>2644</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35"/>
      <c r="M31" s="1126"/>
      <c r="N31" s="1126"/>
      <c r="O31" s="1134"/>
      <c r="P31" s="3265"/>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65"/>
      <c r="Z31" s="1809" t="str">
        <f t="shared" ref="Z31:Z45" si="13">Q31</f>
        <v>临街状况</v>
      </c>
      <c r="AA31" s="1806">
        <f t="shared" si="3"/>
        <v>1</v>
      </c>
      <c r="AB31" s="1806">
        <f t="shared" si="4"/>
        <v>1</v>
      </c>
      <c r="AC31" s="1806">
        <f t="shared" si="5"/>
        <v>1</v>
      </c>
    </row>
    <row r="32" spans="1:29" ht="27">
      <c r="A32" s="427"/>
      <c r="B32" s="1379"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35"/>
      <c r="M32" s="1126"/>
      <c r="N32" s="1126"/>
      <c r="O32" s="1134"/>
      <c r="P32" s="3265"/>
      <c r="Q32" s="1805" t="str">
        <f t="shared" si="8"/>
        <v>毗邻道路的类型与等级</v>
      </c>
      <c r="R32" s="771" t="s">
        <v>17</v>
      </c>
      <c r="S32" s="772">
        <f t="shared" si="10"/>
        <v>100</v>
      </c>
      <c r="T32" s="771" t="s">
        <v>17</v>
      </c>
      <c r="U32" s="772">
        <f t="shared" si="11"/>
        <v>100</v>
      </c>
      <c r="V32" s="771" t="s">
        <v>17</v>
      </c>
      <c r="W32" s="772">
        <f t="shared" si="12"/>
        <v>100</v>
      </c>
      <c r="X32" s="1808"/>
      <c r="Y32" s="3265"/>
      <c r="Z32" s="1809" t="str">
        <f t="shared" si="13"/>
        <v>毗邻道路的类型与等级</v>
      </c>
      <c r="AA32" s="1806">
        <f t="shared" si="3"/>
        <v>1</v>
      </c>
      <c r="AB32" s="1806">
        <f t="shared" si="4"/>
        <v>1</v>
      </c>
      <c r="AC32" s="1806">
        <f t="shared" si="5"/>
        <v>1</v>
      </c>
    </row>
    <row r="33" spans="1:29" ht="15">
      <c r="A33" s="427"/>
      <c r="B33" s="455"/>
      <c r="C33" s="446"/>
      <c r="D33" s="447"/>
      <c r="E33" s="2604"/>
      <c r="F33" s="447"/>
      <c r="G33" s="2604"/>
      <c r="H33" s="447"/>
      <c r="I33" s="446"/>
      <c r="J33" s="447"/>
      <c r="K33" s="612"/>
      <c r="L33" s="1135"/>
      <c r="M33" s="1126"/>
      <c r="N33" s="1126"/>
      <c r="O33" s="1134"/>
      <c r="P33" s="3265"/>
      <c r="Q33" s="1805"/>
      <c r="R33" s="771"/>
      <c r="S33" s="772"/>
      <c r="T33" s="771"/>
      <c r="U33" s="772"/>
      <c r="V33" s="771"/>
      <c r="W33" s="772"/>
      <c r="X33" s="1808"/>
      <c r="Y33" s="3265"/>
      <c r="Z33" s="1809"/>
      <c r="AA33" s="1806">
        <v>1</v>
      </c>
      <c r="AB33" s="1806">
        <v>1</v>
      </c>
      <c r="AC33" s="1806">
        <v>1</v>
      </c>
    </row>
    <row r="34" spans="1:29" ht="15">
      <c r="A34" s="427"/>
      <c r="B34" s="421" t="s">
        <v>2736</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35"/>
      <c r="M34" s="1126"/>
      <c r="N34" s="1126"/>
      <c r="O34" s="1134"/>
      <c r="P34" s="3265"/>
      <c r="Q34" s="1805" t="str">
        <f t="shared" si="8"/>
        <v>土地级别</v>
      </c>
      <c r="R34" s="771" t="s">
        <v>17</v>
      </c>
      <c r="S34" s="772">
        <f t="shared" si="10"/>
        <v>100</v>
      </c>
      <c r="T34" s="771" t="s">
        <v>17</v>
      </c>
      <c r="U34" s="772">
        <f t="shared" si="11"/>
        <v>100</v>
      </c>
      <c r="V34" s="771" t="s">
        <v>17</v>
      </c>
      <c r="W34" s="772">
        <f t="shared" si="12"/>
        <v>100</v>
      </c>
      <c r="X34" s="1808"/>
      <c r="Y34" s="3265"/>
      <c r="Z34" s="1809" t="str">
        <f t="shared" si="13"/>
        <v>土地级别</v>
      </c>
      <c r="AA34" s="1806">
        <f t="shared" si="3"/>
        <v>1</v>
      </c>
      <c r="AB34" s="1806">
        <f t="shared" si="4"/>
        <v>1</v>
      </c>
      <c r="AC34" s="1806">
        <f t="shared" si="5"/>
        <v>1</v>
      </c>
    </row>
    <row r="35" spans="1:29" ht="15">
      <c r="A35" s="403"/>
      <c r="B35" s="1381">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35"/>
      <c r="M35" s="1126"/>
      <c r="N35" s="1126"/>
      <c r="O35" s="1134"/>
      <c r="P35" s="3265"/>
      <c r="Q35" s="1805">
        <f t="shared" si="8"/>
        <v>111</v>
      </c>
      <c r="R35" s="771" t="s">
        <v>17</v>
      </c>
      <c r="S35" s="772">
        <f t="shared" si="10"/>
        <v>100</v>
      </c>
      <c r="T35" s="771" t="s">
        <v>17</v>
      </c>
      <c r="U35" s="772">
        <f t="shared" si="11"/>
        <v>100</v>
      </c>
      <c r="V35" s="771" t="s">
        <v>17</v>
      </c>
      <c r="W35" s="772">
        <f t="shared" si="12"/>
        <v>100</v>
      </c>
      <c r="X35" s="1808"/>
      <c r="Y35" s="3265"/>
      <c r="Z35" s="1809">
        <f t="shared" si="13"/>
        <v>111</v>
      </c>
      <c r="AA35" s="1806">
        <f t="shared" si="3"/>
        <v>1</v>
      </c>
      <c r="AB35" s="1806">
        <f t="shared" si="4"/>
        <v>1</v>
      </c>
      <c r="AC35" s="1806">
        <f t="shared" si="5"/>
        <v>1</v>
      </c>
    </row>
    <row r="36" spans="1:29" ht="15">
      <c r="A36" s="672"/>
      <c r="B36" s="1382">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35"/>
      <c r="M36" s="1126"/>
      <c r="N36" s="1126"/>
      <c r="O36" s="1134"/>
      <c r="P36" s="3291" t="s">
        <v>2553</v>
      </c>
      <c r="Q36" s="1805">
        <f t="shared" si="8"/>
        <v>111</v>
      </c>
      <c r="R36" s="771" t="s">
        <v>17</v>
      </c>
      <c r="S36" s="772">
        <f t="shared" si="10"/>
        <v>100</v>
      </c>
      <c r="T36" s="771" t="s">
        <v>17</v>
      </c>
      <c r="U36" s="772">
        <f t="shared" si="11"/>
        <v>100</v>
      </c>
      <c r="V36" s="771" t="s">
        <v>17</v>
      </c>
      <c r="W36" s="772">
        <f t="shared" si="12"/>
        <v>100</v>
      </c>
      <c r="X36" s="1808"/>
      <c r="Y36" s="3269" t="s">
        <v>2553</v>
      </c>
      <c r="Z36" s="1809">
        <f t="shared" si="13"/>
        <v>111</v>
      </c>
      <c r="AA36" s="1806">
        <f t="shared" si="3"/>
        <v>1</v>
      </c>
      <c r="AB36" s="1806">
        <f t="shared" si="4"/>
        <v>1</v>
      </c>
      <c r="AC36" s="1806">
        <f t="shared" si="5"/>
        <v>1</v>
      </c>
    </row>
    <row r="37" spans="1:29" s="470" customFormat="1" ht="15.75" thickBot="1">
      <c r="A37" s="673"/>
      <c r="B37" s="1383">
        <v>111</v>
      </c>
      <c r="C37" s="675"/>
      <c r="D37" s="137">
        <v>100</v>
      </c>
      <c r="E37" s="698"/>
      <c r="F37" s="437">
        <f>SUMIF(114:114,E37,115:115)-SUMIF(114:114,C37,115:115)+100</f>
        <v>100</v>
      </c>
      <c r="G37" s="698"/>
      <c r="H37" s="437">
        <f>SUMIF(114:114,G37,115:115)-SUMIF(114:114,C37,115:115)+100</f>
        <v>100</v>
      </c>
      <c r="I37" s="675"/>
      <c r="J37" s="437">
        <f>SUMIF(114:114,I37,115:115)-SUMIF(114:114,C37,115:115)+100</f>
        <v>100</v>
      </c>
      <c r="K37" s="612"/>
      <c r="L37" s="1133"/>
      <c r="M37" s="1136"/>
      <c r="N37" s="1136"/>
      <c r="O37" s="1137"/>
      <c r="P37" s="3269"/>
      <c r="Q37" s="1805">
        <f t="shared" si="8"/>
        <v>111</v>
      </c>
      <c r="R37" s="774" t="s">
        <v>17</v>
      </c>
      <c r="S37" s="775">
        <f t="shared" si="10"/>
        <v>100</v>
      </c>
      <c r="T37" s="774" t="s">
        <v>17</v>
      </c>
      <c r="U37" s="775">
        <f t="shared" si="11"/>
        <v>100</v>
      </c>
      <c r="V37" s="774" t="s">
        <v>17</v>
      </c>
      <c r="W37" s="775">
        <f t="shared" si="12"/>
        <v>100</v>
      </c>
      <c r="X37" s="776"/>
      <c r="Y37" s="3269"/>
      <c r="Z37" s="777">
        <f t="shared" si="13"/>
        <v>111</v>
      </c>
      <c r="AA37" s="1806">
        <f t="shared" si="3"/>
        <v>1</v>
      </c>
      <c r="AB37" s="1806">
        <f t="shared" si="4"/>
        <v>1</v>
      </c>
      <c r="AC37" s="1806">
        <f t="shared" si="5"/>
        <v>1</v>
      </c>
    </row>
    <row r="38" spans="1:29" ht="15">
      <c r="A38" s="471" t="s">
        <v>2551</v>
      </c>
      <c r="B38" s="455" t="s">
        <v>2737</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35"/>
      <c r="M38" s="1126"/>
      <c r="N38" s="1126"/>
      <c r="O38" s="1134"/>
      <c r="P38" s="3269"/>
      <c r="Q38" s="1805" t="str">
        <f>B38</f>
        <v>宗地面积</v>
      </c>
      <c r="R38" s="771" t="s">
        <v>17</v>
      </c>
      <c r="S38" s="772" t="e">
        <f t="shared" si="10"/>
        <v>#N/A</v>
      </c>
      <c r="T38" s="771" t="s">
        <v>17</v>
      </c>
      <c r="U38" s="772" t="e">
        <f t="shared" si="11"/>
        <v>#N/A</v>
      </c>
      <c r="V38" s="771" t="s">
        <v>17</v>
      </c>
      <c r="W38" s="772" t="e">
        <f t="shared" si="12"/>
        <v>#N/A</v>
      </c>
      <c r="X38" s="1808"/>
      <c r="Y38" s="3269"/>
      <c r="Z38" s="1809" t="str">
        <f t="shared" si="13"/>
        <v>宗地面积</v>
      </c>
      <c r="AA38" s="1806" t="e">
        <f t="shared" si="3"/>
        <v>#N/A</v>
      </c>
      <c r="AB38" s="1806" t="e">
        <f t="shared" si="4"/>
        <v>#N/A</v>
      </c>
      <c r="AC38" s="1806" t="e">
        <f t="shared" si="5"/>
        <v>#N/A</v>
      </c>
    </row>
    <row r="39" spans="1:29" ht="15">
      <c r="A39" s="471"/>
      <c r="B39" s="421" t="s">
        <v>2738</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5"/>
      <c r="M39" s="1126"/>
      <c r="N39" s="1126"/>
      <c r="O39" s="1134"/>
      <c r="P39" s="3269"/>
      <c r="Q39" s="1805" t="str">
        <f t="shared" ref="Q39:Q45" si="14">B39</f>
        <v>宗地形状</v>
      </c>
      <c r="R39" s="771" t="s">
        <v>17</v>
      </c>
      <c r="S39" s="772">
        <f t="shared" si="10"/>
        <v>100</v>
      </c>
      <c r="T39" s="771" t="s">
        <v>17</v>
      </c>
      <c r="U39" s="772">
        <f t="shared" si="11"/>
        <v>100</v>
      </c>
      <c r="V39" s="771" t="s">
        <v>17</v>
      </c>
      <c r="W39" s="772">
        <f t="shared" si="12"/>
        <v>100</v>
      </c>
      <c r="X39" s="1808"/>
      <c r="Y39" s="3269"/>
      <c r="Z39" s="1809" t="str">
        <f t="shared" si="13"/>
        <v>宗地形状</v>
      </c>
      <c r="AA39" s="1806">
        <f t="shared" si="3"/>
        <v>1</v>
      </c>
      <c r="AB39" s="1806">
        <f t="shared" si="4"/>
        <v>1</v>
      </c>
      <c r="AC39" s="1806">
        <f t="shared" si="5"/>
        <v>1</v>
      </c>
    </row>
    <row r="40" spans="1:29" ht="15">
      <c r="A40" s="471"/>
      <c r="B40" s="421" t="s">
        <v>2739</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5"/>
      <c r="M40" s="1126"/>
      <c r="N40" s="1126"/>
      <c r="O40" s="1134"/>
      <c r="P40" s="3269"/>
      <c r="Q40" s="1805" t="str">
        <f t="shared" si="14"/>
        <v>临街宽度及深度</v>
      </c>
      <c r="R40" s="771" t="s">
        <v>17</v>
      </c>
      <c r="S40" s="772">
        <f t="shared" si="10"/>
        <v>100</v>
      </c>
      <c r="T40" s="771" t="s">
        <v>17</v>
      </c>
      <c r="U40" s="772">
        <f t="shared" si="11"/>
        <v>100</v>
      </c>
      <c r="V40" s="771" t="s">
        <v>17</v>
      </c>
      <c r="W40" s="772">
        <f t="shared" si="12"/>
        <v>100</v>
      </c>
      <c r="X40" s="1808"/>
      <c r="Y40" s="3269"/>
      <c r="Z40" s="1809" t="str">
        <f t="shared" si="13"/>
        <v>临街宽度及深度</v>
      </c>
      <c r="AA40" s="1806">
        <f t="shared" si="3"/>
        <v>1</v>
      </c>
      <c r="AB40" s="1806">
        <f t="shared" si="4"/>
        <v>1</v>
      </c>
      <c r="AC40" s="1806">
        <f t="shared" si="5"/>
        <v>1</v>
      </c>
    </row>
    <row r="41" spans="1:29" s="117" customFormat="1" ht="15">
      <c r="A41" s="472"/>
      <c r="B41" s="421" t="s">
        <v>2740</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27"/>
      <c r="M41" s="1128"/>
      <c r="N41" s="1128"/>
      <c r="O41" s="1129"/>
      <c r="P41" s="3269"/>
      <c r="Q41" s="1805" t="str">
        <f t="shared" si="14"/>
        <v>宗地开发程度</v>
      </c>
      <c r="R41" s="767" t="s">
        <v>17</v>
      </c>
      <c r="S41" s="768">
        <f t="shared" si="10"/>
        <v>100</v>
      </c>
      <c r="T41" s="767" t="s">
        <v>17</v>
      </c>
      <c r="U41" s="768">
        <f t="shared" si="11"/>
        <v>100</v>
      </c>
      <c r="V41" s="767" t="s">
        <v>17</v>
      </c>
      <c r="W41" s="768">
        <f t="shared" si="12"/>
        <v>100</v>
      </c>
      <c r="X41" s="769"/>
      <c r="Y41" s="3269"/>
      <c r="Z41" s="55" t="str">
        <f t="shared" si="13"/>
        <v>宗地开发程度</v>
      </c>
      <c r="AA41" s="770">
        <f t="shared" si="3"/>
        <v>1</v>
      </c>
      <c r="AB41" s="770">
        <f t="shared" si="4"/>
        <v>1</v>
      </c>
      <c r="AC41" s="770">
        <f t="shared" si="5"/>
        <v>1</v>
      </c>
    </row>
    <row r="42" spans="1:29" ht="15">
      <c r="A42" s="471"/>
      <c r="B42" s="421" t="s">
        <v>2741</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5"/>
      <c r="M42" s="1126"/>
      <c r="N42" s="1126"/>
      <c r="O42" s="1134"/>
      <c r="P42" s="3269" t="s">
        <v>2553</v>
      </c>
      <c r="Q42" s="1805" t="str">
        <f t="shared" si="14"/>
        <v>工程地质条件</v>
      </c>
      <c r="R42" s="771" t="s">
        <v>17</v>
      </c>
      <c r="S42" s="772">
        <f t="shared" si="10"/>
        <v>100</v>
      </c>
      <c r="T42" s="771" t="s">
        <v>17</v>
      </c>
      <c r="U42" s="772">
        <f t="shared" si="11"/>
        <v>100</v>
      </c>
      <c r="V42" s="771" t="s">
        <v>17</v>
      </c>
      <c r="W42" s="772">
        <f t="shared" si="12"/>
        <v>100</v>
      </c>
      <c r="X42" s="1808"/>
      <c r="Y42" s="3269" t="s">
        <v>2553</v>
      </c>
      <c r="Z42" s="1809" t="str">
        <f t="shared" si="13"/>
        <v>工程地质条件</v>
      </c>
      <c r="AA42" s="1806">
        <f t="shared" si="3"/>
        <v>1</v>
      </c>
      <c r="AB42" s="1806">
        <f t="shared" si="4"/>
        <v>1</v>
      </c>
      <c r="AC42" s="1806">
        <f t="shared" si="5"/>
        <v>1</v>
      </c>
    </row>
    <row r="43" spans="1:29" ht="15">
      <c r="A43" s="471"/>
      <c r="B43" s="1382">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35"/>
      <c r="M43" s="1126"/>
      <c r="N43" s="1126"/>
      <c r="O43" s="1134"/>
      <c r="P43" s="3269"/>
      <c r="Q43" s="1805">
        <f t="shared" si="14"/>
        <v>111</v>
      </c>
      <c r="R43" s="771" t="s">
        <v>17</v>
      </c>
      <c r="S43" s="772">
        <f t="shared" si="10"/>
        <v>100</v>
      </c>
      <c r="T43" s="771" t="s">
        <v>17</v>
      </c>
      <c r="U43" s="772">
        <f t="shared" si="11"/>
        <v>100</v>
      </c>
      <c r="V43" s="771" t="s">
        <v>17</v>
      </c>
      <c r="W43" s="772">
        <f t="shared" si="12"/>
        <v>100</v>
      </c>
      <c r="X43" s="1808"/>
      <c r="Y43" s="3269"/>
      <c r="Z43" s="1809">
        <f t="shared" si="13"/>
        <v>111</v>
      </c>
      <c r="AA43" s="1806">
        <f t="shared" si="3"/>
        <v>1</v>
      </c>
      <c r="AB43" s="1806">
        <f t="shared" si="4"/>
        <v>1</v>
      </c>
      <c r="AC43" s="1806">
        <f t="shared" si="5"/>
        <v>1</v>
      </c>
    </row>
    <row r="44" spans="1:29" ht="15">
      <c r="A44" s="471"/>
      <c r="B44" s="1382">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35"/>
      <c r="M44" s="1126"/>
      <c r="N44" s="1126"/>
      <c r="O44" s="1134"/>
      <c r="P44" s="3269"/>
      <c r="Q44" s="1805">
        <f t="shared" si="14"/>
        <v>111</v>
      </c>
      <c r="R44" s="771" t="s">
        <v>17</v>
      </c>
      <c r="S44" s="772">
        <f t="shared" si="10"/>
        <v>100</v>
      </c>
      <c r="T44" s="771" t="s">
        <v>17</v>
      </c>
      <c r="U44" s="772">
        <f t="shared" si="11"/>
        <v>100</v>
      </c>
      <c r="V44" s="771" t="s">
        <v>17</v>
      </c>
      <c r="W44" s="772">
        <f t="shared" si="12"/>
        <v>100</v>
      </c>
      <c r="X44" s="1808"/>
      <c r="Y44" s="3269"/>
      <c r="Z44" s="1809">
        <f t="shared" si="13"/>
        <v>111</v>
      </c>
      <c r="AA44" s="1806">
        <f t="shared" si="3"/>
        <v>1</v>
      </c>
      <c r="AB44" s="1806">
        <f t="shared" si="4"/>
        <v>1</v>
      </c>
      <c r="AC44" s="1806">
        <f t="shared" si="5"/>
        <v>1</v>
      </c>
    </row>
    <row r="45" spans="1:29" s="470" customFormat="1" ht="15.75" thickBot="1">
      <c r="A45" s="467"/>
      <c r="B45" s="1382">
        <v>111</v>
      </c>
      <c r="C45" s="2696"/>
      <c r="D45" s="677">
        <v>100</v>
      </c>
      <c r="E45" s="671"/>
      <c r="F45" s="437">
        <f>SUMIF(131:131,E45,132:132)-SUMIF(131:131,C45,132:132)+100</f>
        <v>100</v>
      </c>
      <c r="G45" s="671"/>
      <c r="H45" s="437">
        <f>SUMIF(131:131,G45,132:132)-SUMIF(131:131,C45,132:132)+100</f>
        <v>100</v>
      </c>
      <c r="I45" s="671"/>
      <c r="J45" s="437">
        <f>SUMIF(131:131,I45,132:132)-SUMIF(131:131,C45,132:132)+100</f>
        <v>100</v>
      </c>
      <c r="K45" s="678"/>
      <c r="L45" s="1133"/>
      <c r="M45" s="1136"/>
      <c r="N45" s="1136"/>
      <c r="O45" s="1137"/>
      <c r="P45" s="3269"/>
      <c r="Q45" s="1805">
        <f t="shared" si="14"/>
        <v>111</v>
      </c>
      <c r="R45" s="774" t="s">
        <v>17</v>
      </c>
      <c r="S45" s="775">
        <f t="shared" si="10"/>
        <v>100</v>
      </c>
      <c r="T45" s="774" t="s">
        <v>17</v>
      </c>
      <c r="U45" s="775">
        <f t="shared" si="11"/>
        <v>100</v>
      </c>
      <c r="V45" s="774" t="s">
        <v>17</v>
      </c>
      <c r="W45" s="775">
        <f t="shared" si="12"/>
        <v>100</v>
      </c>
      <c r="X45" s="776"/>
      <c r="Y45" s="3269"/>
      <c r="Z45" s="777">
        <f t="shared" si="13"/>
        <v>111</v>
      </c>
      <c r="AA45" s="1806">
        <f t="shared" si="3"/>
        <v>1</v>
      </c>
      <c r="AB45" s="1806">
        <f t="shared" si="4"/>
        <v>1</v>
      </c>
      <c r="AC45" s="1806">
        <f t="shared" si="5"/>
        <v>1</v>
      </c>
    </row>
    <row r="46" spans="1:29" ht="15">
      <c r="A46" s="478" t="s">
        <v>2707</v>
      </c>
      <c r="B46" s="2697" t="s">
        <v>2742</v>
      </c>
      <c r="C46" s="679" t="s">
        <v>1</v>
      </c>
      <c r="D46" s="480"/>
      <c r="E46" s="481"/>
      <c r="F46" s="482"/>
      <c r="G46" s="483"/>
      <c r="H46" s="484"/>
      <c r="I46" s="481"/>
      <c r="J46" s="484"/>
      <c r="K46" s="780"/>
      <c r="L46" s="1138"/>
      <c r="M46" s="1139"/>
      <c r="N46" s="1126"/>
      <c r="O46" s="1139"/>
      <c r="P46" s="3271" t="str">
        <f>A46</f>
        <v>成交单价</v>
      </c>
      <c r="Q46" s="3271"/>
      <c r="R46" s="3259">
        <f>E46</f>
        <v>0</v>
      </c>
      <c r="S46" s="3259"/>
      <c r="T46" s="3259">
        <f>G46</f>
        <v>0</v>
      </c>
      <c r="U46" s="3259"/>
      <c r="V46" s="3259">
        <f>I46</f>
        <v>0</v>
      </c>
      <c r="W46" s="3259"/>
      <c r="X46" s="756"/>
      <c r="Y46" s="778"/>
      <c r="Z46" s="756"/>
      <c r="AA46" s="756"/>
      <c r="AB46" s="756"/>
      <c r="AC46" s="756"/>
    </row>
    <row r="47" spans="1:29" ht="15.75" thickBot="1">
      <c r="A47" s="485" t="s">
        <v>2656</v>
      </c>
      <c r="B47" s="680"/>
      <c r="C47" s="489" t="e">
        <f>R48</f>
        <v>#DIV/0!</v>
      </c>
      <c r="D47" s="488"/>
      <c r="E47" s="489" t="e">
        <f>R47</f>
        <v>#DIV/0!</v>
      </c>
      <c r="F47" s="490"/>
      <c r="G47" s="487" t="e">
        <f>T47</f>
        <v>#DIV/0!</v>
      </c>
      <c r="H47" s="488"/>
      <c r="I47" s="489" t="e">
        <f>V47</f>
        <v>#DIV/0!</v>
      </c>
      <c r="J47" s="488"/>
      <c r="K47" s="781"/>
      <c r="L47" s="1138"/>
      <c r="M47" s="1139"/>
      <c r="N47" s="1139"/>
      <c r="O47" s="1139"/>
      <c r="P47" s="3271" t="str">
        <f>A47</f>
        <v>比较价值（元/平方米）</v>
      </c>
      <c r="Q47" s="3271"/>
      <c r="R47" s="3320" t="e">
        <f>ROUND(PRODUCT(R46,AA7:AA45),0)</f>
        <v>#DIV/0!</v>
      </c>
      <c r="S47" s="3320"/>
      <c r="T47" s="3320" t="e">
        <f>ROUND(PRODUCT(T46,AB7:AB45),0)</f>
        <v>#DIV/0!</v>
      </c>
      <c r="U47" s="3320"/>
      <c r="V47" s="3320" t="e">
        <f>ROUND(PRODUCT(V46,AC7:AC45),0)</f>
        <v>#DIV/0!</v>
      </c>
      <c r="W47" s="3320"/>
      <c r="X47" s="756"/>
      <c r="Y47" s="756"/>
      <c r="Z47" s="756"/>
      <c r="AA47" s="756"/>
      <c r="AB47" s="756"/>
      <c r="AC47" s="756"/>
    </row>
    <row r="48" spans="1:29" ht="15.75" thickBot="1">
      <c r="A48" s="491" t="s">
        <v>2743</v>
      </c>
      <c r="B48" s="492"/>
      <c r="C48" s="493" t="e">
        <f>R48</f>
        <v>#DIV/0!</v>
      </c>
      <c r="D48" s="493"/>
      <c r="E48" s="493"/>
      <c r="F48" s="493"/>
      <c r="G48" s="493"/>
      <c r="H48" s="493"/>
      <c r="I48" s="493"/>
      <c r="J48" s="493"/>
      <c r="K48" s="782"/>
      <c r="L48" s="1138"/>
      <c r="M48" s="1139"/>
      <c r="N48" s="1139"/>
      <c r="O48" s="1139"/>
      <c r="P48" s="3288" t="str">
        <f>A48</f>
        <v>估价对象XX用房的比较价值（楼面单价，元/平方米）</v>
      </c>
      <c r="Q48" s="3289"/>
      <c r="R48" s="3321" t="e">
        <f>ROUND(AVERAGE(R47:V47),0)</f>
        <v>#DIV/0!</v>
      </c>
      <c r="S48" s="3321"/>
      <c r="T48" s="3321"/>
      <c r="U48" s="3321"/>
      <c r="V48" s="3321"/>
      <c r="W48" s="3321"/>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9"/>
      <c r="D54" s="757"/>
      <c r="E54" s="757"/>
      <c r="F54" s="757"/>
      <c r="G54" s="757"/>
      <c r="H54" s="757"/>
      <c r="I54" s="757"/>
      <c r="J54" s="757"/>
      <c r="K54" s="1143"/>
      <c r="L54" s="1144"/>
      <c r="M54" s="1140"/>
      <c r="N54" s="1140"/>
      <c r="O54" s="1140"/>
    </row>
    <row r="55" spans="1:15" ht="27" customHeight="1">
      <c r="A55" s="681" t="s">
        <v>2744</v>
      </c>
      <c r="B55" s="682" t="s">
        <v>2745</v>
      </c>
      <c r="C55" s="2698" t="s">
        <v>2746</v>
      </c>
      <c r="D55" s="2699" t="s">
        <v>2747</v>
      </c>
      <c r="E55" s="683" t="s">
        <v>2748</v>
      </c>
      <c r="F55" s="1102" t="s">
        <v>2749</v>
      </c>
      <c r="G55" s="3246" t="s">
        <v>2750</v>
      </c>
      <c r="H55" s="3322"/>
      <c r="I55" s="143" t="s">
        <v>2751</v>
      </c>
      <c r="J55" s="2700">
        <f>项目基本情况!F35</f>
        <v>0</v>
      </c>
      <c r="K55" s="2701" t="s">
        <v>2752</v>
      </c>
      <c r="L55" s="1101"/>
      <c r="M55" s="1139"/>
      <c r="N55" s="1139"/>
      <c r="O55" s="1139"/>
    </row>
    <row r="56" spans="1:15" s="689" customFormat="1">
      <c r="A56" s="685" t="s">
        <v>2753</v>
      </c>
      <c r="B56" s="686" t="e">
        <f>C48</f>
        <v>#DIV/0!</v>
      </c>
      <c r="C56" s="687">
        <v>1</v>
      </c>
      <c r="D56" s="1158">
        <v>1</v>
      </c>
      <c r="E56" s="687">
        <f>'数据-汇总表'!E8+'数据-汇总表'!E9</f>
        <v>10636.68</v>
      </c>
      <c r="F56" s="1098" t="e">
        <f t="shared" ref="F56:F65" si="15">ROUND(B56*E56/10000,0)</f>
        <v>#DIV/0!</v>
      </c>
      <c r="G56" s="3242"/>
      <c r="H56" s="3271"/>
      <c r="I56" s="1103">
        <v>1</v>
      </c>
      <c r="J56" s="1106">
        <v>1</v>
      </c>
      <c r="K56" s="1140"/>
      <c r="L56" s="936"/>
      <c r="M56" s="936"/>
      <c r="N56" s="936"/>
      <c r="O56" s="936"/>
    </row>
    <row r="57" spans="1:15" s="689" customFormat="1">
      <c r="A57" s="690" t="s">
        <v>2754</v>
      </c>
      <c r="B57" s="261" t="e">
        <f>ROUND($C$48*C57*D57,0)</f>
        <v>#DIV/0!</v>
      </c>
      <c r="C57" s="199">
        <f t="shared" ref="C57:C65" si="16">IF($C$55="北京市系数",I57,J57)</f>
        <v>0</v>
      </c>
      <c r="D57" s="1159">
        <v>0.25</v>
      </c>
      <c r="E57" s="691"/>
      <c r="F57" s="1098" t="e">
        <f t="shared" si="15"/>
        <v>#DIV/0!</v>
      </c>
      <c r="G57" s="3323" t="s">
        <v>2755</v>
      </c>
      <c r="H57" s="1099">
        <f>项目基本情况!B37</f>
        <v>0</v>
      </c>
      <c r="I57" s="1103">
        <f>SUMIF(修正!A45:A56,H57,修正!B45:B56)</f>
        <v>0</v>
      </c>
      <c r="J57" s="1107"/>
      <c r="K57" s="1139"/>
      <c r="L57" s="936"/>
      <c r="M57" s="936"/>
      <c r="N57" s="936"/>
      <c r="O57" s="936"/>
    </row>
    <row r="58" spans="1:15" s="689" customFormat="1">
      <c r="A58" s="690" t="s">
        <v>2756</v>
      </c>
      <c r="B58" s="261" t="e">
        <f t="shared" ref="B58:B65" si="17">ROUND($C$48*C58*D58,0)</f>
        <v>#DIV/0!</v>
      </c>
      <c r="C58" s="199">
        <f t="shared" si="16"/>
        <v>0</v>
      </c>
      <c r="D58" s="1159">
        <v>0.25</v>
      </c>
      <c r="E58" s="691"/>
      <c r="F58" s="1098" t="e">
        <f t="shared" si="15"/>
        <v>#DIV/0!</v>
      </c>
      <c r="G58" s="3323"/>
      <c r="H58" s="1099">
        <f>项目基本情况!B37</f>
        <v>0</v>
      </c>
      <c r="I58" s="1103">
        <f>SUMIF(修正!A45:A56,H58,修正!C45:C56)</f>
        <v>0</v>
      </c>
      <c r="J58" s="1107"/>
      <c r="K58" s="1140"/>
      <c r="L58" s="936"/>
      <c r="M58" s="936"/>
      <c r="N58" s="936"/>
      <c r="O58" s="936"/>
    </row>
    <row r="59" spans="1:15" s="689" customFormat="1">
      <c r="A59" s="690" t="s">
        <v>2757</v>
      </c>
      <c r="B59" s="261" t="e">
        <f t="shared" si="17"/>
        <v>#DIV/0!</v>
      </c>
      <c r="C59" s="199">
        <f t="shared" si="16"/>
        <v>0</v>
      </c>
      <c r="D59" s="1159">
        <v>0.25</v>
      </c>
      <c r="E59" s="691"/>
      <c r="F59" s="1098" t="e">
        <f t="shared" si="15"/>
        <v>#DIV/0!</v>
      </c>
      <c r="G59" s="3323"/>
      <c r="H59" s="1099">
        <f>项目基本情况!B37</f>
        <v>0</v>
      </c>
      <c r="I59" s="1103">
        <f>SUMIF(修正!A45:A56,H59,修正!D45:D56)</f>
        <v>0</v>
      </c>
      <c r="J59" s="1107"/>
      <c r="K59" s="1139"/>
      <c r="L59" s="936"/>
      <c r="M59" s="936"/>
      <c r="N59" s="936"/>
      <c r="O59" s="936"/>
    </row>
    <row r="60" spans="1:15" s="689" customFormat="1">
      <c r="A60" s="690" t="s">
        <v>2758</v>
      </c>
      <c r="B60" s="261" t="e">
        <f t="shared" si="17"/>
        <v>#DIV/0!</v>
      </c>
      <c r="C60" s="199">
        <f t="shared" si="16"/>
        <v>0</v>
      </c>
      <c r="D60" s="1159">
        <v>0.25</v>
      </c>
      <c r="E60" s="691"/>
      <c r="F60" s="1098" t="e">
        <f t="shared" si="15"/>
        <v>#DIV/0!</v>
      </c>
      <c r="G60" s="3323"/>
      <c r="H60" s="1099">
        <f>项目基本情况!B37</f>
        <v>0</v>
      </c>
      <c r="I60" s="1103">
        <f>SUMIF(修正!A45:A56,H60,修正!E45:E56)</f>
        <v>0</v>
      </c>
      <c r="J60" s="1107"/>
      <c r="K60" s="1140"/>
      <c r="L60" s="936"/>
      <c r="M60" s="936"/>
      <c r="N60" s="936"/>
      <c r="O60" s="936"/>
    </row>
    <row r="61" spans="1:15" s="689" customFormat="1">
      <c r="A61" s="690" t="s">
        <v>2759</v>
      </c>
      <c r="B61" s="261" t="e">
        <f t="shared" si="17"/>
        <v>#DIV/0!</v>
      </c>
      <c r="C61" s="199">
        <f t="shared" si="16"/>
        <v>0</v>
      </c>
      <c r="D61" s="1159">
        <v>0.25</v>
      </c>
      <c r="E61" s="260">
        <f>'数据-汇总表'!E11</f>
        <v>0</v>
      </c>
      <c r="F61" s="1098" t="e">
        <f t="shared" si="15"/>
        <v>#DIV/0!</v>
      </c>
      <c r="G61" s="2702" t="s">
        <v>2760</v>
      </c>
      <c r="H61" s="1099">
        <f>项目基本情况!C37</f>
        <v>0</v>
      </c>
      <c r="I61" s="1103">
        <f>SUMIF(修正!A45:A56,H61,修正!F45:F56)</f>
        <v>0</v>
      </c>
      <c r="J61" s="1107"/>
      <c r="K61" s="1139"/>
      <c r="L61" s="936"/>
      <c r="M61" s="936"/>
      <c r="N61" s="936"/>
      <c r="O61" s="936"/>
    </row>
    <row r="62" spans="1:15" s="689" customFormat="1">
      <c r="A62" s="690" t="s">
        <v>2761</v>
      </c>
      <c r="B62" s="261" t="e">
        <f t="shared" si="17"/>
        <v>#DIV/0!</v>
      </c>
      <c r="C62" s="199">
        <f t="shared" si="16"/>
        <v>0</v>
      </c>
      <c r="D62" s="1159">
        <v>0.25</v>
      </c>
      <c r="E62" s="260">
        <f>'数据-汇总表'!E12</f>
        <v>0</v>
      </c>
      <c r="F62" s="1098" t="e">
        <f t="shared" si="15"/>
        <v>#DIV/0!</v>
      </c>
      <c r="G62" s="1104" t="s">
        <v>2762</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2763</v>
      </c>
      <c r="B63" s="261" t="e">
        <f t="shared" si="17"/>
        <v>#DIV/0!</v>
      </c>
      <c r="C63" s="199">
        <f t="shared" si="16"/>
        <v>0</v>
      </c>
      <c r="D63" s="1159">
        <v>0.25</v>
      </c>
      <c r="E63" s="260">
        <f>'数据-汇总表'!E13</f>
        <v>0</v>
      </c>
      <c r="F63" s="1098" t="e">
        <f t="shared" si="15"/>
        <v>#DIV/0!</v>
      </c>
      <c r="G63" s="1104" t="s">
        <v>2764</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2765</v>
      </c>
      <c r="B64" s="261" t="e">
        <f t="shared" si="17"/>
        <v>#DIV/0!</v>
      </c>
      <c r="C64" s="199">
        <f t="shared" si="16"/>
        <v>0</v>
      </c>
      <c r="D64" s="1159">
        <v>0.25</v>
      </c>
      <c r="E64" s="260">
        <f>'数据-汇总表'!E14</f>
        <v>0</v>
      </c>
      <c r="F64" s="1098" t="e">
        <f t="shared" si="15"/>
        <v>#DIV/0!</v>
      </c>
      <c r="G64" s="2702" t="s">
        <v>2755</v>
      </c>
      <c r="H64" s="1099">
        <f>项目基本情况!B37</f>
        <v>0</v>
      </c>
      <c r="I64" s="1103">
        <f>SUMIF(修正!A45:A56,H64,修正!H45:H56)</f>
        <v>0</v>
      </c>
      <c r="J64" s="1107"/>
      <c r="K64" s="1140"/>
      <c r="L64" s="936"/>
      <c r="M64" s="936"/>
      <c r="N64" s="936"/>
      <c r="O64" s="936"/>
    </row>
    <row r="65" spans="1:17" s="689" customFormat="1" ht="15" thickBot="1">
      <c r="A65" s="690" t="s">
        <v>2766</v>
      </c>
      <c r="B65" s="261" t="e">
        <f t="shared" si="17"/>
        <v>#DIV/0!</v>
      </c>
      <c r="C65" s="199">
        <f t="shared" si="16"/>
        <v>0</v>
      </c>
      <c r="D65" s="1159">
        <v>0.25</v>
      </c>
      <c r="E65" s="260">
        <f>'数据-汇总表'!E15</f>
        <v>991.5300000000002</v>
      </c>
      <c r="F65" s="1098" t="e">
        <f t="shared" si="15"/>
        <v>#DIV/0!</v>
      </c>
      <c r="G65" s="2703" t="s">
        <v>2760</v>
      </c>
      <c r="H65" s="1109">
        <f>项目基本情况!C37</f>
        <v>0</v>
      </c>
      <c r="I65" s="1105">
        <f>SUMIF(修正!A45:A56,H65,修正!H45:H56)</f>
        <v>0</v>
      </c>
      <c r="J65" s="1108"/>
      <c r="K65" s="1139"/>
      <c r="L65" s="936"/>
      <c r="M65" s="936"/>
      <c r="N65" s="936"/>
      <c r="O65" s="936"/>
    </row>
    <row r="66" spans="1:17" s="689" customFormat="1" ht="13.5" thickBot="1">
      <c r="A66" s="692" t="s">
        <v>2767</v>
      </c>
      <c r="B66" s="693" t="s">
        <v>28</v>
      </c>
      <c r="C66" s="693" t="s">
        <v>29</v>
      </c>
      <c r="D66" s="693" t="s">
        <v>1029</v>
      </c>
      <c r="E66" s="693">
        <f>IF(B46="楼面地价",SUM(E56:E65),'数据-汇总表'!D3)</f>
        <v>11628.210000000001</v>
      </c>
      <c r="F66" s="694" t="e">
        <f>IF(B46="楼面地价",SUM(F56:F65),ROUND(C48*E66/10000,0))</f>
        <v>#DIV/0!</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2661</v>
      </c>
      <c r="B69" s="756"/>
      <c r="C69" s="761"/>
      <c r="D69" s="761"/>
      <c r="E69" s="761"/>
      <c r="F69" s="762"/>
      <c r="G69" s="762"/>
      <c r="H69" s="761"/>
      <c r="I69" s="761"/>
      <c r="J69" s="1154"/>
      <c r="K69" s="1155"/>
      <c r="L69" s="1156"/>
      <c r="M69" s="1154"/>
      <c r="N69" s="1154"/>
      <c r="O69" s="1154"/>
      <c r="P69" s="502"/>
      <c r="Q69" s="503"/>
    </row>
    <row r="70" spans="1:17" s="507" customFormat="1" ht="15">
      <c r="A70" s="2704" t="s">
        <v>2768</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6"/>
    </row>
    <row r="71" spans="1:17" s="117" customFormat="1" ht="30" customHeight="1">
      <c r="A71" s="2705" t="s">
        <v>2769</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2"/>
      <c r="N71" s="594"/>
      <c r="O71" s="1563"/>
      <c r="P71" s="503"/>
    </row>
    <row r="72" spans="1:17" s="117" customFormat="1" ht="15.75" thickBot="1">
      <c r="A72" s="514" t="s">
        <v>2573</v>
      </c>
      <c r="B72" s="515"/>
      <c r="C72" s="516"/>
      <c r="D72" s="517"/>
      <c r="E72" s="517"/>
      <c r="F72" s="517"/>
      <c r="G72" s="517"/>
      <c r="H72" s="517"/>
      <c r="I72" s="517"/>
      <c r="J72" s="517"/>
      <c r="K72" s="517"/>
      <c r="L72" s="517"/>
      <c r="M72" s="518"/>
      <c r="N72" s="517"/>
      <c r="O72" s="1157"/>
      <c r="P72" s="503"/>
      <c r="Q72" s="503"/>
    </row>
    <row r="73" spans="1:17" s="117" customFormat="1" ht="15">
      <c r="A73" s="520" t="s">
        <v>2538</v>
      </c>
      <c r="B73" s="509"/>
      <c r="C73" s="521" t="s">
        <v>2640</v>
      </c>
      <c r="D73" s="522"/>
      <c r="E73" s="522"/>
      <c r="F73" s="522"/>
      <c r="G73" s="522"/>
      <c r="H73" s="522"/>
      <c r="I73" s="522"/>
      <c r="J73" s="522"/>
      <c r="K73" s="522"/>
      <c r="L73" s="523"/>
      <c r="M73" s="524"/>
      <c r="N73" s="1146"/>
      <c r="O73" s="1146"/>
      <c r="P73" s="525"/>
      <c r="Q73" s="503"/>
    </row>
    <row r="74" spans="1:17" s="117" customFormat="1" ht="15.75" thickBot="1">
      <c r="A74" s="520"/>
      <c r="B74" s="509"/>
      <c r="C74" s="636">
        <v>100</v>
      </c>
      <c r="D74" s="511"/>
      <c r="E74" s="511"/>
      <c r="F74" s="511"/>
      <c r="G74" s="511"/>
      <c r="H74" s="511"/>
      <c r="I74" s="511"/>
      <c r="J74" s="511"/>
      <c r="K74" s="511"/>
      <c r="L74" s="511"/>
      <c r="M74" s="513"/>
      <c r="N74" s="1146"/>
      <c r="O74" s="1146"/>
      <c r="P74" s="503"/>
      <c r="Q74" s="503"/>
    </row>
    <row r="75" spans="1:17">
      <c r="A75" s="526" t="s">
        <v>2576</v>
      </c>
      <c r="B75" s="527" t="s">
        <v>2542</v>
      </c>
      <c r="C75" s="529"/>
      <c r="D75" s="529"/>
      <c r="E75" s="529"/>
      <c r="F75" s="529"/>
      <c r="G75" s="529"/>
      <c r="H75" s="529"/>
      <c r="I75" s="529"/>
      <c r="J75" s="529"/>
      <c r="K75" s="530"/>
      <c r="L75" s="531"/>
      <c r="M75" s="532"/>
      <c r="N75" s="1147"/>
      <c r="O75" s="1147"/>
      <c r="P75" s="45"/>
      <c r="Q75" s="503"/>
    </row>
    <row r="76" spans="1:17" ht="15.75" thickBot="1">
      <c r="A76" s="533"/>
      <c r="B76" s="534"/>
      <c r="C76" s="535"/>
      <c r="D76" s="535"/>
      <c r="E76" s="535"/>
      <c r="F76" s="535"/>
      <c r="G76" s="535"/>
      <c r="H76" s="535"/>
      <c r="I76" s="535"/>
      <c r="J76" s="535"/>
      <c r="K76" s="535"/>
      <c r="L76" s="535"/>
      <c r="M76" s="536"/>
      <c r="N76" s="1148"/>
      <c r="O76" s="1148"/>
      <c r="P76" s="45"/>
      <c r="Q76" s="503"/>
    </row>
    <row r="77" spans="1:17" ht="27.75" thickTop="1">
      <c r="A77" s="533"/>
      <c r="B77" s="537" t="s">
        <v>2545</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5"/>
      <c r="Q79" s="503"/>
    </row>
    <row r="80" spans="1:17" ht="15">
      <c r="A80" s="533"/>
      <c r="B80" s="547"/>
      <c r="C80" s="548"/>
      <c r="D80" s="548"/>
      <c r="E80" s="548"/>
      <c r="F80" s="548"/>
      <c r="G80" s="548"/>
      <c r="H80" s="548"/>
      <c r="I80" s="548"/>
      <c r="J80" s="548"/>
      <c r="K80" s="549"/>
      <c r="L80" s="550"/>
      <c r="M80" s="551"/>
      <c r="N80" s="1147"/>
      <c r="O80" s="1147"/>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2770</v>
      </c>
      <c r="C90" s="577" t="s">
        <v>2585</v>
      </c>
      <c r="D90" s="577" t="s">
        <v>2586</v>
      </c>
      <c r="E90" s="577" t="s">
        <v>2587</v>
      </c>
      <c r="F90" s="577" t="s">
        <v>2588</v>
      </c>
      <c r="G90" s="577" t="s">
        <v>2589</v>
      </c>
      <c r="H90" s="538"/>
      <c r="I90" s="538"/>
      <c r="J90" s="538"/>
      <c r="K90" s="539"/>
      <c r="L90" s="540"/>
      <c r="M90" s="541"/>
      <c r="N90" s="1147"/>
      <c r="O90" s="1147"/>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5"/>
      <c r="Q91" s="503"/>
    </row>
    <row r="92" spans="1:17" ht="15.75" thickTop="1">
      <c r="A92" s="533"/>
      <c r="B92" s="537" t="s">
        <v>2684</v>
      </c>
      <c r="C92" s="577" t="s">
        <v>2585</v>
      </c>
      <c r="D92" s="577" t="s">
        <v>2586</v>
      </c>
      <c r="E92" s="577" t="s">
        <v>2587</v>
      </c>
      <c r="F92" s="577" t="s">
        <v>2588</v>
      </c>
      <c r="G92" s="577" t="s">
        <v>2589</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7"/>
      <c r="O94" s="1147"/>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5"/>
      <c r="Q95" s="503"/>
    </row>
    <row r="96" spans="1:17" s="117" customFormat="1" ht="15.75" thickTop="1">
      <c r="A96" s="578"/>
      <c r="B96" s="537" t="s">
        <v>2771</v>
      </c>
      <c r="C96" s="577" t="s">
        <v>2585</v>
      </c>
      <c r="D96" s="577" t="s">
        <v>2586</v>
      </c>
      <c r="E96" s="577" t="s">
        <v>2587</v>
      </c>
      <c r="F96" s="577" t="s">
        <v>2588</v>
      </c>
      <c r="G96" s="577" t="s">
        <v>2589</v>
      </c>
      <c r="H96" s="577"/>
      <c r="I96" s="577"/>
      <c r="J96" s="577"/>
      <c r="K96" s="577"/>
      <c r="L96" s="695"/>
      <c r="M96" s="619"/>
      <c r="N96" s="1146"/>
      <c r="O96" s="1146"/>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5"/>
      <c r="Q97" s="503"/>
    </row>
    <row r="98" spans="1:17" s="117" customFormat="1" ht="27.75" thickTop="1">
      <c r="A98" s="578"/>
      <c r="B98" s="537" t="s">
        <v>2772</v>
      </c>
      <c r="C98" s="572" t="s">
        <v>2585</v>
      </c>
      <c r="D98" s="572" t="s">
        <v>2586</v>
      </c>
      <c r="E98" s="572" t="s">
        <v>2587</v>
      </c>
      <c r="F98" s="572" t="s">
        <v>2588</v>
      </c>
      <c r="G98" s="572" t="s">
        <v>2589</v>
      </c>
      <c r="H98" s="577"/>
      <c r="I98" s="577"/>
      <c r="J98" s="577"/>
      <c r="K98" s="577"/>
      <c r="L98" s="577"/>
      <c r="M98" s="619"/>
      <c r="N98" s="1146"/>
      <c r="O98" s="1146"/>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2643</v>
      </c>
      <c r="C102" s="657" t="s">
        <v>2662</v>
      </c>
      <c r="D102" s="657" t="s">
        <v>2663</v>
      </c>
      <c r="E102" s="657" t="s">
        <v>2664</v>
      </c>
      <c r="F102" s="657" t="s">
        <v>2665</v>
      </c>
      <c r="G102" s="657" t="s">
        <v>2666</v>
      </c>
      <c r="H102" s="599"/>
      <c r="I102" s="599"/>
      <c r="J102" s="599"/>
      <c r="K102" s="599"/>
      <c r="L102" s="599"/>
      <c r="M102" s="1380"/>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49"/>
      <c r="O103" s="1149"/>
      <c r="P103" s="557"/>
      <c r="Q103" s="558"/>
    </row>
    <row r="104" spans="1:17" ht="15.75" thickTop="1">
      <c r="A104" s="533"/>
      <c r="B104" s="537" t="str">
        <f>B31</f>
        <v>临街状况</v>
      </c>
      <c r="C104" s="538" t="s">
        <v>2773</v>
      </c>
      <c r="D104" s="538" t="s">
        <v>2774</v>
      </c>
      <c r="E104" s="538" t="s">
        <v>2775</v>
      </c>
      <c r="F104" s="538" t="s">
        <v>2776</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2678</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2736</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2"/>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4"/>
      <c r="E115" s="674"/>
      <c r="F115" s="674"/>
      <c r="G115" s="674"/>
      <c r="H115" s="674"/>
      <c r="I115" s="674"/>
      <c r="J115" s="674"/>
      <c r="K115" s="674"/>
      <c r="L115" s="674"/>
      <c r="M115" s="696"/>
      <c r="N115" s="1148"/>
      <c r="O115" s="1148"/>
      <c r="P115" s="557"/>
      <c r="Q115" s="558"/>
    </row>
    <row r="116" spans="1:17">
      <c r="A116" s="526" t="s">
        <v>2551</v>
      </c>
      <c r="B116" s="527" t="s">
        <v>2777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2778</v>
      </c>
      <c r="C119" s="582"/>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5"/>
      <c r="Q120" s="503"/>
    </row>
    <row r="121" spans="1:17" ht="15" thickTop="1">
      <c r="A121" s="598"/>
      <c r="B121" s="537" t="s">
        <v>2779</v>
      </c>
      <c r="C121" s="553"/>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5"/>
      <c r="Q122" s="503"/>
    </row>
    <row r="123" spans="1:17" s="470" customFormat="1" ht="15" thickTop="1">
      <c r="A123" s="592"/>
      <c r="B123" s="537" t="s">
        <v>2780</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2781</v>
      </c>
      <c r="C125" s="553"/>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7"/>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2730</v>
      </c>
      <c r="B1" s="394"/>
      <c r="C1" s="395" t="s">
        <v>2782</v>
      </c>
      <c r="D1" s="752"/>
      <c r="E1" s="752"/>
      <c r="F1" s="751" t="s">
        <v>2631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2315</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2317</v>
      </c>
      <c r="B3" s="608" t="e">
        <f>ROUND(IF(D3="",B2*10000/'数据-汇总表'!E3,B2*10000/D3),0)</f>
        <v>#DIV/0!</v>
      </c>
      <c r="C3" s="246"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2633</v>
      </c>
      <c r="B4" s="401"/>
      <c r="C4" s="3246" t="s">
        <v>2634</v>
      </c>
      <c r="D4" s="3247"/>
      <c r="E4" s="3248" t="s">
        <v>2635</v>
      </c>
      <c r="F4" s="3249"/>
      <c r="G4" s="3246" t="s">
        <v>2636</v>
      </c>
      <c r="H4" s="3247"/>
      <c r="I4" s="3246" t="s">
        <v>2637</v>
      </c>
      <c r="J4" s="3247"/>
      <c r="K4" s="609" t="s">
        <v>2638</v>
      </c>
      <c r="L4" s="1125"/>
      <c r="M4" s="1126"/>
      <c r="N4" s="1126"/>
      <c r="O4" s="1126"/>
      <c r="P4" s="3282" t="s">
        <v>2639</v>
      </c>
      <c r="Q4" s="3283"/>
      <c r="R4" s="3277" t="s">
        <v>2635</v>
      </c>
      <c r="S4" s="3278"/>
      <c r="T4" s="3277" t="s">
        <v>2636</v>
      </c>
      <c r="U4" s="3278"/>
      <c r="V4" s="3259" t="s">
        <v>2637</v>
      </c>
      <c r="W4" s="3259"/>
      <c r="X4" s="1808"/>
      <c r="Y4" s="3277" t="s">
        <v>2639</v>
      </c>
      <c r="Z4" s="3278"/>
      <c r="AA4" s="3276" t="s">
        <v>2635</v>
      </c>
      <c r="AB4" s="3224" t="s">
        <v>2636</v>
      </c>
      <c r="AC4" s="3276" t="s">
        <v>2637</v>
      </c>
    </row>
    <row r="5" spans="1:29" ht="15">
      <c r="A5" s="403"/>
      <c r="B5" s="404"/>
      <c r="C5" s="3234" t="s">
        <v>2530</v>
      </c>
      <c r="D5" s="3235"/>
      <c r="E5" s="3319" t="s">
        <v>2531</v>
      </c>
      <c r="F5" s="3233"/>
      <c r="G5" s="3234" t="s">
        <v>2532</v>
      </c>
      <c r="H5" s="3235"/>
      <c r="I5" s="3234" t="s">
        <v>2533</v>
      </c>
      <c r="J5" s="3235"/>
      <c r="K5" s="609"/>
      <c r="L5" s="1125"/>
      <c r="M5" s="1126"/>
      <c r="N5" s="1126"/>
      <c r="O5" s="1126"/>
      <c r="P5" s="3284"/>
      <c r="Q5" s="3253"/>
      <c r="R5" s="3230"/>
      <c r="S5" s="3231"/>
      <c r="T5" s="3230"/>
      <c r="U5" s="3231"/>
      <c r="V5" s="3259"/>
      <c r="W5" s="3259"/>
      <c r="X5" s="1808"/>
      <c r="Y5" s="3230"/>
      <c r="Z5" s="3231"/>
      <c r="AA5" s="3224"/>
      <c r="AB5" s="3224"/>
      <c r="AC5" s="3224"/>
    </row>
    <row r="6" spans="1:29" ht="15.75" thickBot="1">
      <c r="A6" s="405"/>
      <c r="B6" s="406"/>
      <c r="C6" s="3324" t="s">
        <v>2783</v>
      </c>
      <c r="D6" s="3325"/>
      <c r="E6" s="3326" t="s">
        <v>2783</v>
      </c>
      <c r="F6" s="3327"/>
      <c r="G6" s="3324" t="s">
        <v>2783</v>
      </c>
      <c r="H6" s="3325"/>
      <c r="I6" s="3324" t="s">
        <v>2783</v>
      </c>
      <c r="J6" s="3325"/>
      <c r="K6" s="609" t="s">
        <v>2535</v>
      </c>
      <c r="L6" s="1125"/>
      <c r="M6" s="1126"/>
      <c r="N6" s="1126"/>
      <c r="O6" s="1126"/>
      <c r="P6" s="3285"/>
      <c r="Q6" s="3255"/>
      <c r="R6" s="3230"/>
      <c r="S6" s="3231"/>
      <c r="T6" s="3256"/>
      <c r="U6" s="3257"/>
      <c r="V6" s="3259"/>
      <c r="W6" s="3259"/>
      <c r="X6" s="1808"/>
      <c r="Y6" s="3256"/>
      <c r="Z6" s="3257"/>
      <c r="AA6" s="3225"/>
      <c r="AB6" s="3225"/>
      <c r="AC6" s="3225"/>
    </row>
    <row r="7" spans="1:29" s="117" customFormat="1" ht="15.75" thickBot="1">
      <c r="A7" s="407" t="s">
        <v>2536</v>
      </c>
      <c r="B7" s="408"/>
      <c r="C7" s="409">
        <f>'数据-取费表'!B2</f>
        <v>43185</v>
      </c>
      <c r="D7" s="410">
        <v>100</v>
      </c>
      <c r="E7" s="411"/>
      <c r="F7" s="412">
        <f>SUMIF(65:65,YEAR(E7)&amp;"-"&amp;INT((MONTH(E7)+2)/3),66:66)</f>
        <v>0</v>
      </c>
      <c r="G7" s="2689"/>
      <c r="H7" s="410">
        <f>SUMIF(65:65,YEAR(G7)&amp;"-"&amp;INT((MONTH(G7)+2)/3),66:66)</f>
        <v>0</v>
      </c>
      <c r="I7" s="2689"/>
      <c r="J7" s="410">
        <f>SUMIF(65:65,YEAR(I7)&amp;"-"&amp;INT((MONTH(I7)+2)/3),66:66)</f>
        <v>0</v>
      </c>
      <c r="K7" s="610"/>
      <c r="L7" s="1127"/>
      <c r="M7" s="1128"/>
      <c r="N7" s="1128"/>
      <c r="O7" s="1128"/>
      <c r="P7" s="3226" t="s">
        <v>2537</v>
      </c>
      <c r="Q7" s="3261"/>
      <c r="R7" s="767" t="s">
        <v>17</v>
      </c>
      <c r="S7" s="768">
        <f t="shared" ref="S7:S15" si="0">F7</f>
        <v>0</v>
      </c>
      <c r="T7" s="767" t="s">
        <v>17</v>
      </c>
      <c r="U7" s="768">
        <f t="shared" ref="U7:U15" si="1">H7</f>
        <v>0</v>
      </c>
      <c r="V7" s="767" t="s">
        <v>17</v>
      </c>
      <c r="W7" s="768">
        <f t="shared" ref="W7:W15" si="2">J7</f>
        <v>0</v>
      </c>
      <c r="X7" s="769"/>
      <c r="Y7" s="3226" t="s">
        <v>2537</v>
      </c>
      <c r="Z7" s="3227"/>
      <c r="AA7" s="770" t="e">
        <f>D7/F7</f>
        <v>#DIV/0!</v>
      </c>
      <c r="AB7" s="770" t="e">
        <f>D7/H7</f>
        <v>#DIV/0!</v>
      </c>
      <c r="AC7" s="770"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26" t="s">
        <v>2540</v>
      </c>
      <c r="Q8" s="3227"/>
      <c r="R8" s="767" t="s">
        <v>17</v>
      </c>
      <c r="S8" s="768">
        <f t="shared" si="0"/>
        <v>0</v>
      </c>
      <c r="T8" s="767" t="s">
        <v>17</v>
      </c>
      <c r="U8" s="768">
        <f t="shared" si="1"/>
        <v>0</v>
      </c>
      <c r="V8" s="767" t="s">
        <v>17</v>
      </c>
      <c r="W8" s="768">
        <f t="shared" si="2"/>
        <v>0</v>
      </c>
      <c r="X8" s="769"/>
      <c r="Y8" s="3226" t="s">
        <v>2540</v>
      </c>
      <c r="Z8" s="3227"/>
      <c r="AA8" s="770" t="e">
        <f t="shared" ref="AA8:AA40" si="3">D8/F8</f>
        <v>#DIV/0!</v>
      </c>
      <c r="AB8" s="770" t="e">
        <f t="shared" ref="AB8:AB40" si="4">D8/H8</f>
        <v>#DIV/0!</v>
      </c>
      <c r="AC8" s="770" t="e">
        <f t="shared" ref="AC8:AC40" si="5">D8/J8</f>
        <v>#DIV/0!</v>
      </c>
    </row>
    <row r="9" spans="1:29" s="117" customFormat="1">
      <c r="A9" s="414" t="s">
        <v>2541</v>
      </c>
      <c r="B9" s="71" t="s">
        <v>2542</v>
      </c>
      <c r="C9" s="2692"/>
      <c r="D9" s="135">
        <v>100</v>
      </c>
      <c r="E9" s="2692"/>
      <c r="F9" s="135">
        <f>SUMIF(70:70,E9,71:71)-SUMIF(70:70,C9,71:71)+100</f>
        <v>100</v>
      </c>
      <c r="G9" s="2692"/>
      <c r="H9" s="135">
        <f>SUMIF(70:70,G9,71:71)-SUMIF(70:70,C9,71:71)+100</f>
        <v>100</v>
      </c>
      <c r="I9" s="2692"/>
      <c r="J9" s="135">
        <f>SUMIF(70:70,I9,71:71)-SUMIF(70:70,C9,71:71)+100</f>
        <v>100</v>
      </c>
      <c r="K9" s="610"/>
      <c r="L9" s="1127"/>
      <c r="M9" s="1128"/>
      <c r="N9" s="1128"/>
      <c r="O9" s="1129"/>
      <c r="P9" s="3271" t="s">
        <v>2543</v>
      </c>
      <c r="Q9" s="1790" t="str">
        <f t="shared" ref="Q9:Q15" si="6">B9</f>
        <v>用途</v>
      </c>
      <c r="R9" s="767" t="s">
        <v>17</v>
      </c>
      <c r="S9" s="768">
        <f t="shared" si="0"/>
        <v>100</v>
      </c>
      <c r="T9" s="767" t="s">
        <v>17</v>
      </c>
      <c r="U9" s="768">
        <f t="shared" si="1"/>
        <v>100</v>
      </c>
      <c r="V9" s="767" t="s">
        <v>17</v>
      </c>
      <c r="W9" s="768">
        <f t="shared" si="2"/>
        <v>100</v>
      </c>
      <c r="X9" s="769"/>
      <c r="Y9" s="3100" t="s">
        <v>2544</v>
      </c>
      <c r="Z9" s="55" t="str">
        <f t="shared" ref="Z9:Z15" si="7">Q9</f>
        <v>用途</v>
      </c>
      <c r="AA9" s="770">
        <f t="shared" si="3"/>
        <v>1</v>
      </c>
      <c r="AB9" s="770">
        <f t="shared" si="4"/>
        <v>1</v>
      </c>
      <c r="AC9" s="770">
        <f t="shared" si="5"/>
        <v>1</v>
      </c>
    </row>
    <row r="10" spans="1:29" s="426" customFormat="1" ht="27">
      <c r="A10" s="420"/>
      <c r="B10" s="421" t="s">
        <v>2545</v>
      </c>
      <c r="C10" s="431"/>
      <c r="D10" s="136">
        <v>100</v>
      </c>
      <c r="E10" s="431"/>
      <c r="F10" s="136">
        <f>ROUND(100/'数据-取费表'!G16,0)</f>
        <v>106</v>
      </c>
      <c r="G10" s="431"/>
      <c r="H10" s="136">
        <f>ROUND(100/'数据-取费表'!G16,0)</f>
        <v>106</v>
      </c>
      <c r="I10" s="431"/>
      <c r="J10" s="136">
        <f>ROUND(100/'数据-取费表'!G16,0)</f>
        <v>106</v>
      </c>
      <c r="K10" s="669"/>
      <c r="L10" s="1130"/>
      <c r="M10" s="1131"/>
      <c r="N10" s="1131"/>
      <c r="O10" s="1132"/>
      <c r="P10" s="3271"/>
      <c r="Q10" s="1790" t="str">
        <f t="shared" si="6"/>
        <v>土地使用年限（年）</v>
      </c>
      <c r="R10" s="767" t="s">
        <v>17</v>
      </c>
      <c r="S10" s="768">
        <f t="shared" si="0"/>
        <v>106</v>
      </c>
      <c r="T10" s="767" t="s">
        <v>17</v>
      </c>
      <c r="U10" s="768">
        <f t="shared" si="1"/>
        <v>106</v>
      </c>
      <c r="V10" s="767" t="s">
        <v>17</v>
      </c>
      <c r="W10" s="768">
        <f t="shared" si="2"/>
        <v>106</v>
      </c>
      <c r="X10" s="769"/>
      <c r="Y10" s="3100"/>
      <c r="Z10" s="55" t="str">
        <f t="shared" si="7"/>
        <v>土地使用年限（年）</v>
      </c>
      <c r="AA10" s="770">
        <f t="shared" si="3"/>
        <v>0.94339622641509435</v>
      </c>
      <c r="AB10" s="770">
        <f t="shared" si="4"/>
        <v>0.94339622641509435</v>
      </c>
      <c r="AC10" s="770">
        <f t="shared" si="5"/>
        <v>0.94339622641509435</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0"/>
      <c r="L11" s="1133"/>
      <c r="M11" s="1126"/>
      <c r="N11" s="1126"/>
      <c r="O11" s="1134"/>
      <c r="P11" s="3271"/>
      <c r="Q11" s="1790" t="str">
        <f t="shared" si="6"/>
        <v>容积率</v>
      </c>
      <c r="R11" s="767" t="s">
        <v>17</v>
      </c>
      <c r="S11" s="768" t="e">
        <f t="shared" si="0"/>
        <v>#N/A</v>
      </c>
      <c r="T11" s="767" t="s">
        <v>17</v>
      </c>
      <c r="U11" s="768" t="e">
        <f t="shared" si="1"/>
        <v>#N/A</v>
      </c>
      <c r="V11" s="767" t="s">
        <v>17</v>
      </c>
      <c r="W11" s="768" t="e">
        <f t="shared" si="2"/>
        <v>#N/A</v>
      </c>
      <c r="X11" s="769"/>
      <c r="Y11" s="3100"/>
      <c r="Z11" s="55" t="str">
        <f t="shared" si="7"/>
        <v>容积率</v>
      </c>
      <c r="AA11" s="770" t="e">
        <f t="shared" si="3"/>
        <v>#N/A</v>
      </c>
      <c r="AB11" s="770" t="e">
        <f t="shared" si="4"/>
        <v>#N/A</v>
      </c>
      <c r="AC11" s="770" t="e">
        <f t="shared" si="5"/>
        <v>#N/A</v>
      </c>
    </row>
    <row r="12" spans="1:29" s="117" customFormat="1" ht="15">
      <c r="A12" s="430"/>
      <c r="B12" s="2593">
        <v>111</v>
      </c>
      <c r="C12" s="431"/>
      <c r="D12" s="432">
        <v>100</v>
      </c>
      <c r="E12" s="548"/>
      <c r="F12" s="136">
        <f>SUMIF(77:77,E12,78:78)-SUMIF(77:77,C12,78:78)+100</f>
        <v>100</v>
      </c>
      <c r="G12" s="671"/>
      <c r="H12" s="136">
        <f>SUMIF(77:77,G12,78:78)-SUMIF(77:77,C12,78:78)+100</f>
        <v>100</v>
      </c>
      <c r="I12" s="548"/>
      <c r="J12" s="136">
        <f>SUMIF(77:77,I12,78:78)-SUMIF(77:77,C12,78:78)+100</f>
        <v>100</v>
      </c>
      <c r="K12" s="669"/>
      <c r="L12" s="1127"/>
      <c r="M12" s="1128"/>
      <c r="N12" s="1128"/>
      <c r="O12" s="1129"/>
      <c r="P12" s="3271"/>
      <c r="Q12" s="1790">
        <f t="shared" si="6"/>
        <v>111</v>
      </c>
      <c r="R12" s="767" t="s">
        <v>17</v>
      </c>
      <c r="S12" s="768">
        <f t="shared" si="0"/>
        <v>100</v>
      </c>
      <c r="T12" s="767" t="s">
        <v>17</v>
      </c>
      <c r="U12" s="768">
        <f t="shared" si="1"/>
        <v>100</v>
      </c>
      <c r="V12" s="767" t="s">
        <v>17</v>
      </c>
      <c r="W12" s="768">
        <f t="shared" si="2"/>
        <v>100</v>
      </c>
      <c r="X12" s="769"/>
      <c r="Y12" s="3100"/>
      <c r="Z12" s="55">
        <f t="shared" si="7"/>
        <v>111</v>
      </c>
      <c r="AA12" s="770">
        <f>D12/F12</f>
        <v>1</v>
      </c>
      <c r="AB12" s="770">
        <f>D12/H12</f>
        <v>1</v>
      </c>
      <c r="AC12" s="770">
        <f>D12/J12</f>
        <v>1</v>
      </c>
    </row>
    <row r="13" spans="1:29" ht="15">
      <c r="A13" s="427"/>
      <c r="B13" s="2593">
        <v>111</v>
      </c>
      <c r="C13" s="433"/>
      <c r="D13" s="434">
        <v>100</v>
      </c>
      <c r="E13" s="548"/>
      <c r="F13" s="136">
        <f>SUMIF(79:79,E13,80:80)-SUMIF(79:79,C13,80:80)+100</f>
        <v>100</v>
      </c>
      <c r="G13" s="671"/>
      <c r="H13" s="434">
        <f>SUMIF(79:79,G13,80:80)-SUMIF(79:79,C13,80:80)+100</f>
        <v>100</v>
      </c>
      <c r="I13" s="548"/>
      <c r="J13" s="434">
        <f>SUMIF(79:79,I13,80:80)-SUMIF(79:79,C13,80:80)+100</f>
        <v>100</v>
      </c>
      <c r="K13" s="669"/>
      <c r="L13" s="1135"/>
      <c r="M13" s="1126"/>
      <c r="N13" s="1126"/>
      <c r="O13" s="1134"/>
      <c r="P13" s="3271"/>
      <c r="Q13" s="1790">
        <f t="shared" si="6"/>
        <v>111</v>
      </c>
      <c r="R13" s="767" t="s">
        <v>17</v>
      </c>
      <c r="S13" s="768">
        <f t="shared" si="0"/>
        <v>100</v>
      </c>
      <c r="T13" s="767" t="s">
        <v>17</v>
      </c>
      <c r="U13" s="768">
        <f t="shared" si="1"/>
        <v>100</v>
      </c>
      <c r="V13" s="767" t="s">
        <v>17</v>
      </c>
      <c r="W13" s="768">
        <f t="shared" si="2"/>
        <v>100</v>
      </c>
      <c r="X13" s="769"/>
      <c r="Y13" s="3100"/>
      <c r="Z13" s="55">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1"/>
      <c r="H14" s="437">
        <f>SUMIF(81:81,G14,82:82)-SUMIF(81:81,C14,82:82)+100</f>
        <v>100</v>
      </c>
      <c r="I14" s="548"/>
      <c r="J14" s="437">
        <f>SUMIF(81:81,I14,82:82)-SUMIF(81:81,C14,82:82)+100</f>
        <v>100</v>
      </c>
      <c r="K14" s="669"/>
      <c r="L14" s="1135"/>
      <c r="M14" s="1126"/>
      <c r="N14" s="1126"/>
      <c r="O14" s="1134"/>
      <c r="P14" s="3271"/>
      <c r="Q14" s="1790">
        <f t="shared" si="6"/>
        <v>111</v>
      </c>
      <c r="R14" s="767" t="s">
        <v>17</v>
      </c>
      <c r="S14" s="768">
        <f t="shared" si="0"/>
        <v>100</v>
      </c>
      <c r="T14" s="767" t="s">
        <v>17</v>
      </c>
      <c r="U14" s="768">
        <f t="shared" si="1"/>
        <v>100</v>
      </c>
      <c r="V14" s="767" t="s">
        <v>17</v>
      </c>
      <c r="W14" s="768">
        <f t="shared" si="2"/>
        <v>100</v>
      </c>
      <c r="X14" s="769"/>
      <c r="Y14" s="3100"/>
      <c r="Z14" s="55">
        <f t="shared" si="7"/>
        <v>111</v>
      </c>
      <c r="AA14" s="770">
        <f t="shared" si="3"/>
        <v>1</v>
      </c>
      <c r="AB14" s="770">
        <f t="shared" si="4"/>
        <v>1</v>
      </c>
      <c r="AC14" s="770">
        <f t="shared" si="5"/>
        <v>1</v>
      </c>
    </row>
    <row r="15" spans="1:29" ht="15">
      <c r="A15" s="439" t="s">
        <v>2547</v>
      </c>
      <c r="B15" s="626" t="s">
        <v>2784</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0"/>
      <c r="L15" s="1135"/>
      <c r="M15" s="1126"/>
      <c r="N15" s="1126"/>
      <c r="O15" s="1134"/>
      <c r="P15" s="3264" t="s">
        <v>2548</v>
      </c>
      <c r="Q15" s="1805" t="str">
        <f t="shared" si="6"/>
        <v>产业集聚程度</v>
      </c>
      <c r="R15" s="771" t="s">
        <v>17</v>
      </c>
      <c r="S15" s="772">
        <f t="shared" si="0"/>
        <v>100</v>
      </c>
      <c r="T15" s="771" t="s">
        <v>17</v>
      </c>
      <c r="U15" s="772">
        <f t="shared" si="1"/>
        <v>100</v>
      </c>
      <c r="V15" s="771" t="s">
        <v>17</v>
      </c>
      <c r="W15" s="772">
        <f t="shared" si="2"/>
        <v>100</v>
      </c>
      <c r="X15" s="1808"/>
      <c r="Y15" s="3264" t="s">
        <v>2548</v>
      </c>
      <c r="Z15" s="1809" t="str">
        <f t="shared" si="7"/>
        <v>产业集聚程度</v>
      </c>
      <c r="AA15" s="1806">
        <f t="shared" si="3"/>
        <v>1</v>
      </c>
      <c r="AB15" s="1806">
        <f t="shared" si="4"/>
        <v>1</v>
      </c>
      <c r="AC15" s="1806">
        <f t="shared" si="5"/>
        <v>1</v>
      </c>
    </row>
    <row r="16" spans="1:29" ht="15">
      <c r="A16" s="427"/>
      <c r="B16" s="627"/>
      <c r="C16" s="446"/>
      <c r="D16" s="447"/>
      <c r="E16" s="2604"/>
      <c r="F16" s="447"/>
      <c r="G16" s="2604"/>
      <c r="H16" s="449"/>
      <c r="I16" s="2604"/>
      <c r="J16" s="447"/>
      <c r="K16" s="669"/>
      <c r="L16" s="1135"/>
      <c r="M16" s="1126"/>
      <c r="N16" s="1126"/>
      <c r="O16" s="1134"/>
      <c r="P16" s="3265"/>
      <c r="Q16" s="1805"/>
      <c r="R16" s="771"/>
      <c r="S16" s="772"/>
      <c r="T16" s="771"/>
      <c r="U16" s="772"/>
      <c r="V16" s="771"/>
      <c r="W16" s="772"/>
      <c r="X16" s="1808"/>
      <c r="Y16" s="3265"/>
      <c r="Z16" s="1809"/>
      <c r="AA16" s="1806">
        <v>1</v>
      </c>
      <c r="AB16" s="1806">
        <v>1</v>
      </c>
      <c r="AC16" s="1806">
        <v>1</v>
      </c>
    </row>
    <row r="17" spans="1:29" ht="15">
      <c r="A17" s="427"/>
      <c r="B17" s="628" t="s">
        <v>2696</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0"/>
      <c r="L17" s="1135"/>
      <c r="M17" s="1126"/>
      <c r="N17" s="1126"/>
      <c r="O17" s="1134"/>
      <c r="P17" s="3265"/>
      <c r="Q17" s="1805" t="str">
        <f>B17</f>
        <v>交通便捷度</v>
      </c>
      <c r="R17" s="771" t="s">
        <v>17</v>
      </c>
      <c r="S17" s="772">
        <f>F17</f>
        <v>100</v>
      </c>
      <c r="T17" s="771" t="s">
        <v>17</v>
      </c>
      <c r="U17" s="772">
        <f>H17</f>
        <v>100</v>
      </c>
      <c r="V17" s="771" t="s">
        <v>17</v>
      </c>
      <c r="W17" s="772">
        <f>J17</f>
        <v>100</v>
      </c>
      <c r="X17" s="1808"/>
      <c r="Y17" s="3265"/>
      <c r="Z17" s="1809" t="str">
        <f>Q17</f>
        <v>交通便捷度</v>
      </c>
      <c r="AA17" s="1806">
        <f t="shared" si="3"/>
        <v>1</v>
      </c>
      <c r="AB17" s="1806">
        <f t="shared" si="4"/>
        <v>1</v>
      </c>
      <c r="AC17" s="1806">
        <f t="shared" si="5"/>
        <v>1</v>
      </c>
    </row>
    <row r="18" spans="1:29" ht="15">
      <c r="A18" s="427"/>
      <c r="B18" s="629"/>
      <c r="C18" s="446"/>
      <c r="D18" s="447"/>
      <c r="E18" s="2598"/>
      <c r="F18" s="447"/>
      <c r="G18" s="2598"/>
      <c r="H18" s="447"/>
      <c r="I18" s="2597"/>
      <c r="J18" s="447"/>
      <c r="K18" s="669"/>
      <c r="L18" s="1135"/>
      <c r="M18" s="1126"/>
      <c r="N18" s="1126"/>
      <c r="O18" s="1134"/>
      <c r="P18" s="3265"/>
      <c r="Q18" s="1805"/>
      <c r="R18" s="771"/>
      <c r="S18" s="772"/>
      <c r="T18" s="771"/>
      <c r="U18" s="772"/>
      <c r="V18" s="771"/>
      <c r="W18" s="772"/>
      <c r="X18" s="1808"/>
      <c r="Y18" s="3265"/>
      <c r="Z18" s="1809"/>
      <c r="AA18" s="1806">
        <v>1</v>
      </c>
      <c r="AB18" s="1806">
        <v>1</v>
      </c>
      <c r="AC18" s="1806">
        <v>1</v>
      </c>
    </row>
    <row r="19" spans="1:29" ht="15">
      <c r="A19" s="427"/>
      <c r="B19" s="628" t="s">
        <v>2734</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35"/>
      <c r="M19" s="1126"/>
      <c r="N19" s="1126"/>
      <c r="O19" s="1134"/>
      <c r="P19" s="3265"/>
      <c r="Q19" s="1805" t="str">
        <f t="shared" ref="Q19:Q33" si="8">B19</f>
        <v>区域土地利用方向</v>
      </c>
      <c r="R19" s="771" t="s">
        <v>17</v>
      </c>
      <c r="S19" s="772">
        <f>F19</f>
        <v>100</v>
      </c>
      <c r="T19" s="771" t="s">
        <v>17</v>
      </c>
      <c r="U19" s="772">
        <f>H19</f>
        <v>100</v>
      </c>
      <c r="V19" s="771" t="s">
        <v>17</v>
      </c>
      <c r="W19" s="772">
        <f>J19</f>
        <v>100</v>
      </c>
      <c r="X19" s="1808"/>
      <c r="Y19" s="3265"/>
      <c r="Z19" s="1809" t="str">
        <f>Q19</f>
        <v>区域土地利用方向</v>
      </c>
      <c r="AA19" s="1806">
        <f t="shared" si="3"/>
        <v>1</v>
      </c>
      <c r="AB19" s="1806">
        <f t="shared" si="4"/>
        <v>1</v>
      </c>
      <c r="AC19" s="1806">
        <f t="shared" si="5"/>
        <v>1</v>
      </c>
    </row>
    <row r="20" spans="1:29" ht="15">
      <c r="A20" s="403"/>
      <c r="B20" s="629"/>
      <c r="C20" s="446"/>
      <c r="D20" s="447"/>
      <c r="E20" s="2598"/>
      <c r="F20" s="447"/>
      <c r="G20" s="2598"/>
      <c r="H20" s="447"/>
      <c r="I20" s="2598"/>
      <c r="J20" s="447"/>
      <c r="K20" s="804"/>
      <c r="L20" s="1135"/>
      <c r="M20" s="1126"/>
      <c r="N20" s="1126"/>
      <c r="O20" s="1134"/>
      <c r="P20" s="3265"/>
      <c r="Q20" s="1805"/>
      <c r="R20" s="771"/>
      <c r="S20" s="772"/>
      <c r="T20" s="771"/>
      <c r="U20" s="772"/>
      <c r="V20" s="771"/>
      <c r="W20" s="772"/>
      <c r="X20" s="1808"/>
      <c r="Y20" s="3265"/>
      <c r="Z20" s="1809"/>
      <c r="AA20" s="1806"/>
      <c r="AB20" s="1806"/>
      <c r="AC20" s="1806"/>
    </row>
    <row r="21" spans="1:29" ht="15">
      <c r="A21" s="403"/>
      <c r="B21" s="628" t="s">
        <v>2785</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0"/>
      <c r="L21" s="1135"/>
      <c r="M21" s="1126"/>
      <c r="N21" s="1126"/>
      <c r="O21" s="1134"/>
      <c r="P21" s="3265"/>
      <c r="Q21" s="1805" t="str">
        <f t="shared" si="8"/>
        <v>环境状况</v>
      </c>
      <c r="R21" s="771" t="s">
        <v>17</v>
      </c>
      <c r="S21" s="772">
        <f>F21</f>
        <v>100</v>
      </c>
      <c r="T21" s="771" t="s">
        <v>17</v>
      </c>
      <c r="U21" s="772">
        <f>H21</f>
        <v>100</v>
      </c>
      <c r="V21" s="771" t="s">
        <v>17</v>
      </c>
      <c r="W21" s="772">
        <f>J21</f>
        <v>100</v>
      </c>
      <c r="X21" s="1808"/>
      <c r="Y21" s="3265"/>
      <c r="Z21" s="1809" t="str">
        <f>Q21</f>
        <v>环境状况</v>
      </c>
      <c r="AA21" s="1806">
        <f t="shared" si="3"/>
        <v>1</v>
      </c>
      <c r="AB21" s="1806">
        <f t="shared" si="4"/>
        <v>1</v>
      </c>
      <c r="AC21" s="1806">
        <f t="shared" si="5"/>
        <v>1</v>
      </c>
    </row>
    <row r="22" spans="1:29" ht="15">
      <c r="A22" s="403"/>
      <c r="B22" s="629"/>
      <c r="C22" s="446"/>
      <c r="D22" s="447"/>
      <c r="E22" s="2604"/>
      <c r="F22" s="447"/>
      <c r="G22" s="2604"/>
      <c r="H22" s="447"/>
      <c r="I22" s="446"/>
      <c r="J22" s="447"/>
      <c r="K22" s="669"/>
      <c r="L22" s="1135"/>
      <c r="M22" s="1126"/>
      <c r="N22" s="1126"/>
      <c r="O22" s="1134"/>
      <c r="P22" s="3265"/>
      <c r="Q22" s="1805"/>
      <c r="R22" s="771"/>
      <c r="S22" s="772"/>
      <c r="T22" s="771"/>
      <c r="U22" s="772"/>
      <c r="V22" s="771"/>
      <c r="W22" s="772"/>
      <c r="X22" s="1808"/>
      <c r="Y22" s="3265"/>
      <c r="Z22" s="1809"/>
      <c r="AA22" s="1806">
        <v>1</v>
      </c>
      <c r="AB22" s="1806">
        <v>1</v>
      </c>
      <c r="AC22" s="1806">
        <v>1</v>
      </c>
    </row>
    <row r="23" spans="1:29" s="117" customFormat="1" ht="15">
      <c r="A23" s="646"/>
      <c r="B23" s="630" t="s">
        <v>2642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0"/>
      <c r="L23" s="1127"/>
      <c r="M23" s="1128"/>
      <c r="N23" s="1128"/>
      <c r="O23" s="1129"/>
      <c r="P23" s="3265"/>
      <c r="Q23" s="1790" t="str">
        <f t="shared" si="8"/>
        <v>公共配套设施</v>
      </c>
      <c r="R23" s="767" t="s">
        <v>17</v>
      </c>
      <c r="S23" s="768">
        <f>F23</f>
        <v>100</v>
      </c>
      <c r="T23" s="767" t="s">
        <v>17</v>
      </c>
      <c r="U23" s="768">
        <f>H23</f>
        <v>100</v>
      </c>
      <c r="V23" s="767" t="s">
        <v>17</v>
      </c>
      <c r="W23" s="768">
        <f>J23</f>
        <v>100</v>
      </c>
      <c r="X23" s="769"/>
      <c r="Y23" s="3265"/>
      <c r="Z23" s="55" t="str">
        <f>Q23</f>
        <v>公共配套设施</v>
      </c>
      <c r="AA23" s="1806">
        <f>D23/F23</f>
        <v>1</v>
      </c>
      <c r="AB23" s="1806">
        <f>D23/H23</f>
        <v>1</v>
      </c>
      <c r="AC23" s="1806">
        <f>D23/J23</f>
        <v>1</v>
      </c>
    </row>
    <row r="24" spans="1:29" s="117" customFormat="1" ht="15">
      <c r="A24" s="646"/>
      <c r="B24" s="629"/>
      <c r="C24" s="2693"/>
      <c r="D24" s="447"/>
      <c r="E24" s="2604"/>
      <c r="F24" s="447"/>
      <c r="G24" s="2604"/>
      <c r="H24" s="447"/>
      <c r="I24" s="446"/>
      <c r="J24" s="447"/>
      <c r="K24" s="669"/>
      <c r="L24" s="1127"/>
      <c r="M24" s="1128"/>
      <c r="N24" s="1128"/>
      <c r="O24" s="1129"/>
      <c r="P24" s="3265"/>
      <c r="Q24" s="1790"/>
      <c r="R24" s="767"/>
      <c r="S24" s="768"/>
      <c r="T24" s="767"/>
      <c r="U24" s="768"/>
      <c r="V24" s="767"/>
      <c r="W24" s="768"/>
      <c r="X24" s="769"/>
      <c r="Y24" s="3265"/>
      <c r="Z24" s="55"/>
      <c r="AA24" s="770">
        <v>1</v>
      </c>
      <c r="AB24" s="770">
        <v>1</v>
      </c>
      <c r="AC24" s="770">
        <v>1</v>
      </c>
    </row>
    <row r="25" spans="1:29" s="117" customFormat="1" ht="15">
      <c r="A25" s="646"/>
      <c r="B25" s="630" t="s">
        <v>2643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0"/>
      <c r="L25" s="1127"/>
      <c r="M25" s="1128"/>
      <c r="N25" s="1128"/>
      <c r="O25" s="1129"/>
      <c r="P25" s="3265"/>
      <c r="Q25" s="1790" t="str">
        <f t="shared" ref="Q25" si="9">B25</f>
        <v>基础设施水平</v>
      </c>
      <c r="R25" s="767" t="s">
        <v>17</v>
      </c>
      <c r="S25" s="768">
        <f>F25</f>
        <v>100</v>
      </c>
      <c r="T25" s="767" t="s">
        <v>17</v>
      </c>
      <c r="U25" s="768">
        <f>H25</f>
        <v>100</v>
      </c>
      <c r="V25" s="767" t="s">
        <v>17</v>
      </c>
      <c r="W25" s="768">
        <f>J25</f>
        <v>100</v>
      </c>
      <c r="X25" s="769"/>
      <c r="Y25" s="3265"/>
      <c r="Z25" s="55" t="str">
        <f>Q25</f>
        <v>基础设施水平</v>
      </c>
      <c r="AA25" s="1806">
        <f>D25/F25</f>
        <v>1</v>
      </c>
      <c r="AB25" s="1806">
        <f>D25/H25</f>
        <v>1</v>
      </c>
      <c r="AC25" s="1806">
        <f>D25/J25</f>
        <v>1</v>
      </c>
    </row>
    <row r="26" spans="1:29" s="117" customFormat="1" ht="15">
      <c r="A26" s="646"/>
      <c r="B26" s="629"/>
      <c r="C26" s="2693"/>
      <c r="D26" s="447"/>
      <c r="E26" s="2694"/>
      <c r="F26" s="447"/>
      <c r="G26" s="2694"/>
      <c r="H26" s="447"/>
      <c r="I26" s="2694"/>
      <c r="J26" s="447"/>
      <c r="K26" s="669"/>
      <c r="L26" s="1127"/>
      <c r="M26" s="1128"/>
      <c r="N26" s="1128"/>
      <c r="O26" s="1129"/>
      <c r="P26" s="3265"/>
      <c r="Q26" s="1790"/>
      <c r="R26" s="767"/>
      <c r="S26" s="768"/>
      <c r="T26" s="767"/>
      <c r="U26" s="768"/>
      <c r="V26" s="767"/>
      <c r="W26" s="768"/>
      <c r="X26" s="769"/>
      <c r="Y26" s="3265"/>
      <c r="Z26" s="55"/>
      <c r="AA26" s="770">
        <v>1</v>
      </c>
      <c r="AB26" s="770">
        <v>1</v>
      </c>
      <c r="AC26" s="770">
        <v>1</v>
      </c>
    </row>
    <row r="27" spans="1:29" ht="15">
      <c r="A27" s="427"/>
      <c r="B27" s="629" t="s">
        <v>2644</v>
      </c>
      <c r="C27" s="615"/>
      <c r="D27" s="434">
        <v>100</v>
      </c>
      <c r="E27" s="631"/>
      <c r="F27" s="434">
        <f>SUMIF(95:95,E27,96:96)-SUMIF(95:95,C27,96:96)+100</f>
        <v>100</v>
      </c>
      <c r="G27" s="631"/>
      <c r="H27" s="434">
        <f>SUMIF(95:95,G27,96:96)-SUMIF(95:95,C27,96:96)+100</f>
        <v>100</v>
      </c>
      <c r="I27" s="631"/>
      <c r="J27" s="434">
        <f>SUMIF(95:95,I27,96:96)-SUMIF(95:95,C27,96:96)+100</f>
        <v>100</v>
      </c>
      <c r="K27" s="670"/>
      <c r="L27" s="1135"/>
      <c r="M27" s="1126"/>
      <c r="N27" s="1126"/>
      <c r="O27" s="1134"/>
      <c r="P27" s="3265"/>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65"/>
      <c r="Z27" s="1809" t="str">
        <f t="shared" ref="Z27:Z40" si="13">Q27</f>
        <v>临街状况</v>
      </c>
      <c r="AA27" s="1806">
        <f t="shared" si="3"/>
        <v>1</v>
      </c>
      <c r="AB27" s="1806">
        <f t="shared" si="4"/>
        <v>1</v>
      </c>
      <c r="AC27" s="1806">
        <f t="shared" si="5"/>
        <v>1</v>
      </c>
    </row>
    <row r="28" spans="1:29" ht="27">
      <c r="A28" s="427"/>
      <c r="B28" s="630" t="s">
        <v>2678</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35"/>
      <c r="M28" s="1126"/>
      <c r="N28" s="1126"/>
      <c r="O28" s="1134"/>
      <c r="P28" s="3265"/>
      <c r="Q28" s="1805" t="str">
        <f t="shared" si="8"/>
        <v>毗邻道路的类型与等级</v>
      </c>
      <c r="R28" s="771" t="s">
        <v>17</v>
      </c>
      <c r="S28" s="772">
        <f t="shared" si="10"/>
        <v>100</v>
      </c>
      <c r="T28" s="771" t="s">
        <v>17</v>
      </c>
      <c r="U28" s="772">
        <f t="shared" si="11"/>
        <v>100</v>
      </c>
      <c r="V28" s="771" t="s">
        <v>17</v>
      </c>
      <c r="W28" s="772">
        <f t="shared" si="12"/>
        <v>100</v>
      </c>
      <c r="X28" s="1808"/>
      <c r="Y28" s="3265"/>
      <c r="Z28" s="1809" t="str">
        <f t="shared" si="13"/>
        <v>毗邻道路的类型与等级</v>
      </c>
      <c r="AA28" s="1806">
        <f t="shared" si="3"/>
        <v>1</v>
      </c>
      <c r="AB28" s="1806">
        <f t="shared" si="4"/>
        <v>1</v>
      </c>
      <c r="AC28" s="1806">
        <f t="shared" si="5"/>
        <v>1</v>
      </c>
    </row>
    <row r="29" spans="1:29" ht="15">
      <c r="A29" s="427"/>
      <c r="B29" s="629"/>
      <c r="C29" s="446"/>
      <c r="D29" s="447"/>
      <c r="E29" s="2604"/>
      <c r="F29" s="447"/>
      <c r="G29" s="2604"/>
      <c r="H29" s="447"/>
      <c r="I29" s="2604"/>
      <c r="J29" s="447"/>
      <c r="K29" s="612"/>
      <c r="L29" s="1135"/>
      <c r="M29" s="1126"/>
      <c r="N29" s="1126"/>
      <c r="O29" s="1134"/>
      <c r="P29" s="3265"/>
      <c r="Q29" s="1805"/>
      <c r="R29" s="771"/>
      <c r="S29" s="772"/>
      <c r="T29" s="771"/>
      <c r="U29" s="772"/>
      <c r="V29" s="771"/>
      <c r="W29" s="772"/>
      <c r="X29" s="1808"/>
      <c r="Y29" s="3265"/>
      <c r="Z29" s="1809"/>
      <c r="AA29" s="1806">
        <v>1</v>
      </c>
      <c r="AB29" s="1806">
        <v>1</v>
      </c>
      <c r="AC29" s="1806">
        <v>1</v>
      </c>
    </row>
    <row r="30" spans="1:29" ht="15">
      <c r="A30" s="427"/>
      <c r="B30" s="651" t="s">
        <v>2736</v>
      </c>
      <c r="C30" s="1384">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35"/>
      <c r="M30" s="1126"/>
      <c r="N30" s="1126"/>
      <c r="O30" s="1134"/>
      <c r="P30" s="3265"/>
      <c r="Q30" s="1805" t="str">
        <f t="shared" si="8"/>
        <v>土地级别</v>
      </c>
      <c r="R30" s="771" t="s">
        <v>17</v>
      </c>
      <c r="S30" s="772">
        <f t="shared" si="10"/>
        <v>100</v>
      </c>
      <c r="T30" s="771" t="s">
        <v>17</v>
      </c>
      <c r="U30" s="772">
        <f t="shared" si="11"/>
        <v>100</v>
      </c>
      <c r="V30" s="771" t="s">
        <v>17</v>
      </c>
      <c r="W30" s="772">
        <f t="shared" si="12"/>
        <v>100</v>
      </c>
      <c r="X30" s="1808"/>
      <c r="Y30" s="3265"/>
      <c r="Z30" s="1809" t="str">
        <f t="shared" si="13"/>
        <v>土地级别</v>
      </c>
      <c r="AA30" s="1806">
        <f t="shared" si="3"/>
        <v>1</v>
      </c>
      <c r="AB30" s="1806">
        <f t="shared" si="4"/>
        <v>1</v>
      </c>
      <c r="AC30" s="1806">
        <f t="shared" si="5"/>
        <v>1</v>
      </c>
    </row>
    <row r="31" spans="1:29" ht="15">
      <c r="A31" s="403"/>
      <c r="B31" s="2671">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65"/>
      <c r="Q31" s="1805">
        <f t="shared" si="8"/>
        <v>111</v>
      </c>
      <c r="R31" s="771" t="s">
        <v>17</v>
      </c>
      <c r="S31" s="772">
        <f t="shared" si="10"/>
        <v>100</v>
      </c>
      <c r="T31" s="771" t="s">
        <v>17</v>
      </c>
      <c r="U31" s="772">
        <f t="shared" si="11"/>
        <v>100</v>
      </c>
      <c r="V31" s="771" t="s">
        <v>17</v>
      </c>
      <c r="W31" s="772">
        <f t="shared" si="12"/>
        <v>100</v>
      </c>
      <c r="X31" s="1808"/>
      <c r="Y31" s="3265"/>
      <c r="Z31" s="1809">
        <f t="shared" si="13"/>
        <v>111</v>
      </c>
      <c r="AA31" s="1806">
        <f t="shared" si="3"/>
        <v>1</v>
      </c>
      <c r="AB31" s="1806">
        <f t="shared" si="4"/>
        <v>1</v>
      </c>
      <c r="AC31" s="1806">
        <f t="shared" si="5"/>
        <v>1</v>
      </c>
    </row>
    <row r="32" spans="1:29" ht="15">
      <c r="A32" s="672"/>
      <c r="B32" s="2707">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35"/>
      <c r="M32" s="1126"/>
      <c r="N32" s="1126"/>
      <c r="O32" s="1134"/>
      <c r="P32" s="3291" t="s">
        <v>2553</v>
      </c>
      <c r="Q32" s="1805">
        <f t="shared" si="8"/>
        <v>111</v>
      </c>
      <c r="R32" s="771" t="s">
        <v>17</v>
      </c>
      <c r="S32" s="772">
        <f t="shared" si="10"/>
        <v>100</v>
      </c>
      <c r="T32" s="771" t="s">
        <v>17</v>
      </c>
      <c r="U32" s="772">
        <f t="shared" si="11"/>
        <v>100</v>
      </c>
      <c r="V32" s="771" t="s">
        <v>17</v>
      </c>
      <c r="W32" s="772">
        <f t="shared" si="12"/>
        <v>100</v>
      </c>
      <c r="X32" s="1808"/>
      <c r="Y32" s="3269" t="s">
        <v>2553</v>
      </c>
      <c r="Z32" s="1809">
        <f t="shared" si="13"/>
        <v>111</v>
      </c>
      <c r="AA32" s="1806">
        <f t="shared" si="3"/>
        <v>1</v>
      </c>
      <c r="AB32" s="1806">
        <f t="shared" si="4"/>
        <v>1</v>
      </c>
      <c r="AC32" s="1806">
        <f t="shared" si="5"/>
        <v>1</v>
      </c>
    </row>
    <row r="33" spans="1:29" s="470" customFormat="1" ht="15.75" thickBot="1">
      <c r="A33" s="673"/>
      <c r="B33" s="2708">
        <v>111</v>
      </c>
      <c r="C33" s="675"/>
      <c r="D33" s="137">
        <v>100</v>
      </c>
      <c r="E33" s="698"/>
      <c r="F33" s="437">
        <f>SUMIF(105:105,E33,106:106)-SUMIF(105:105,C33,106:106)+100</f>
        <v>100</v>
      </c>
      <c r="G33" s="698"/>
      <c r="H33" s="437">
        <f>SUMIF(105:105,G33,106:106)-SUMIF(105:105,C33,106:106)+100</f>
        <v>100</v>
      </c>
      <c r="I33" s="675"/>
      <c r="J33" s="437">
        <f>SUMIF(105:105,I33,106:106)-SUMIF(105:105,C33,106:106)+100</f>
        <v>100</v>
      </c>
      <c r="K33" s="612"/>
      <c r="L33" s="1133"/>
      <c r="M33" s="1136"/>
      <c r="N33" s="1136"/>
      <c r="O33" s="1137"/>
      <c r="P33" s="3269"/>
      <c r="Q33" s="1805">
        <f t="shared" si="8"/>
        <v>111</v>
      </c>
      <c r="R33" s="774" t="s">
        <v>17</v>
      </c>
      <c r="S33" s="775">
        <f t="shared" si="10"/>
        <v>100</v>
      </c>
      <c r="T33" s="774" t="s">
        <v>17</v>
      </c>
      <c r="U33" s="775">
        <f t="shared" si="11"/>
        <v>100</v>
      </c>
      <c r="V33" s="774" t="s">
        <v>17</v>
      </c>
      <c r="W33" s="775">
        <f t="shared" si="12"/>
        <v>100</v>
      </c>
      <c r="X33" s="776"/>
      <c r="Y33" s="3269"/>
      <c r="Z33" s="777">
        <f t="shared" si="13"/>
        <v>111</v>
      </c>
      <c r="AA33" s="1806">
        <f t="shared" si="3"/>
        <v>1</v>
      </c>
      <c r="AB33" s="1806">
        <f t="shared" si="4"/>
        <v>1</v>
      </c>
      <c r="AC33" s="1806">
        <f t="shared" si="5"/>
        <v>1</v>
      </c>
    </row>
    <row r="34" spans="1:29" ht="15">
      <c r="A34" s="439" t="s">
        <v>2551</v>
      </c>
      <c r="B34" s="455" t="s">
        <v>2737</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35"/>
      <c r="M34" s="1126"/>
      <c r="N34" s="1126"/>
      <c r="O34" s="1134"/>
      <c r="P34" s="3269"/>
      <c r="Q34" s="1805" t="str">
        <f>B34</f>
        <v>宗地面积</v>
      </c>
      <c r="R34" s="771" t="s">
        <v>17</v>
      </c>
      <c r="S34" s="772" t="e">
        <f t="shared" si="10"/>
        <v>#N/A</v>
      </c>
      <c r="T34" s="771" t="s">
        <v>17</v>
      </c>
      <c r="U34" s="772" t="e">
        <f t="shared" si="11"/>
        <v>#N/A</v>
      </c>
      <c r="V34" s="771" t="s">
        <v>17</v>
      </c>
      <c r="W34" s="772" t="e">
        <f t="shared" si="12"/>
        <v>#N/A</v>
      </c>
      <c r="X34" s="1808"/>
      <c r="Y34" s="3269"/>
      <c r="Z34" s="1809" t="str">
        <f t="shared" si="13"/>
        <v>宗地面积</v>
      </c>
      <c r="AA34" s="1806" t="e">
        <f t="shared" si="3"/>
        <v>#N/A</v>
      </c>
      <c r="AB34" s="1806" t="e">
        <f t="shared" si="4"/>
        <v>#N/A</v>
      </c>
      <c r="AC34" s="1806" t="e">
        <f t="shared" si="5"/>
        <v>#N/A</v>
      </c>
    </row>
    <row r="35" spans="1:29" ht="15">
      <c r="A35" s="471"/>
      <c r="B35" s="421" t="s">
        <v>2738</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5"/>
      <c r="M35" s="1126"/>
      <c r="N35" s="1126"/>
      <c r="O35" s="1134"/>
      <c r="P35" s="3269"/>
      <c r="Q35" s="1805" t="str">
        <f t="shared" ref="Q35:Q40" si="14">B35</f>
        <v>宗地形状</v>
      </c>
      <c r="R35" s="771" t="s">
        <v>17</v>
      </c>
      <c r="S35" s="772">
        <f t="shared" si="10"/>
        <v>100</v>
      </c>
      <c r="T35" s="771" t="s">
        <v>17</v>
      </c>
      <c r="U35" s="772">
        <f t="shared" si="11"/>
        <v>100</v>
      </c>
      <c r="V35" s="771" t="s">
        <v>17</v>
      </c>
      <c r="W35" s="772">
        <f t="shared" si="12"/>
        <v>100</v>
      </c>
      <c r="X35" s="1808"/>
      <c r="Y35" s="3269"/>
      <c r="Z35" s="1809" t="str">
        <f t="shared" si="13"/>
        <v>宗地形状</v>
      </c>
      <c r="AA35" s="1806">
        <f t="shared" si="3"/>
        <v>1</v>
      </c>
      <c r="AB35" s="1806">
        <f t="shared" si="4"/>
        <v>1</v>
      </c>
      <c r="AC35" s="1806">
        <f t="shared" si="5"/>
        <v>1</v>
      </c>
    </row>
    <row r="36" spans="1:29" s="117" customFormat="1" ht="15">
      <c r="A36" s="472"/>
      <c r="B36" s="421" t="s">
        <v>2740</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27"/>
      <c r="M36" s="1128"/>
      <c r="N36" s="1128"/>
      <c r="O36" s="1129"/>
      <c r="P36" s="3269"/>
      <c r="Q36" s="1805" t="str">
        <f t="shared" si="14"/>
        <v>宗地开发程度</v>
      </c>
      <c r="R36" s="767" t="s">
        <v>17</v>
      </c>
      <c r="S36" s="768">
        <f t="shared" si="10"/>
        <v>100</v>
      </c>
      <c r="T36" s="767" t="s">
        <v>17</v>
      </c>
      <c r="U36" s="768">
        <f t="shared" si="11"/>
        <v>100</v>
      </c>
      <c r="V36" s="767" t="s">
        <v>17</v>
      </c>
      <c r="W36" s="768">
        <f t="shared" si="12"/>
        <v>100</v>
      </c>
      <c r="X36" s="769"/>
      <c r="Y36" s="3269"/>
      <c r="Z36" s="55" t="str">
        <f t="shared" si="13"/>
        <v>宗地开发程度</v>
      </c>
      <c r="AA36" s="770">
        <f t="shared" si="3"/>
        <v>1</v>
      </c>
      <c r="AB36" s="770">
        <f t="shared" si="4"/>
        <v>1</v>
      </c>
      <c r="AC36" s="770">
        <f t="shared" si="5"/>
        <v>1</v>
      </c>
    </row>
    <row r="37" spans="1:29" ht="15">
      <c r="A37" s="471"/>
      <c r="B37" s="421" t="s">
        <v>2741</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5"/>
      <c r="M37" s="1126"/>
      <c r="N37" s="1126"/>
      <c r="O37" s="1134"/>
      <c r="P37" s="3269" t="s">
        <v>2553</v>
      </c>
      <c r="Q37" s="1805" t="str">
        <f t="shared" si="14"/>
        <v>工程地质条件</v>
      </c>
      <c r="R37" s="771" t="s">
        <v>17</v>
      </c>
      <c r="S37" s="772">
        <f t="shared" si="10"/>
        <v>100</v>
      </c>
      <c r="T37" s="771" t="s">
        <v>17</v>
      </c>
      <c r="U37" s="772">
        <f t="shared" si="11"/>
        <v>100</v>
      </c>
      <c r="V37" s="771" t="s">
        <v>17</v>
      </c>
      <c r="W37" s="772">
        <f t="shared" si="12"/>
        <v>100</v>
      </c>
      <c r="X37" s="1808"/>
      <c r="Y37" s="3269" t="s">
        <v>2553</v>
      </c>
      <c r="Z37" s="1809" t="str">
        <f t="shared" si="13"/>
        <v>工程地质条件</v>
      </c>
      <c r="AA37" s="1806">
        <f t="shared" si="3"/>
        <v>1</v>
      </c>
      <c r="AB37" s="1806">
        <f t="shared" si="4"/>
        <v>1</v>
      </c>
      <c r="AC37" s="1806">
        <f t="shared" si="5"/>
        <v>1</v>
      </c>
    </row>
    <row r="38" spans="1:29" ht="15">
      <c r="A38" s="471"/>
      <c r="B38" s="1382">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35"/>
      <c r="M38" s="1126"/>
      <c r="N38" s="1126"/>
      <c r="O38" s="1134"/>
      <c r="P38" s="3269"/>
      <c r="Q38" s="1805">
        <f t="shared" si="14"/>
        <v>111</v>
      </c>
      <c r="R38" s="771" t="s">
        <v>17</v>
      </c>
      <c r="S38" s="772">
        <f t="shared" si="10"/>
        <v>100</v>
      </c>
      <c r="T38" s="771" t="s">
        <v>17</v>
      </c>
      <c r="U38" s="772">
        <f t="shared" si="11"/>
        <v>100</v>
      </c>
      <c r="V38" s="771" t="s">
        <v>17</v>
      </c>
      <c r="W38" s="772">
        <f t="shared" si="12"/>
        <v>100</v>
      </c>
      <c r="X38" s="1808"/>
      <c r="Y38" s="3269"/>
      <c r="Z38" s="1809">
        <f t="shared" si="13"/>
        <v>111</v>
      </c>
      <c r="AA38" s="1806">
        <f t="shared" si="3"/>
        <v>1</v>
      </c>
      <c r="AB38" s="1806">
        <f t="shared" si="4"/>
        <v>1</v>
      </c>
      <c r="AC38" s="1806">
        <f t="shared" si="5"/>
        <v>1</v>
      </c>
    </row>
    <row r="39" spans="1:29" ht="15">
      <c r="A39" s="471"/>
      <c r="B39" s="1382">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35"/>
      <c r="M39" s="1126"/>
      <c r="N39" s="1126"/>
      <c r="O39" s="1134"/>
      <c r="P39" s="3269"/>
      <c r="Q39" s="1805">
        <f t="shared" si="14"/>
        <v>111</v>
      </c>
      <c r="R39" s="771" t="s">
        <v>17</v>
      </c>
      <c r="S39" s="772">
        <f t="shared" si="10"/>
        <v>100</v>
      </c>
      <c r="T39" s="771" t="s">
        <v>17</v>
      </c>
      <c r="U39" s="772">
        <f t="shared" si="11"/>
        <v>100</v>
      </c>
      <c r="V39" s="771" t="s">
        <v>17</v>
      </c>
      <c r="W39" s="772">
        <f t="shared" si="12"/>
        <v>100</v>
      </c>
      <c r="X39" s="1808"/>
      <c r="Y39" s="3269"/>
      <c r="Z39" s="1809">
        <f t="shared" si="13"/>
        <v>111</v>
      </c>
      <c r="AA39" s="1806">
        <f t="shared" si="3"/>
        <v>1</v>
      </c>
      <c r="AB39" s="1806">
        <f t="shared" si="4"/>
        <v>1</v>
      </c>
      <c r="AC39" s="1806">
        <f t="shared" si="5"/>
        <v>1</v>
      </c>
    </row>
    <row r="40" spans="1:29" s="470" customFormat="1" ht="15.75" thickBot="1">
      <c r="A40" s="467"/>
      <c r="B40" s="1382">
        <v>111</v>
      </c>
      <c r="C40" s="2696"/>
      <c r="D40" s="137">
        <v>100</v>
      </c>
      <c r="E40" s="671"/>
      <c r="F40" s="437">
        <f>SUMIF(120:120,E40,121:121)-SUMIF(120:120,C40,121:121)+100</f>
        <v>100</v>
      </c>
      <c r="G40" s="671"/>
      <c r="H40" s="437">
        <f>SUMIF(120:120,G40,121:121)-SUMIF(120:120,C40,121:121)+100</f>
        <v>100</v>
      </c>
      <c r="I40" s="548"/>
      <c r="J40" s="437">
        <f>SUMIF(120:120,I40,121:121)-SUMIF(120:120,C40,121:121)+100</f>
        <v>100</v>
      </c>
      <c r="K40" s="678"/>
      <c r="L40" s="1133"/>
      <c r="M40" s="1136"/>
      <c r="N40" s="1136"/>
      <c r="O40" s="1137"/>
      <c r="P40" s="3269"/>
      <c r="Q40" s="1805">
        <f t="shared" si="14"/>
        <v>111</v>
      </c>
      <c r="R40" s="774" t="s">
        <v>17</v>
      </c>
      <c r="S40" s="775">
        <f t="shared" si="10"/>
        <v>100</v>
      </c>
      <c r="T40" s="774" t="s">
        <v>17</v>
      </c>
      <c r="U40" s="775">
        <f t="shared" si="11"/>
        <v>100</v>
      </c>
      <c r="V40" s="774" t="s">
        <v>17</v>
      </c>
      <c r="W40" s="775">
        <f t="shared" si="12"/>
        <v>100</v>
      </c>
      <c r="X40" s="776"/>
      <c r="Y40" s="3269"/>
      <c r="Z40" s="777">
        <f t="shared" si="13"/>
        <v>111</v>
      </c>
      <c r="AA40" s="1806">
        <f t="shared" si="3"/>
        <v>1</v>
      </c>
      <c r="AB40" s="1806">
        <f t="shared" si="4"/>
        <v>1</v>
      </c>
      <c r="AC40" s="1806">
        <f t="shared" si="5"/>
        <v>1</v>
      </c>
    </row>
    <row r="41" spans="1:29" ht="15">
      <c r="A41" s="478" t="s">
        <v>2707</v>
      </c>
      <c r="B41" s="2697" t="s">
        <v>2786</v>
      </c>
      <c r="C41" s="679" t="s">
        <v>1</v>
      </c>
      <c r="D41" s="480"/>
      <c r="E41" s="481"/>
      <c r="F41" s="482"/>
      <c r="G41" s="483"/>
      <c r="H41" s="484"/>
      <c r="I41" s="481"/>
      <c r="J41" s="484"/>
      <c r="K41" s="780"/>
      <c r="L41" s="1138"/>
      <c r="M41" s="1126"/>
      <c r="N41" s="1126"/>
      <c r="O41" s="1139"/>
      <c r="P41" s="3271" t="str">
        <f>A41</f>
        <v>成交单价</v>
      </c>
      <c r="Q41" s="3271"/>
      <c r="R41" s="3259">
        <f>E41</f>
        <v>0</v>
      </c>
      <c r="S41" s="3259"/>
      <c r="T41" s="3259">
        <f>G41</f>
        <v>0</v>
      </c>
      <c r="U41" s="3259"/>
      <c r="V41" s="3259">
        <f>I41</f>
        <v>0</v>
      </c>
      <c r="W41" s="3259"/>
      <c r="X41" s="756"/>
      <c r="Y41" s="778"/>
      <c r="Z41" s="756"/>
      <c r="AA41" s="756"/>
      <c r="AB41" s="756"/>
      <c r="AC41" s="756"/>
    </row>
    <row r="42" spans="1:29" ht="15.75" thickBot="1">
      <c r="A42" s="485" t="s">
        <v>2656</v>
      </c>
      <c r="B42" s="680"/>
      <c r="C42" s="489" t="e">
        <f>R43</f>
        <v>#DIV/0!</v>
      </c>
      <c r="D42" s="488"/>
      <c r="E42" s="489" t="e">
        <f>R42</f>
        <v>#DIV/0!</v>
      </c>
      <c r="F42" s="490"/>
      <c r="G42" s="487" t="e">
        <f>T42</f>
        <v>#DIV/0!</v>
      </c>
      <c r="H42" s="488"/>
      <c r="I42" s="489" t="e">
        <f>V42</f>
        <v>#DIV/0!</v>
      </c>
      <c r="J42" s="488"/>
      <c r="K42" s="781"/>
      <c r="L42" s="1138"/>
      <c r="M42" s="1126"/>
      <c r="N42" s="1126"/>
      <c r="O42" s="1139"/>
      <c r="P42" s="3271" t="str">
        <f>A42</f>
        <v>比较价值（元/平方米）</v>
      </c>
      <c r="Q42" s="3271"/>
      <c r="R42" s="3320" t="e">
        <f>ROUND(PRODUCT(R41,AA7:AA40),0)</f>
        <v>#DIV/0!</v>
      </c>
      <c r="S42" s="3320"/>
      <c r="T42" s="3320" t="e">
        <f>ROUND(PRODUCT(T41,AB7:AB40),0)</f>
        <v>#DIV/0!</v>
      </c>
      <c r="U42" s="3320"/>
      <c r="V42" s="3320" t="e">
        <f>ROUND(PRODUCT(V41,AC7:AC40),0)</f>
        <v>#DIV/0!</v>
      </c>
      <c r="W42" s="3320"/>
      <c r="X42" s="756"/>
      <c r="Y42" s="756"/>
      <c r="Z42" s="756"/>
      <c r="AA42" s="756"/>
      <c r="AB42" s="756"/>
      <c r="AC42" s="756"/>
    </row>
    <row r="43" spans="1:29" ht="15.75" thickBot="1">
      <c r="A43" s="491" t="s">
        <v>2657</v>
      </c>
      <c r="B43" s="492"/>
      <c r="C43" s="493" t="e">
        <f>R43</f>
        <v>#DIV/0!</v>
      </c>
      <c r="D43" s="493"/>
      <c r="E43" s="493"/>
      <c r="F43" s="493"/>
      <c r="G43" s="493"/>
      <c r="H43" s="493"/>
      <c r="I43" s="493"/>
      <c r="J43" s="493"/>
      <c r="K43" s="782"/>
      <c r="L43" s="1138"/>
      <c r="M43" s="1126"/>
      <c r="N43" s="1126"/>
      <c r="O43" s="1139"/>
      <c r="P43" s="3288" t="str">
        <f>A43</f>
        <v>估价对象XX用房的比较价值（楼面单价，元/平方米）</v>
      </c>
      <c r="Q43" s="3289"/>
      <c r="R43" s="3321" t="e">
        <f>ROUND(AVERAGE(R42:V42),0)</f>
        <v>#DIV/0!</v>
      </c>
      <c r="S43" s="3321"/>
      <c r="T43" s="3321"/>
      <c r="U43" s="3321"/>
      <c r="V43" s="3321"/>
      <c r="W43" s="3321"/>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9"/>
      <c r="D49" s="757"/>
      <c r="E49" s="757"/>
      <c r="F49" s="757"/>
      <c r="G49" s="757"/>
      <c r="H49" s="757"/>
      <c r="I49" s="757"/>
      <c r="J49" s="757"/>
      <c r="K49" s="1143"/>
      <c r="L49" s="1144"/>
      <c r="M49" s="1140"/>
      <c r="N49" s="1140"/>
      <c r="O49" s="1140"/>
    </row>
    <row r="50" spans="1:17" ht="27">
      <c r="A50" s="681" t="s">
        <v>2744</v>
      </c>
      <c r="B50" s="682" t="s">
        <v>2745</v>
      </c>
      <c r="C50" s="2698" t="s">
        <v>2746</v>
      </c>
      <c r="D50" s="2699" t="s">
        <v>2747</v>
      </c>
      <c r="E50" s="683" t="s">
        <v>2748</v>
      </c>
      <c r="F50" s="684" t="s">
        <v>2749</v>
      </c>
      <c r="G50" s="3246" t="s">
        <v>2750</v>
      </c>
      <c r="H50" s="3322"/>
      <c r="I50" s="1809" t="s">
        <v>2787</v>
      </c>
      <c r="J50" s="1809">
        <f>项目基本情况!F35</f>
        <v>0</v>
      </c>
      <c r="K50" s="2701" t="s">
        <v>2752</v>
      </c>
      <c r="L50" s="1101"/>
      <c r="M50" s="1139"/>
      <c r="N50" s="1139"/>
      <c r="O50" s="1139"/>
    </row>
    <row r="51" spans="1:17" s="689" customFormat="1">
      <c r="A51" s="685" t="s">
        <v>2753</v>
      </c>
      <c r="B51" s="686" t="e">
        <f>C43</f>
        <v>#DIV/0!</v>
      </c>
      <c r="C51" s="687">
        <v>1</v>
      </c>
      <c r="D51" s="1158">
        <v>1</v>
      </c>
      <c r="E51" s="687">
        <f>'数据-汇总表'!E8+'数据-汇总表'!E9</f>
        <v>10636.68</v>
      </c>
      <c r="F51" s="688" t="e">
        <f t="shared" ref="F51:F60" si="15">ROUND(B51*E51/10000,0)</f>
        <v>#DIV/0!</v>
      </c>
      <c r="G51" s="3242"/>
      <c r="H51" s="3271"/>
      <c r="I51" s="937">
        <v>1</v>
      </c>
      <c r="J51" s="937">
        <v>1</v>
      </c>
      <c r="K51" s="1140"/>
      <c r="L51" s="936"/>
      <c r="M51" s="936"/>
      <c r="N51" s="936"/>
      <c r="O51" s="936"/>
    </row>
    <row r="52" spans="1:17" s="689" customFormat="1">
      <c r="A52" s="690" t="s">
        <v>2754</v>
      </c>
      <c r="B52" s="261" t="e">
        <f>ROUND($C$43*C52*D52,0)</f>
        <v>#DIV/0!</v>
      </c>
      <c r="C52" s="199">
        <f t="shared" ref="C52:C60" si="16">IF($C$50="北京市系数",I52,J52)</f>
        <v>0</v>
      </c>
      <c r="D52" s="1159">
        <v>0.25</v>
      </c>
      <c r="E52" s="691"/>
      <c r="F52" s="688" t="e">
        <f t="shared" si="15"/>
        <v>#DIV/0!</v>
      </c>
      <c r="G52" s="3323" t="s">
        <v>2755</v>
      </c>
      <c r="H52" s="1099">
        <f>项目基本情况!B37</f>
        <v>0</v>
      </c>
      <c r="I52" s="937">
        <f>SUMIF(修正!A45:A56,H52,修正!B45:B56)</f>
        <v>0</v>
      </c>
      <c r="J52" s="938"/>
      <c r="K52" s="1139"/>
      <c r="L52" s="936"/>
      <c r="M52" s="936"/>
      <c r="N52" s="936"/>
      <c r="O52" s="936"/>
    </row>
    <row r="53" spans="1:17" s="689" customFormat="1">
      <c r="A53" s="690" t="s">
        <v>2756</v>
      </c>
      <c r="B53" s="261" t="e">
        <f t="shared" ref="B53:B60" si="17">ROUND($C$43*C53*D53,0)</f>
        <v>#DIV/0!</v>
      </c>
      <c r="C53" s="199">
        <f t="shared" si="16"/>
        <v>0</v>
      </c>
      <c r="D53" s="1159">
        <v>0.25</v>
      </c>
      <c r="E53" s="691"/>
      <c r="F53" s="688" t="e">
        <f t="shared" si="15"/>
        <v>#DIV/0!</v>
      </c>
      <c r="G53" s="3323"/>
      <c r="H53" s="1099">
        <f>项目基本情况!B37</f>
        <v>0</v>
      </c>
      <c r="I53" s="937">
        <f>SUMIF(修正!A45:A56,H53,修正!C45:C56)</f>
        <v>0</v>
      </c>
      <c r="J53" s="938"/>
      <c r="K53" s="1140"/>
      <c r="L53" s="936"/>
      <c r="M53" s="936"/>
      <c r="N53" s="936"/>
      <c r="O53" s="936"/>
    </row>
    <row r="54" spans="1:17" s="689" customFormat="1">
      <c r="A54" s="690" t="s">
        <v>2757</v>
      </c>
      <c r="B54" s="261" t="e">
        <f t="shared" si="17"/>
        <v>#DIV/0!</v>
      </c>
      <c r="C54" s="199">
        <f t="shared" si="16"/>
        <v>0</v>
      </c>
      <c r="D54" s="1159">
        <v>0.25</v>
      </c>
      <c r="E54" s="691"/>
      <c r="F54" s="688" t="e">
        <f t="shared" si="15"/>
        <v>#DIV/0!</v>
      </c>
      <c r="G54" s="3323"/>
      <c r="H54" s="1099">
        <f>项目基本情况!B37</f>
        <v>0</v>
      </c>
      <c r="I54" s="937">
        <f>SUMIF(修正!A45:A56,H54,修正!D45:D56)</f>
        <v>0</v>
      </c>
      <c r="J54" s="938"/>
      <c r="K54" s="1139"/>
      <c r="L54" s="936"/>
      <c r="M54" s="936"/>
      <c r="N54" s="936"/>
      <c r="O54" s="936"/>
    </row>
    <row r="55" spans="1:17" s="689" customFormat="1">
      <c r="A55" s="690" t="s">
        <v>2758</v>
      </c>
      <c r="B55" s="261" t="e">
        <f t="shared" si="17"/>
        <v>#DIV/0!</v>
      </c>
      <c r="C55" s="199">
        <f t="shared" si="16"/>
        <v>0</v>
      </c>
      <c r="D55" s="1159">
        <v>0.25</v>
      </c>
      <c r="E55" s="691"/>
      <c r="F55" s="688" t="e">
        <f t="shared" si="15"/>
        <v>#DIV/0!</v>
      </c>
      <c r="G55" s="3323"/>
      <c r="H55" s="1099">
        <f>项目基本情况!B37</f>
        <v>0</v>
      </c>
      <c r="I55" s="937">
        <f>SUMIF(修正!A45:A56,H55,修正!E45:E56)</f>
        <v>0</v>
      </c>
      <c r="J55" s="938"/>
      <c r="K55" s="1140"/>
      <c r="L55" s="936"/>
      <c r="M55" s="936"/>
      <c r="N55" s="936"/>
      <c r="O55" s="936"/>
    </row>
    <row r="56" spans="1:17" s="689" customFormat="1">
      <c r="A56" s="690" t="s">
        <v>2759</v>
      </c>
      <c r="B56" s="261" t="e">
        <f t="shared" si="17"/>
        <v>#DIV/0!</v>
      </c>
      <c r="C56" s="199">
        <f t="shared" si="16"/>
        <v>0</v>
      </c>
      <c r="D56" s="1159">
        <v>0.25</v>
      </c>
      <c r="E56" s="260">
        <f>'数据-汇总表'!E11</f>
        <v>0</v>
      </c>
      <c r="F56" s="688" t="e">
        <f t="shared" si="15"/>
        <v>#DIV/0!</v>
      </c>
      <c r="G56" s="2702" t="s">
        <v>2760</v>
      </c>
      <c r="H56" s="1099">
        <f>项目基本情况!C37</f>
        <v>0</v>
      </c>
      <c r="I56" s="937">
        <f>SUMIF(修正!A45:A56,H56,修正!F45:F56)</f>
        <v>0</v>
      </c>
      <c r="J56" s="938"/>
      <c r="K56" s="1139"/>
      <c r="L56" s="936"/>
      <c r="M56" s="936"/>
      <c r="N56" s="936"/>
      <c r="O56" s="936"/>
    </row>
    <row r="57" spans="1:17" s="689" customFormat="1">
      <c r="A57" s="690" t="s">
        <v>2761</v>
      </c>
      <c r="B57" s="261" t="e">
        <f t="shared" si="17"/>
        <v>#DIV/0!</v>
      </c>
      <c r="C57" s="199">
        <f t="shared" si="16"/>
        <v>0</v>
      </c>
      <c r="D57" s="1159">
        <v>0.25</v>
      </c>
      <c r="E57" s="260">
        <f>'数据-汇总表'!E12</f>
        <v>0</v>
      </c>
      <c r="F57" s="688" t="e">
        <f t="shared" si="15"/>
        <v>#DIV/0!</v>
      </c>
      <c r="G57" s="1104" t="s">
        <v>2762</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2763</v>
      </c>
      <c r="B58" s="261" t="e">
        <f t="shared" si="17"/>
        <v>#DIV/0!</v>
      </c>
      <c r="C58" s="199">
        <f t="shared" si="16"/>
        <v>0</v>
      </c>
      <c r="D58" s="1159">
        <v>0.25</v>
      </c>
      <c r="E58" s="260">
        <f>'数据-汇总表'!E13</f>
        <v>0</v>
      </c>
      <c r="F58" s="688" t="e">
        <f t="shared" si="15"/>
        <v>#DIV/0!</v>
      </c>
      <c r="G58" s="1104" t="s">
        <v>2764</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2765</v>
      </c>
      <c r="B59" s="261" t="e">
        <f t="shared" si="17"/>
        <v>#DIV/0!</v>
      </c>
      <c r="C59" s="199">
        <f t="shared" si="16"/>
        <v>0</v>
      </c>
      <c r="D59" s="1159">
        <v>0.25</v>
      </c>
      <c r="E59" s="260">
        <f>'数据-汇总表'!E14</f>
        <v>0</v>
      </c>
      <c r="F59" s="688" t="e">
        <f t="shared" si="15"/>
        <v>#DIV/0!</v>
      </c>
      <c r="G59" s="2702" t="s">
        <v>2755</v>
      </c>
      <c r="H59" s="1099">
        <f>项目基本情况!B37</f>
        <v>0</v>
      </c>
      <c r="I59" s="937">
        <f>SUMIF(修正!A45:A56,H59,修正!H45:H56)</f>
        <v>0</v>
      </c>
      <c r="J59" s="938"/>
      <c r="K59" s="1140"/>
      <c r="L59" s="936"/>
      <c r="M59" s="936"/>
      <c r="N59" s="936"/>
      <c r="O59" s="936"/>
    </row>
    <row r="60" spans="1:17" s="689" customFormat="1" ht="15" thickBot="1">
      <c r="A60" s="690" t="s">
        <v>2766</v>
      </c>
      <c r="B60" s="261" t="e">
        <f t="shared" si="17"/>
        <v>#DIV/0!</v>
      </c>
      <c r="C60" s="199">
        <f t="shared" si="16"/>
        <v>0</v>
      </c>
      <c r="D60" s="1159">
        <v>0.25</v>
      </c>
      <c r="E60" s="260">
        <f>'数据-汇总表'!E15</f>
        <v>991.5300000000002</v>
      </c>
      <c r="F60" s="688" t="e">
        <f t="shared" si="15"/>
        <v>#DIV/0!</v>
      </c>
      <c r="G60" s="2703" t="s">
        <v>2760</v>
      </c>
      <c r="H60" s="1109">
        <f>项目基本情况!C37</f>
        <v>0</v>
      </c>
      <c r="I60" s="937">
        <f>SUMIF(修正!A45:A56,H60,修正!H45:H56)</f>
        <v>0</v>
      </c>
      <c r="J60" s="938"/>
      <c r="K60" s="1139"/>
      <c r="L60" s="936"/>
      <c r="M60" s="936"/>
      <c r="N60" s="936"/>
      <c r="O60" s="936"/>
    </row>
    <row r="61" spans="1:17" s="689" customFormat="1" ht="15" thickBot="1">
      <c r="A61" s="692" t="s">
        <v>2767</v>
      </c>
      <c r="B61" s="693" t="s">
        <v>28</v>
      </c>
      <c r="C61" s="693" t="s">
        <v>29</v>
      </c>
      <c r="D61" s="693" t="s">
        <v>1029</v>
      </c>
      <c r="E61" s="693">
        <f>IF(B41="楼面地价",SUM(E51:E60),'数据-汇总表'!D3)</f>
        <v>0</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2661</v>
      </c>
      <c r="B64" s="756"/>
      <c r="C64" s="761"/>
      <c r="D64" s="761"/>
      <c r="E64" s="761"/>
      <c r="F64" s="762"/>
      <c r="G64" s="762"/>
      <c r="H64" s="761"/>
      <c r="I64" s="761"/>
      <c r="J64" s="761"/>
      <c r="K64" s="763"/>
      <c r="L64" s="764"/>
      <c r="M64" s="761"/>
      <c r="N64" s="761"/>
      <c r="O64" s="1154"/>
      <c r="P64" s="502"/>
      <c r="Q64" s="503"/>
    </row>
    <row r="65" spans="1:17" s="507" customFormat="1" ht="15">
      <c r="A65" s="2704" t="s">
        <v>2768</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6"/>
    </row>
    <row r="66" spans="1:17" s="117" customFormat="1" ht="30.75" customHeight="1">
      <c r="A66" s="2709" t="s">
        <v>2788</v>
      </c>
      <c r="B66" s="331" t="str">
        <f>"北京市平均增长率"&amp;TEXT(基准地价修正!P24,"0.00%")</f>
        <v>北京市平均增长率1.31%</v>
      </c>
      <c r="C66" s="602">
        <v>100</v>
      </c>
      <c r="D66" s="594"/>
      <c r="E66" s="594"/>
      <c r="F66" s="594"/>
      <c r="G66" s="594"/>
      <c r="H66" s="594"/>
      <c r="I66" s="594"/>
      <c r="J66" s="594"/>
      <c r="K66" s="594"/>
      <c r="L66" s="594"/>
      <c r="M66" s="1562"/>
      <c r="N66" s="1562"/>
      <c r="O66" s="1564"/>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46"/>
      <c r="O68" s="1146"/>
      <c r="P68" s="525"/>
      <c r="Q68" s="503"/>
    </row>
    <row r="69" spans="1:17" s="117" customFormat="1" ht="15.75" thickBot="1">
      <c r="A69" s="520"/>
      <c r="B69" s="509"/>
      <c r="C69" s="636">
        <v>100</v>
      </c>
      <c r="D69" s="511"/>
      <c r="E69" s="511"/>
      <c r="F69" s="511"/>
      <c r="G69" s="511"/>
      <c r="H69" s="511"/>
      <c r="I69" s="511"/>
      <c r="J69" s="511"/>
      <c r="K69" s="511"/>
      <c r="L69" s="511"/>
      <c r="M69" s="513"/>
      <c r="N69" s="1146"/>
      <c r="O69" s="1146"/>
      <c r="P69" s="503"/>
      <c r="Q69" s="503"/>
    </row>
    <row r="70" spans="1:17">
      <c r="A70" s="526" t="s">
        <v>2576</v>
      </c>
      <c r="B70" s="527" t="s">
        <v>2542</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2545</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2547</v>
      </c>
      <c r="B83" s="527" t="s">
        <v>2692</v>
      </c>
      <c r="C83" s="572" t="s">
        <v>2585</v>
      </c>
      <c r="D83" s="572" t="s">
        <v>2586</v>
      </c>
      <c r="E83" s="572" t="s">
        <v>2587</v>
      </c>
      <c r="F83" s="572" t="s">
        <v>2588</v>
      </c>
      <c r="G83" s="572" t="s">
        <v>2589</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7" customFormat="1" ht="15.75" thickTop="1">
      <c r="A87" s="578"/>
      <c r="B87" s="537" t="s">
        <v>2771</v>
      </c>
      <c r="C87" s="572" t="s">
        <v>2585</v>
      </c>
      <c r="D87" s="572" t="s">
        <v>2586</v>
      </c>
      <c r="E87" s="572" t="s">
        <v>2587</v>
      </c>
      <c r="F87" s="572" t="s">
        <v>2588</v>
      </c>
      <c r="G87" s="572" t="s">
        <v>2589</v>
      </c>
      <c r="H87" s="577"/>
      <c r="I87" s="577"/>
      <c r="J87" s="577"/>
      <c r="K87" s="577"/>
      <c r="L87" s="695"/>
      <c r="M87" s="619"/>
      <c r="N87" s="1146"/>
      <c r="O87" s="1146"/>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7" customFormat="1" ht="27.75" thickTop="1">
      <c r="A89" s="578"/>
      <c r="B89" s="537" t="s">
        <v>2772</v>
      </c>
      <c r="C89" s="572" t="s">
        <v>2585</v>
      </c>
      <c r="D89" s="572" t="s">
        <v>2586</v>
      </c>
      <c r="E89" s="572" t="s">
        <v>2587</v>
      </c>
      <c r="F89" s="572" t="s">
        <v>2588</v>
      </c>
      <c r="G89" s="572" t="s">
        <v>2589</v>
      </c>
      <c r="H89" s="577"/>
      <c r="I89" s="577"/>
      <c r="J89" s="577"/>
      <c r="K89" s="577"/>
      <c r="L89" s="577"/>
      <c r="M89" s="619"/>
      <c r="N89" s="1146"/>
      <c r="O89" s="1146"/>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2789</v>
      </c>
      <c r="C93" s="657" t="s">
        <v>2662</v>
      </c>
      <c r="D93" s="657" t="s">
        <v>2663</v>
      </c>
      <c r="E93" s="657" t="s">
        <v>2664</v>
      </c>
      <c r="F93" s="657" t="s">
        <v>2665</v>
      </c>
      <c r="G93" s="657" t="s">
        <v>2666</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2678</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2736</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2"/>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4"/>
      <c r="H106" s="674"/>
      <c r="I106" s="674"/>
      <c r="J106" s="674"/>
      <c r="K106" s="674"/>
      <c r="L106" s="674"/>
      <c r="M106" s="696"/>
      <c r="N106" s="1148"/>
      <c r="O106" s="1148"/>
      <c r="P106" s="557"/>
      <c r="Q106" s="558"/>
    </row>
    <row r="107" spans="1:17">
      <c r="A107" s="526" t="s">
        <v>2551</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2778</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2780</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2781</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7"/>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89" customWidth="1"/>
    <col min="2" max="2" width="19.125" style="2895" customWidth="1"/>
    <col min="3" max="4" width="12" style="2713"/>
    <col min="5" max="5" width="14.625" style="2713" customWidth="1"/>
    <col min="6" max="8" width="12" style="2713"/>
    <col min="9" max="9" width="12.125" style="2713" bestFit="1" customWidth="1"/>
    <col min="10" max="10" width="12" style="2713"/>
    <col min="11" max="11" width="8.125" style="2781" customWidth="1"/>
    <col min="12" max="12" width="12" style="2713"/>
    <col min="13" max="13" width="8.5" style="2713" customWidth="1"/>
    <col min="14" max="14" width="9.625" style="2713" customWidth="1"/>
    <col min="15" max="25" width="12" style="2713"/>
    <col min="26" max="26" width="9.375" style="2789" customWidth="1"/>
    <col min="27" max="32" width="9.375" style="1367" customWidth="1"/>
    <col min="33" max="36" width="9.375" style="2789" customWidth="1"/>
    <col min="37" max="38" width="9.375" style="2713" customWidth="1"/>
    <col min="39" max="16384" width="12" style="2713"/>
  </cols>
  <sheetData>
    <row r="1" spans="1:36" ht="28.5">
      <c r="A1" s="239" t="s">
        <v>2790</v>
      </c>
      <c r="B1" s="240"/>
      <c r="C1" s="244" t="s">
        <v>2791</v>
      </c>
      <c r="D1" s="387">
        <f>SUM(D29:D30,D33:D39)</f>
        <v>0</v>
      </c>
      <c r="E1" s="2710"/>
      <c r="F1" s="2710"/>
      <c r="G1" s="2710"/>
      <c r="H1" s="2710"/>
      <c r="I1" s="2710"/>
      <c r="J1" s="2710"/>
      <c r="K1" s="1365"/>
      <c r="L1" s="2711" t="s">
        <v>2792</v>
      </c>
      <c r="M1" s="1075">
        <f>SUMPRODUCT((区片价!B5:B9=I2)*(区片价!C3:F3=E2)*(区片价!C5:F9))</f>
        <v>0</v>
      </c>
      <c r="N1" s="1078">
        <f>SUMPRODUCT((因素修正幅度!B5:B9=I2)*(因素修正幅度!C3:F3=E2)*(因素修正幅度!C5:F9))</f>
        <v>0</v>
      </c>
      <c r="O1" s="2712"/>
      <c r="P1" s="2712"/>
      <c r="Q1" s="1365"/>
      <c r="R1" s="1597" t="s">
        <v>2793</v>
      </c>
      <c r="S1" s="1597" t="s">
        <v>2794</v>
      </c>
      <c r="T1" s="1597" t="s">
        <v>2795</v>
      </c>
      <c r="U1" s="1597" t="s">
        <v>2796</v>
      </c>
      <c r="V1" s="1597" t="s">
        <v>2797</v>
      </c>
      <c r="W1" s="1601"/>
      <c r="X1" s="1601"/>
      <c r="Y1" s="1601"/>
      <c r="Z1" s="1601"/>
      <c r="AA1" s="1601"/>
      <c r="AB1" s="1601"/>
      <c r="AC1" s="1602"/>
      <c r="AD1" s="1603"/>
      <c r="AE1" s="1603"/>
      <c r="AF1" s="1603"/>
      <c r="AG1" s="1603"/>
      <c r="AH1" s="1603"/>
      <c r="AI1" s="1603"/>
      <c r="AJ1" s="1604"/>
    </row>
    <row r="2" spans="1:36" ht="15.75">
      <c r="A2" s="244" t="s">
        <v>2798</v>
      </c>
      <c r="B2" s="247" t="e">
        <f>C26</f>
        <v>#DIV/0!</v>
      </c>
      <c r="C2" s="2714" t="s">
        <v>2799</v>
      </c>
      <c r="D2" s="2715" t="s">
        <v>2800</v>
      </c>
      <c r="E2" s="2716"/>
      <c r="F2" s="2715" t="s">
        <v>2801</v>
      </c>
      <c r="G2" s="2717">
        <f>IF(E2="商业",项目基本情况!B37,IF(E2="办公",项目基本情况!C37,IF(E2="住宅",项目基本情况!D37,项目基本情况!E37)))</f>
        <v>0</v>
      </c>
      <c r="H2" s="2715" t="s">
        <v>2802</v>
      </c>
      <c r="I2" s="2717">
        <f>IF(E2="商业",项目基本情况!B38,IF(E2="办公",项目基本情况!C38,IF(E2="住宅",项目基本情况!D38,项目基本情况!E38)))</f>
        <v>0</v>
      </c>
      <c r="J2" s="2718"/>
      <c r="K2" s="1365"/>
      <c r="L2" s="2719" t="s">
        <v>2803</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2804</v>
      </c>
      <c r="B3" s="247" t="e">
        <f>ROUND(B2*10000/D1,0)</f>
        <v>#DIV/0!</v>
      </c>
      <c r="C3" s="2714" t="s">
        <v>2805</v>
      </c>
      <c r="D3" s="2715" t="s">
        <v>2806</v>
      </c>
      <c r="E3" s="2720"/>
      <c r="F3" s="2721" t="s">
        <v>2807</v>
      </c>
      <c r="G3" s="908" t="e">
        <f>IF(F3="宗地容积率",'数据-汇总表'!I4,IF(F3="估价对象容积率",'数据-汇总表'!I6,'数据-汇总表'!I7))</f>
        <v>#DIV/0!</v>
      </c>
      <c r="H3" s="197" t="s">
        <v>2808</v>
      </c>
      <c r="I3" s="939"/>
      <c r="J3" s="2718" t="s">
        <v>2809</v>
      </c>
      <c r="K3" s="1365"/>
      <c r="L3" s="2719" t="s">
        <v>2810</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42"/>
      <c r="B4" s="3343"/>
      <c r="C4" s="3343"/>
      <c r="D4" s="3344"/>
      <c r="E4" s="3344"/>
      <c r="F4" s="3344"/>
      <c r="G4" s="3344"/>
      <c r="H4" s="3344"/>
      <c r="I4" s="3344"/>
      <c r="J4" s="3345"/>
      <c r="K4" s="1365"/>
      <c r="L4" s="2719" t="s">
        <v>2811</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2812</v>
      </c>
      <c r="C5" s="909" t="e">
        <f>ROUND(IF(E2="商业",IF(F16="增加",C6*C7+C16,C6*C7-C16),IF(E2="住宅",IF(F16="增加",C6*C12+C16,C6*C12-C16),IF(F16="增加",C6+C16,C6-C16))),0)</f>
        <v>#DIV/0!</v>
      </c>
      <c r="D5" s="1782">
        <f>ROUND(IF(E2="商业",IF(F16="增加",C6+C16,C6-C16)),0)</f>
        <v>0</v>
      </c>
      <c r="E5" s="2724"/>
      <c r="F5" s="2724"/>
      <c r="G5" s="2725"/>
      <c r="H5" s="2725"/>
      <c r="I5" s="2725"/>
      <c r="J5" s="2726"/>
      <c r="K5" s="2727"/>
      <c r="L5" s="2719" t="s">
        <v>2813</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5.75" thickBot="1">
      <c r="A6" s="2732" t="s">
        <v>2814</v>
      </c>
      <c r="B6" s="2733" t="s">
        <v>2815</v>
      </c>
      <c r="C6" s="910">
        <f>SUMIF(L1:L12,G2,M1:M12)</f>
        <v>0</v>
      </c>
      <c r="D6" s="2734" t="s">
        <v>2816</v>
      </c>
      <c r="E6" s="2735"/>
      <c r="F6" s="2735"/>
      <c r="G6" s="2736"/>
      <c r="H6" s="2736"/>
      <c r="I6" s="2736"/>
      <c r="J6" s="2737"/>
      <c r="K6" s="1837"/>
      <c r="L6" s="2719" t="s">
        <v>2817</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24">
      <c r="A7" s="3328" t="str">
        <f>IF(E2="商业",IF(C8="不临58条商业街","",2),"")</f>
        <v/>
      </c>
      <c r="B7" s="2738" t="s">
        <v>2818</v>
      </c>
      <c r="C7" s="911" t="e">
        <f>IF(C8="不临58条商业街",1,ROUND(1+(1.6*E8+1.2*E9+0.8*E10+0.4*E11)*C9,4))</f>
        <v>#DIV/0!</v>
      </c>
      <c r="D7" s="2739" t="s">
        <v>2819</v>
      </c>
      <c r="E7" s="940"/>
      <c r="F7" s="2740"/>
      <c r="G7" s="2741"/>
      <c r="H7" s="2741"/>
      <c r="I7" s="2741"/>
      <c r="J7" s="2742"/>
      <c r="K7" s="1837"/>
      <c r="L7" s="2719" t="s">
        <v>2820</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2821</v>
      </c>
      <c r="X7" s="1599">
        <f>G2</f>
        <v>0</v>
      </c>
      <c r="Y7" s="1599" t="s">
        <v>2822</v>
      </c>
      <c r="Z7" s="1600" t="e">
        <f>G3</f>
        <v>#DIV/0!</v>
      </c>
      <c r="AA7" s="1601"/>
      <c r="AB7" s="1601"/>
      <c r="AC7" s="1602"/>
      <c r="AD7" s="1603"/>
      <c r="AE7" s="1603"/>
      <c r="AF7" s="1603"/>
      <c r="AG7" s="1603"/>
      <c r="AH7" s="1603"/>
      <c r="AI7" s="1603"/>
      <c r="AJ7" s="1604"/>
    </row>
    <row r="8" spans="1:36" ht="15">
      <c r="A8" s="3329"/>
      <c r="B8" s="197" t="s">
        <v>2823</v>
      </c>
      <c r="C8" s="2743"/>
      <c r="D8" s="912" t="s">
        <v>139</v>
      </c>
      <c r="E8" s="913" t="e">
        <f>ROUND(C11/E7,4)</f>
        <v>#DIV/0!</v>
      </c>
      <c r="F8" s="2744" t="s">
        <v>2824</v>
      </c>
      <c r="G8" s="2745"/>
      <c r="H8" s="2745"/>
      <c r="I8" s="2745"/>
      <c r="J8" s="2746"/>
      <c r="K8" s="1365"/>
      <c r="L8" s="2719" t="s">
        <v>2825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39" t="s">
        <v>2826</v>
      </c>
      <c r="X8" s="3340"/>
      <c r="Y8" s="1605" t="s">
        <v>2827</v>
      </c>
      <c r="Z8" s="1605" t="s">
        <v>2828</v>
      </c>
      <c r="AA8" s="1605" t="s">
        <v>2829</v>
      </c>
      <c r="AB8" s="1605" t="s">
        <v>2830</v>
      </c>
      <c r="AC8" s="1605" t="s">
        <v>2831</v>
      </c>
      <c r="AD8" s="1605" t="s">
        <v>2832</v>
      </c>
      <c r="AE8" s="1605" t="s">
        <v>2833</v>
      </c>
      <c r="AF8" s="1605" t="s">
        <v>2834</v>
      </c>
      <c r="AG8" s="1605" t="s">
        <v>2835</v>
      </c>
      <c r="AH8" s="1605" t="s">
        <v>2836</v>
      </c>
      <c r="AI8" s="1605" t="s">
        <v>2837</v>
      </c>
      <c r="AJ8" s="1605" t="s">
        <v>2838</v>
      </c>
    </row>
    <row r="9" spans="1:36" ht="15">
      <c r="A9" s="3329"/>
      <c r="B9" s="197" t="s">
        <v>2839</v>
      </c>
      <c r="C9" s="914">
        <f>SUMIF(修正!C59:C119,C8,修正!E59:E119)</f>
        <v>0</v>
      </c>
      <c r="D9" s="199" t="s">
        <v>140</v>
      </c>
      <c r="E9" s="199" t="e">
        <f>ROUND(C11/E7,4)</f>
        <v>#DIV/0!</v>
      </c>
      <c r="F9" s="2744" t="s">
        <v>2840</v>
      </c>
      <c r="G9" s="2745"/>
      <c r="H9" s="2745"/>
      <c r="I9" s="2745"/>
      <c r="J9" s="2746"/>
      <c r="K9" s="1365"/>
      <c r="L9" s="2719" t="s">
        <v>2841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41" t="s">
        <v>2842</v>
      </c>
      <c r="X9" s="1606" t="s">
        <v>2843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29"/>
      <c r="B10" s="197" t="s">
        <v>2844</v>
      </c>
      <c r="C10" s="199">
        <f>SUMIF(修正!C59:C119,C8,修正!F59:F119)</f>
        <v>0</v>
      </c>
      <c r="D10" s="199" t="s">
        <v>141</v>
      </c>
      <c r="E10" s="199" t="e">
        <f>ROUND(C11/E7,4)</f>
        <v>#DIV/0!</v>
      </c>
      <c r="F10" s="2744" t="s">
        <v>2845</v>
      </c>
      <c r="G10" s="2745"/>
      <c r="H10" s="2745"/>
      <c r="I10" s="2745"/>
      <c r="J10" s="2746"/>
      <c r="K10" s="1365"/>
      <c r="L10" s="2719" t="s">
        <v>2846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4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29"/>
      <c r="B11" s="2747" t="s">
        <v>2847</v>
      </c>
      <c r="C11" s="915">
        <f>C10/4</f>
        <v>0</v>
      </c>
      <c r="D11" s="915" t="s">
        <v>142</v>
      </c>
      <c r="E11" s="915" t="e">
        <f>ROUND(C11/E7,4)</f>
        <v>#DIV/0!</v>
      </c>
      <c r="F11" s="2748" t="s">
        <v>2848</v>
      </c>
      <c r="G11" s="2749"/>
      <c r="H11" s="2749"/>
      <c r="I11" s="2749"/>
      <c r="J11" s="2750"/>
      <c r="K11" s="1365"/>
      <c r="L11" s="2719" t="s">
        <v>2849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41" t="s">
        <v>2850</v>
      </c>
      <c r="X11" s="1609" t="s">
        <v>2851</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328" t="s">
        <v>2852</v>
      </c>
      <c r="B12" s="2751" t="s">
        <v>2853</v>
      </c>
      <c r="C12" s="911">
        <f>ROUND(C15*D15*E15*F15*G15*H15*I15*J15,4)</f>
        <v>1</v>
      </c>
      <c r="D12" s="2752" t="s">
        <v>2854</v>
      </c>
      <c r="E12" s="2753"/>
      <c r="F12" s="2753"/>
      <c r="G12" s="2754"/>
      <c r="H12" s="2754"/>
      <c r="I12" s="2754"/>
      <c r="J12" s="2755"/>
      <c r="K12" s="1365"/>
      <c r="L12" s="2756" t="s">
        <v>2855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41"/>
      <c r="X12" s="1611" t="s">
        <v>2856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46"/>
      <c r="B13" s="2757" t="s">
        <v>2857</v>
      </c>
      <c r="C13" s="2758" t="s">
        <v>2858</v>
      </c>
      <c r="D13" s="1803" t="s">
        <v>2859</v>
      </c>
      <c r="E13" s="1803" t="s">
        <v>2860</v>
      </c>
      <c r="F13" s="30" t="s">
        <v>2861</v>
      </c>
      <c r="G13" s="2759" t="s">
        <v>2862</v>
      </c>
      <c r="H13" s="2759" t="s">
        <v>2862</v>
      </c>
      <c r="I13" s="2759" t="s">
        <v>2862</v>
      </c>
      <c r="J13" s="2760" t="s">
        <v>2862</v>
      </c>
      <c r="K13" s="1365"/>
      <c r="L13" s="1365"/>
      <c r="M13" s="1365"/>
      <c r="N13" s="1365"/>
      <c r="O13" s="1365"/>
      <c r="P13" s="1365"/>
      <c r="Q13" s="1365"/>
      <c r="R13" s="1597">
        <v>12</v>
      </c>
      <c r="S13" s="1598"/>
      <c r="T13" s="1597" t="e">
        <f t="shared" si="0"/>
        <v>#DIV/0!</v>
      </c>
      <c r="U13" s="1598"/>
      <c r="V13" s="1597" t="e">
        <f t="shared" si="1"/>
        <v>#DIV/0!</v>
      </c>
      <c r="W13" s="3341"/>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46"/>
      <c r="B14" s="2761"/>
      <c r="C14" s="2762"/>
      <c r="D14" s="2763"/>
      <c r="E14" s="2763"/>
      <c r="F14" s="2764"/>
      <c r="G14" s="2765" t="s">
        <v>2863</v>
      </c>
      <c r="H14" s="2766"/>
      <c r="I14" s="2767"/>
      <c r="J14" s="2768"/>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47"/>
      <c r="B15" s="2769" t="s">
        <v>2864</v>
      </c>
      <c r="C15" s="228">
        <f>IF(C14="有",1.1,1)</f>
        <v>1</v>
      </c>
      <c r="D15" s="228">
        <f>IF(D14="有",1.1,1)</f>
        <v>1</v>
      </c>
      <c r="E15" s="228">
        <f>IF(E14="有",1.1,1)</f>
        <v>1</v>
      </c>
      <c r="F15" s="228">
        <f>IF(F14="500米范围内",1.2,IF(F14="500-1000米",1.1,1))</f>
        <v>1</v>
      </c>
      <c r="G15" s="941">
        <v>1</v>
      </c>
      <c r="H15" s="941">
        <v>1</v>
      </c>
      <c r="I15" s="941">
        <v>1</v>
      </c>
      <c r="J15" s="942">
        <v>1</v>
      </c>
      <c r="K15" s="1365"/>
      <c r="L15" s="2770" t="s">
        <v>2800</v>
      </c>
      <c r="M15" s="912" t="s">
        <v>2865</v>
      </c>
      <c r="N15" s="912" t="s">
        <v>2866</v>
      </c>
      <c r="O15" s="912" t="s">
        <v>2867</v>
      </c>
      <c r="P15" s="2771" t="s">
        <v>2868</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28" t="s">
        <v>2869</v>
      </c>
      <c r="B16" s="2738" t="s">
        <v>2870</v>
      </c>
      <c r="C16" s="1796" t="e">
        <f>ROUND(SUM(G17:J17)/C17,0)</f>
        <v>#DIV/0!</v>
      </c>
      <c r="D16" s="2772" t="s">
        <v>2871</v>
      </c>
      <c r="E16" s="2773"/>
      <c r="F16" s="2774"/>
      <c r="G16" s="2775"/>
      <c r="H16" s="2775"/>
      <c r="I16" s="2775"/>
      <c r="J16" s="2776"/>
      <c r="K16" s="1365"/>
      <c r="L16" s="2777" t="s">
        <v>2872</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29"/>
      <c r="B17" s="2778" t="s">
        <v>2873</v>
      </c>
      <c r="C17" s="916">
        <f>SUMPRODUCT((修正!A2:A5=E2)*(修正!B1:M1=G2)*(修正!B2:M5))</f>
        <v>0</v>
      </c>
      <c r="D17" s="2779" t="s">
        <v>2874</v>
      </c>
      <c r="E17" s="915" t="str">
        <f>IF(OR(G2="八级",G2="九级",G2="十级",G2="十一级",G2="十二级"),"五通一平","七通一平")</f>
        <v>七通一平</v>
      </c>
      <c r="F17" s="916" t="s">
        <v>2875</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0" t="s">
        <v>2876</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1"/>
      <c r="AF17" s="2781"/>
      <c r="AG17" s="2713"/>
      <c r="AH17" s="2713"/>
      <c r="AI17" s="2713"/>
      <c r="AJ17" s="2713"/>
    </row>
    <row r="18" spans="1:37" s="2731" customFormat="1" ht="15.75" thickBot="1">
      <c r="A18" s="2782" t="s">
        <v>808</v>
      </c>
      <c r="B18" s="2783" t="s">
        <v>2877</v>
      </c>
      <c r="C18" s="918">
        <f>SUMIF(修正!C18:C39,E3,修正!E18:E39)</f>
        <v>0</v>
      </c>
      <c r="D18" s="2784"/>
      <c r="E18" s="2785"/>
      <c r="F18" s="2786"/>
      <c r="G18" s="2787"/>
      <c r="H18" s="2787"/>
      <c r="I18" s="2787"/>
      <c r="J18" s="2788"/>
      <c r="K18" s="1372"/>
      <c r="O18" s="1370"/>
      <c r="P18" s="1370"/>
      <c r="Q18" s="1371"/>
      <c r="R18" s="1371"/>
      <c r="S18" s="1371"/>
      <c r="T18" s="1366"/>
      <c r="U18" s="1366"/>
      <c r="V18" s="1366"/>
      <c r="W18" s="1365"/>
      <c r="X18" s="1365"/>
      <c r="Y18" s="1365"/>
      <c r="Z18" s="1372"/>
      <c r="AA18" s="1373"/>
      <c r="AB18" s="1373"/>
      <c r="AC18" s="1373"/>
      <c r="AD18" s="1373"/>
      <c r="AE18" s="1367"/>
      <c r="AF18" s="1367"/>
      <c r="AG18" s="2789"/>
      <c r="AH18" s="2789"/>
      <c r="AI18" s="2789"/>
    </row>
    <row r="19" spans="1:37" s="2731" customFormat="1" ht="27.75" thickBot="1">
      <c r="A19" s="2782" t="s">
        <v>809</v>
      </c>
      <c r="B19" s="2783" t="s">
        <v>2878</v>
      </c>
      <c r="C19" s="919" t="e">
        <f>ROUND(IF(H19="按公示增长率计算",SUMPRODUCT((地价!A3:A21=YEAR(G19)&amp;"-"&amp;ROUNDUP(MONTH(G19)/3,0))*(地价!X2:AB2=E2)*(地价!X3:AB21)),IF(H19="地价指数",M20/M19,(1+I19)^O19)),4)</f>
        <v>#DIV/0!</v>
      </c>
      <c r="D19" s="2790" t="s">
        <v>2879</v>
      </c>
      <c r="E19" s="920">
        <v>41640</v>
      </c>
      <c r="F19" s="2790" t="s">
        <v>2880</v>
      </c>
      <c r="G19" s="921">
        <f>'数据-取费表'!B2</f>
        <v>43185</v>
      </c>
      <c r="H19" s="2791" t="s">
        <v>2881</v>
      </c>
      <c r="I19" s="922" t="str">
        <f>IF(H19="季度增幅（自定义）",SUMIF(N21:N24,E2,O21:O24),"")</f>
        <v/>
      </c>
      <c r="J19" s="2788"/>
      <c r="K19" s="1372"/>
      <c r="L19" s="2792" t="s">
        <v>2882</v>
      </c>
      <c r="M19" s="1729">
        <f>ROUND(SUMIF(地价!B2:F2,E2,地价!B21:F21),0)</f>
        <v>0</v>
      </c>
      <c r="N19" s="2793" t="s">
        <v>2883</v>
      </c>
      <c r="O19" s="923">
        <f>ROUNDDOWN(DATEDIF(E19,G19,"M")/3,0)</f>
        <v>16</v>
      </c>
      <c r="P19" s="1369"/>
      <c r="Q19" s="1371"/>
      <c r="R19" s="1371"/>
      <c r="S19" s="1371"/>
      <c r="T19" s="1366"/>
      <c r="U19" s="1366"/>
      <c r="V19" s="1366"/>
      <c r="W19" s="1365"/>
      <c r="X19" s="1365"/>
      <c r="Y19" s="1365"/>
      <c r="Z19" s="1372"/>
      <c r="AA19" s="1373"/>
      <c r="AB19" s="1373"/>
      <c r="AC19" s="1373"/>
      <c r="AD19" s="1373"/>
      <c r="AE19" s="1373"/>
      <c r="AF19" s="2794"/>
      <c r="AG19" s="2795"/>
      <c r="AH19" s="2789"/>
      <c r="AI19" s="2796"/>
      <c r="AJ19" s="2796"/>
      <c r="AK19" s="2796"/>
    </row>
    <row r="20" spans="1:37" s="2731" customFormat="1" ht="27.75" thickBot="1">
      <c r="A20" s="2797" t="s">
        <v>810</v>
      </c>
      <c r="B20" s="2798" t="s">
        <v>2884</v>
      </c>
      <c r="C20" s="924" t="e">
        <f>ROUND(POWER(1+G20,J20-I20)*(POWER(1+G20,I20)-1)/(POWER(1+G20,J20)-1),4)</f>
        <v>#DIV/0!</v>
      </c>
      <c r="D20" s="2799" t="s">
        <v>2885</v>
      </c>
      <c r="E20" s="1763">
        <f ca="1">存贷款利率!D4/100</f>
        <v>4.3499999999999997E-2</v>
      </c>
      <c r="F20" s="2799" t="s">
        <v>2876</v>
      </c>
      <c r="G20" s="929">
        <f>SUMIF(M15:P15,E2,M17:P17)</f>
        <v>0</v>
      </c>
      <c r="H20" s="2799" t="s">
        <v>2886</v>
      </c>
      <c r="I20" s="930" t="e">
        <f>SUMIF('数据-取费表'!C6:C15,E2,'数据-取费表'!F6:F15)/COUNTIF('数据-取费表'!C6:C15,E2)</f>
        <v>#DIV/0!</v>
      </c>
      <c r="J20" s="931">
        <f>IF(E2="住宅",70,IF(E2="商业",40,50))</f>
        <v>50</v>
      </c>
      <c r="K20" s="1372"/>
      <c r="L20" s="2800" t="s">
        <v>2887</v>
      </c>
      <c r="M20" s="1730">
        <f>ROUND(SUMPRODUCT((地价!A4:A21=YEAR(G19)&amp;"-"&amp;ROUNDUP(MONTH(G19)/3,0))*(地价!B2:F2=E2)*(地价!B4:F21)),0)</f>
        <v>0</v>
      </c>
      <c r="N20" s="2801" t="s">
        <v>2888</v>
      </c>
      <c r="O20" s="2802" t="s">
        <v>2889</v>
      </c>
      <c r="P20" s="2803" t="s">
        <v>2890</v>
      </c>
      <c r="R20" s="1371"/>
      <c r="S20" s="1371"/>
      <c r="T20" s="1366"/>
      <c r="U20" s="1366"/>
      <c r="V20" s="1366"/>
      <c r="W20" s="1365"/>
      <c r="X20" s="1365"/>
      <c r="Y20" s="1365"/>
      <c r="Z20" s="1372"/>
      <c r="AA20" s="1373"/>
      <c r="AB20" s="1373"/>
      <c r="AC20" s="1373"/>
      <c r="AD20" s="1373"/>
      <c r="AE20" s="1373"/>
      <c r="AF20" s="1373"/>
    </row>
    <row r="21" spans="1:37" s="2731" customFormat="1" ht="15">
      <c r="A21" s="2804" t="s">
        <v>811</v>
      </c>
      <c r="B21" s="2805" t="s">
        <v>2891</v>
      </c>
      <c r="C21" s="932" t="e">
        <f>IF(B21="容积率修正",IF(G3&lt;=10,D22,J22),C23)</f>
        <v>#DIV/0!</v>
      </c>
      <c r="D21" s="2806"/>
      <c r="E21" s="2806"/>
      <c r="F21" s="2806"/>
      <c r="G21" s="2806"/>
      <c r="H21" s="2806"/>
      <c r="I21" s="2806"/>
      <c r="J21" s="2807"/>
      <c r="K21" s="1372"/>
      <c r="N21" s="2808" t="s">
        <v>2892</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1" customFormat="1" ht="14.25">
      <c r="A22" s="2657" t="s">
        <v>2893</v>
      </c>
      <c r="B22" s="2809" t="s">
        <v>2894</v>
      </c>
      <c r="C22" s="1805" t="s">
        <v>2895</v>
      </c>
      <c r="D22" s="1805" t="e">
        <f>IF(E22=G22,F22,IF(G3&lt;=10,ROUND(F22+(H22-F22)*(G3-E22)/(G22-E22),4),"——"))</f>
        <v>#DIV/0!</v>
      </c>
      <c r="E22" s="908"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8"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3" t="e">
        <f>IF(G3&gt;10,D113,"——")</f>
        <v>#DIV/0!</v>
      </c>
      <c r="K22" s="1372"/>
      <c r="N22" s="2808" t="s">
        <v>2896</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57" t="s">
        <v>2897</v>
      </c>
      <c r="B23" s="2810" t="s">
        <v>2898</v>
      </c>
      <c r="C23" s="1008" t="e">
        <f>ROUND(IF(G3&gt;1,IF(I3&lt;7,SUMPRODUCT((B93:B98=I3)*(C92:N92=G2)*(C93:N98)),SUMIF(C92:N92,G2,C100:N100)),IF(I3&lt;7,SUMPRODUCT((B102:B107=I3)*(C92:N92=G2)*(C102:N107)),SUMIF(C92:N92,G2,C109:N109))),4)</f>
        <v>#DIV/0!</v>
      </c>
      <c r="D23" s="2766"/>
      <c r="E23" s="2766"/>
      <c r="F23" s="2811"/>
      <c r="G23" s="2812"/>
      <c r="H23" s="2813"/>
      <c r="I23" s="2814"/>
      <c r="J23" s="2815"/>
      <c r="K23" s="1365"/>
      <c r="N23" s="2808" t="s">
        <v>2899</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89"/>
    </row>
    <row r="24" spans="1:37" s="2731" customFormat="1" ht="15.75" thickBot="1">
      <c r="A24" s="2797" t="s">
        <v>812</v>
      </c>
      <c r="B24" s="2783" t="s">
        <v>2900</v>
      </c>
      <c r="C24" s="919">
        <f>SUMIF(A45:A88,E2,B45:B88)</f>
        <v>0</v>
      </c>
      <c r="D24" s="2786"/>
      <c r="E24" s="2816"/>
      <c r="F24" s="2816"/>
      <c r="G24" s="2816"/>
      <c r="H24" s="2816"/>
      <c r="I24" s="2816"/>
      <c r="J24" s="2817"/>
      <c r="K24" s="1372"/>
      <c r="N24" s="2818" t="s">
        <v>2901</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797" t="s">
        <v>813</v>
      </c>
      <c r="B25" s="2819" t="s">
        <v>2902</v>
      </c>
      <c r="C25" s="925"/>
      <c r="D25" s="2741"/>
      <c r="E25" s="2741"/>
      <c r="F25" s="2820"/>
      <c r="G25" s="2741"/>
      <c r="H25" s="2741"/>
      <c r="I25" s="2741"/>
      <c r="J25" s="2742"/>
      <c r="K25" s="1365"/>
      <c r="N25" s="2821" t="s">
        <v>2903</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2"/>
      <c r="B26" s="2809" t="s">
        <v>2904</v>
      </c>
      <c r="C26" s="205" t="e">
        <f>E29+SUM(E33:E39)</f>
        <v>#DIV/0!</v>
      </c>
      <c r="D26" s="2823"/>
      <c r="E26" s="2766"/>
      <c r="F26" s="2824"/>
      <c r="G26" s="2766"/>
      <c r="H26" s="2766"/>
      <c r="I26" s="2766"/>
      <c r="J26" s="2825"/>
      <c r="K26" s="1365"/>
      <c r="R26" s="1371"/>
      <c r="S26" s="1371"/>
      <c r="T26" s="1366"/>
      <c r="U26" s="1366"/>
      <c r="V26" s="1366"/>
      <c r="W26" s="1365"/>
      <c r="X26" s="1365"/>
      <c r="Y26" s="1365"/>
      <c r="Z26" s="1372"/>
      <c r="AA26" s="1373"/>
      <c r="AB26" s="1373"/>
      <c r="AC26" s="1373"/>
      <c r="AD26" s="1373"/>
    </row>
    <row r="27" spans="1:37" ht="15.75" thickBot="1">
      <c r="A27" s="2822"/>
      <c r="B27" s="2826" t="s">
        <v>2905</v>
      </c>
      <c r="C27" s="926" t="e">
        <f>E30+SUM(I33:I39)</f>
        <v>#DIV/0!</v>
      </c>
      <c r="D27" s="2827"/>
      <c r="E27" s="2828"/>
      <c r="F27" s="2829"/>
      <c r="G27" s="2828"/>
      <c r="H27" s="2828"/>
      <c r="I27" s="2828"/>
      <c r="J27" s="283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1"/>
      <c r="B28" s="2832" t="s">
        <v>2906</v>
      </c>
      <c r="C28" s="2833" t="s">
        <v>2907</v>
      </c>
      <c r="D28" s="2833" t="s">
        <v>2908</v>
      </c>
      <c r="E28" s="2834" t="s">
        <v>2909</v>
      </c>
      <c r="F28" s="2835"/>
      <c r="G28" s="2754"/>
      <c r="H28" s="2754"/>
      <c r="I28" s="2754"/>
      <c r="J28" s="275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6"/>
      <c r="B29" s="2837" t="s">
        <v>2910</v>
      </c>
      <c r="C29" s="205" t="e">
        <f>ROUND(C5*C18*C19*C20*C21*C24,0)</f>
        <v>#DIV/0!</v>
      </c>
      <c r="D29" s="2838"/>
      <c r="E29" s="937" t="e">
        <f>ROUND(C29*D29/10000,0)</f>
        <v>#DIV/0!</v>
      </c>
      <c r="F29" s="2839" t="s">
        <v>2911</v>
      </c>
      <c r="G29" s="2840"/>
      <c r="H29" s="2840"/>
      <c r="I29" s="2840"/>
      <c r="J29" s="2841"/>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3"/>
      <c r="AH29" s="2713"/>
      <c r="AI29" s="2713"/>
      <c r="AJ29" s="2713"/>
    </row>
    <row r="30" spans="1:37" ht="25.5" thickBot="1">
      <c r="A30" s="2842"/>
      <c r="B30" s="2843" t="s">
        <v>2912</v>
      </c>
      <c r="C30" s="228" t="e">
        <f>ROUND(IF(E2="工业",C29*M39,C29*M38),0)</f>
        <v>#DIV/0!</v>
      </c>
      <c r="D30" s="2844"/>
      <c r="E30" s="937" t="e">
        <f>ROUND(C30*D30/10000,0)</f>
        <v>#DIV/0!</v>
      </c>
      <c r="F30" s="2845" t="s">
        <v>2913</v>
      </c>
      <c r="G30" s="2846"/>
      <c r="H30" s="2846"/>
      <c r="I30" s="2846"/>
      <c r="J30" s="2847"/>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3"/>
      <c r="AH30" s="2713"/>
      <c r="AI30" s="2713"/>
      <c r="AJ30" s="2713"/>
    </row>
    <row r="31" spans="1:37" ht="14.25">
      <c r="A31" s="2848"/>
      <c r="B31" s="2849" t="s">
        <v>2914</v>
      </c>
      <c r="C31" s="2850" t="s">
        <v>2915</v>
      </c>
      <c r="D31" s="2754"/>
      <c r="E31" s="2850"/>
      <c r="F31" s="2850"/>
      <c r="G31" s="2752" t="s">
        <v>2916</v>
      </c>
      <c r="H31" s="2754"/>
      <c r="I31" s="2851"/>
      <c r="J31" s="2755"/>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3"/>
      <c r="AH31" s="2713"/>
      <c r="AI31" s="2713"/>
      <c r="AJ31" s="2713"/>
    </row>
    <row r="32" spans="1:37" ht="24">
      <c r="A32" s="2836"/>
      <c r="B32" s="2852"/>
      <c r="C32" s="500" t="s">
        <v>2907</v>
      </c>
      <c r="D32" s="497" t="s">
        <v>2908</v>
      </c>
      <c r="E32" s="497" t="s">
        <v>2909</v>
      </c>
      <c r="F32" s="387" t="s">
        <v>2917</v>
      </c>
      <c r="G32" s="2853" t="s">
        <v>2907</v>
      </c>
      <c r="H32" s="2853" t="s">
        <v>2908</v>
      </c>
      <c r="I32" s="2853" t="s">
        <v>2909</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3"/>
      <c r="AH32" s="2713"/>
      <c r="AI32" s="2713"/>
      <c r="AJ32" s="2713"/>
    </row>
    <row r="33" spans="1:37" ht="36" customHeight="1">
      <c r="A33" s="3336" t="s">
        <v>2918</v>
      </c>
      <c r="B33" s="2854" t="s">
        <v>2919</v>
      </c>
      <c r="C33" s="205" t="e">
        <f>ROUND(D5*C19*C20*C24*F33,0)</f>
        <v>#DIV/0!</v>
      </c>
      <c r="D33" s="2838"/>
      <c r="E33" s="199" t="e">
        <f>ROUND(C33*D33/10000,0)</f>
        <v>#DIV/0!</v>
      </c>
      <c r="F33" s="199">
        <f>SUMIF(修正!A45:A56,G2,修正!B45:B56)</f>
        <v>0</v>
      </c>
      <c r="G33" s="199" t="e">
        <f t="shared" ref="G33:G39" si="6">ROUND(IF(E2="工业",C33*$M$39,C33*$M$38),0)</f>
        <v>#DIV/0!</v>
      </c>
      <c r="H33" s="199">
        <f>D33</f>
        <v>0</v>
      </c>
      <c r="I33" s="199" t="e">
        <f>ROUND(G33*H33/10000,0)</f>
        <v>#DIV/0!</v>
      </c>
      <c r="J33" s="285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37"/>
      <c r="B34" s="2758" t="s">
        <v>2920</v>
      </c>
      <c r="C34" s="205" t="e">
        <f>ROUND(D5*C19*C20*C24*F34,0)</f>
        <v>#DIV/0!</v>
      </c>
      <c r="D34" s="283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37"/>
      <c r="B35" s="2758" t="s">
        <v>2921</v>
      </c>
      <c r="C35" s="205" t="e">
        <f>ROUND(D5*C19*C20*C24*F35,0)</f>
        <v>#DIV/0!</v>
      </c>
      <c r="D35" s="2838"/>
      <c r="E35" s="199" t="e">
        <f t="shared" si="7"/>
        <v>#DIV/0!</v>
      </c>
      <c r="F35" s="199">
        <f>SUMIF(修正!A45:A56,G2,修正!D45:D56)</f>
        <v>0</v>
      </c>
      <c r="G35" s="199" t="e">
        <f t="shared" si="6"/>
        <v>#DIV/0!</v>
      </c>
      <c r="H35" s="199">
        <f t="shared" si="8"/>
        <v>0</v>
      </c>
      <c r="I35" s="199" t="e">
        <f t="shared" si="9"/>
        <v>#DIV/0!</v>
      </c>
      <c r="J35" s="2855"/>
      <c r="K35" s="1365"/>
      <c r="L35" s="1365"/>
      <c r="M35" s="1365"/>
      <c r="N35" s="1365"/>
      <c r="O35" s="1365"/>
      <c r="P35" s="1365"/>
      <c r="Q35" s="1365"/>
      <c r="R35" s="1365"/>
      <c r="S35" s="1365"/>
      <c r="T35" s="1365"/>
      <c r="U35" s="1365"/>
      <c r="V35" s="1365"/>
      <c r="W35" s="1365"/>
      <c r="X35" s="1365"/>
      <c r="Y35" s="1365"/>
      <c r="Z35" s="1366"/>
    </row>
    <row r="36" spans="1:37" ht="13.5" thickBot="1">
      <c r="A36" s="3338"/>
      <c r="B36" s="2758" t="s">
        <v>2922</v>
      </c>
      <c r="C36" s="205" t="e">
        <f>ROUND(D5*C19*C20*C24*F36,0)</f>
        <v>#DIV/0!</v>
      </c>
      <c r="D36" s="2838"/>
      <c r="E36" s="199" t="e">
        <f t="shared" si="7"/>
        <v>#DIV/0!</v>
      </c>
      <c r="F36" s="199">
        <f>SUMIF(修正!A45:A56,G2,修正!E45:E56)</f>
        <v>0</v>
      </c>
      <c r="G36" s="199" t="e">
        <f t="shared" si="6"/>
        <v>#DIV/0!</v>
      </c>
      <c r="H36" s="199">
        <f t="shared" si="8"/>
        <v>0</v>
      </c>
      <c r="I36" s="199" t="e">
        <f t="shared" si="9"/>
        <v>#DIV/0!</v>
      </c>
      <c r="J36" s="2855"/>
      <c r="K36" s="1365"/>
      <c r="L36" s="2712"/>
      <c r="M36" s="2712"/>
      <c r="N36" s="1365"/>
      <c r="O36" s="1365"/>
      <c r="P36" s="1365"/>
      <c r="Q36" s="1365"/>
      <c r="R36" s="1365"/>
      <c r="S36" s="1365"/>
      <c r="T36" s="1365"/>
      <c r="U36" s="1365"/>
      <c r="V36" s="1365"/>
      <c r="W36" s="1365"/>
      <c r="X36" s="1365"/>
      <c r="Y36" s="1365"/>
      <c r="Z36" s="1366"/>
    </row>
    <row r="37" spans="1:37">
      <c r="A37" s="2856"/>
      <c r="B37" s="2758" t="s">
        <v>2923</v>
      </c>
      <c r="C37" s="199" t="e">
        <f>ROUND(C5*C19*C20*C24*F37,0)</f>
        <v>#DIV/0!</v>
      </c>
      <c r="D37" s="2838"/>
      <c r="E37" s="199" t="e">
        <f t="shared" si="7"/>
        <v>#DIV/0!</v>
      </c>
      <c r="F37" s="205">
        <f>SUMIF(修正!A45:A56,G2,修正!F45:F56)</f>
        <v>0</v>
      </c>
      <c r="G37" s="199" t="e">
        <f t="shared" si="6"/>
        <v>#DIV/0!</v>
      </c>
      <c r="H37" s="199">
        <f t="shared" si="8"/>
        <v>0</v>
      </c>
      <c r="I37" s="199" t="e">
        <f t="shared" si="9"/>
        <v>#DIV/0!</v>
      </c>
      <c r="J37" s="2855"/>
      <c r="K37" s="1365"/>
      <c r="L37" s="2857" t="s">
        <v>2924</v>
      </c>
      <c r="M37" s="2858"/>
      <c r="N37" s="1365"/>
      <c r="O37" s="1365"/>
      <c r="P37" s="1365"/>
      <c r="Q37" s="1365"/>
      <c r="R37" s="1365"/>
      <c r="S37" s="1365"/>
      <c r="T37" s="1365"/>
      <c r="U37" s="1365"/>
      <c r="V37" s="1365"/>
      <c r="W37" s="1365"/>
      <c r="X37" s="1365"/>
      <c r="Y37" s="1365"/>
      <c r="Z37" s="1366"/>
    </row>
    <row r="38" spans="1:37">
      <c r="A38" s="2856"/>
      <c r="B38" s="2758" t="s">
        <v>2925</v>
      </c>
      <c r="C38" s="199" t="e">
        <f>ROUND(C5*C19*C20*C24*F38,0)</f>
        <v>#DIV/0!</v>
      </c>
      <c r="D38" s="2838"/>
      <c r="E38" s="199" t="e">
        <f t="shared" si="7"/>
        <v>#DIV/0!</v>
      </c>
      <c r="F38" s="205">
        <f>SUMIF(修正!A45:A56,G2,修正!G45:G56)</f>
        <v>0</v>
      </c>
      <c r="G38" s="199" t="e">
        <f t="shared" si="6"/>
        <v>#DIV/0!</v>
      </c>
      <c r="H38" s="199">
        <f t="shared" si="8"/>
        <v>0</v>
      </c>
      <c r="I38" s="199" t="e">
        <f t="shared" si="9"/>
        <v>#DIV/0!</v>
      </c>
      <c r="J38" s="2855"/>
      <c r="K38" s="1365"/>
      <c r="L38" s="1882" t="s">
        <v>2926</v>
      </c>
      <c r="M38" s="2859">
        <v>0.25</v>
      </c>
      <c r="N38" s="1365"/>
      <c r="O38" s="1365"/>
      <c r="P38" s="1365"/>
      <c r="Q38" s="1365"/>
      <c r="R38" s="1365"/>
      <c r="S38" s="1365"/>
      <c r="T38" s="1365"/>
      <c r="U38" s="1365"/>
      <c r="V38" s="1365"/>
      <c r="W38" s="1365"/>
      <c r="X38" s="1365"/>
      <c r="Y38" s="1365"/>
      <c r="Z38" s="1366"/>
    </row>
    <row r="39" spans="1:37" ht="13.5" thickBot="1">
      <c r="A39" s="2842"/>
      <c r="B39" s="2860" t="s">
        <v>2927</v>
      </c>
      <c r="C39" s="228" t="e">
        <f>ROUND(C5*C19*C20*C24*F39,0)</f>
        <v>#DIV/0!</v>
      </c>
      <c r="D39" s="2844"/>
      <c r="E39" s="228" t="e">
        <f t="shared" si="7"/>
        <v>#DIV/0!</v>
      </c>
      <c r="F39" s="927">
        <f>SUMIF(修正!A45:A56,G2,修正!H45:H56)</f>
        <v>0</v>
      </c>
      <c r="G39" s="228" t="e">
        <f t="shared" si="6"/>
        <v>#DIV/0!</v>
      </c>
      <c r="H39" s="228">
        <f t="shared" si="8"/>
        <v>0</v>
      </c>
      <c r="I39" s="228" t="e">
        <f t="shared" si="9"/>
        <v>#DIV/0!</v>
      </c>
      <c r="J39" s="2861"/>
      <c r="K39" s="1365"/>
      <c r="L39" s="2862" t="s">
        <v>2868</v>
      </c>
      <c r="M39" s="286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4"/>
      <c r="Z41" s="1366"/>
      <c r="AA41" s="1366"/>
      <c r="AB41" s="1366"/>
      <c r="AC41" s="1366"/>
      <c r="AD41" s="1366"/>
      <c r="AE41" s="1366"/>
      <c r="AF41" s="1366"/>
      <c r="AG41" s="1366"/>
      <c r="AH41" s="1366"/>
      <c r="AI41" s="1366"/>
      <c r="AJ41" s="1366"/>
    </row>
    <row r="42" spans="1:37" s="1365" customFormat="1">
      <c r="A42" s="1366"/>
      <c r="B42" s="2864"/>
      <c r="Z42" s="1366"/>
      <c r="AA42" s="1366"/>
      <c r="AB42" s="1366"/>
      <c r="AC42" s="1366"/>
      <c r="AD42" s="1366"/>
      <c r="AE42" s="1366"/>
      <c r="AF42" s="1366"/>
      <c r="AG42" s="1366"/>
      <c r="AH42" s="1366"/>
      <c r="AI42" s="1366"/>
      <c r="AJ42" s="1366"/>
    </row>
    <row r="43" spans="1:37" s="1365" customFormat="1">
      <c r="A43" s="1366"/>
      <c r="B43" s="2864"/>
      <c r="Z43" s="1366"/>
      <c r="AA43" s="1366"/>
      <c r="AB43" s="1366"/>
      <c r="AC43" s="1366"/>
      <c r="AD43" s="1366"/>
      <c r="AE43" s="1366"/>
      <c r="AF43" s="1366"/>
      <c r="AG43" s="1366"/>
      <c r="AH43" s="1366"/>
      <c r="AI43" s="1366"/>
      <c r="AJ43" s="1366"/>
    </row>
    <row r="44" spans="1:37" s="1365" customFormat="1">
      <c r="A44" s="1366"/>
      <c r="B44" s="2864"/>
      <c r="Z44" s="1366"/>
      <c r="AA44" s="1366"/>
      <c r="AB44" s="1366"/>
      <c r="AC44" s="1366"/>
      <c r="AD44" s="1366"/>
      <c r="AE44" s="1366"/>
      <c r="AF44" s="1366"/>
      <c r="AG44" s="1366"/>
      <c r="AH44" s="1366"/>
      <c r="AI44" s="1366"/>
      <c r="AJ44" s="1366"/>
    </row>
    <row r="45" spans="1:37" s="1365" customFormat="1" ht="15.75" thickBot="1">
      <c r="A45" s="2865" t="s">
        <v>2928</v>
      </c>
      <c r="B45" s="2866"/>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7" t="s">
        <v>2929</v>
      </c>
      <c r="B46" s="2868">
        <f>1+E48</f>
        <v>1</v>
      </c>
      <c r="C46" s="2869"/>
      <c r="D46" s="806"/>
      <c r="E46" s="807"/>
      <c r="F46" s="2870"/>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71" t="s">
        <v>2930</v>
      </c>
      <c r="B47" s="1804" t="s">
        <v>2931</v>
      </c>
      <c r="C47" s="1804" t="s">
        <v>2932</v>
      </c>
      <c r="D47" s="1804" t="s">
        <v>2933</v>
      </c>
      <c r="E47" s="811" t="s">
        <v>2934</v>
      </c>
      <c r="F47" s="2872" t="s">
        <v>2935</v>
      </c>
      <c r="G47" s="1804" t="s">
        <v>754</v>
      </c>
      <c r="H47" s="2873" t="s">
        <v>2936</v>
      </c>
      <c r="I47" s="1804" t="s">
        <v>2937</v>
      </c>
      <c r="J47" s="602" t="s">
        <v>2585</v>
      </c>
      <c r="K47" s="602" t="s">
        <v>2586</v>
      </c>
      <c r="L47" s="602" t="s">
        <v>2587</v>
      </c>
      <c r="M47" s="602" t="s">
        <v>2588</v>
      </c>
      <c r="N47" s="602" t="s">
        <v>2589</v>
      </c>
      <c r="AA47" s="1366"/>
      <c r="AB47" s="1366"/>
      <c r="AC47" s="1366"/>
      <c r="AD47" s="1366"/>
      <c r="AE47" s="1366"/>
      <c r="AF47" s="1366"/>
      <c r="AG47" s="1366"/>
      <c r="AH47" s="1366"/>
      <c r="AI47" s="1366"/>
      <c r="AJ47" s="1366"/>
      <c r="AK47" s="1366"/>
    </row>
    <row r="48" spans="1:37" s="1365" customFormat="1" ht="25.5">
      <c r="A48" s="2871" t="s">
        <v>2938</v>
      </c>
      <c r="B48" s="2874" t="str">
        <f>估价对象房地状况!C4</f>
        <v>XX商圈，周边商业氛围，人流量</v>
      </c>
      <c r="C48" s="2763"/>
      <c r="D48" s="1281">
        <f t="shared" ref="D48:D56" si="10">SUMIF($J$47:$N$47,C48,J48:N48)</f>
        <v>0</v>
      </c>
      <c r="E48" s="813">
        <f>ROUND(SUM(D48:D56),4)</f>
        <v>0</v>
      </c>
      <c r="F48" s="2494"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76.5">
      <c r="A49" s="2871" t="s">
        <v>2939</v>
      </c>
      <c r="B49" s="2875" t="str">
        <f>估价对象房地状况!C18</f>
        <v>周边道路状况、公共交通通达情况、停车便捷程度（快速路西四环北路 六号线海淀五路居站 五路桥公交站  61路 79路 121路 地上停车位）</v>
      </c>
      <c r="C49" s="2763"/>
      <c r="D49" s="1281">
        <f t="shared" si="10"/>
        <v>0</v>
      </c>
      <c r="E49" s="814"/>
      <c r="F49" s="2494"/>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1" t="s">
        <v>2940</v>
      </c>
      <c r="B50" s="2875">
        <f>估价对象房地状况!C19</f>
        <v>0</v>
      </c>
      <c r="C50" s="2763"/>
      <c r="D50" s="1281">
        <f t="shared" si="10"/>
        <v>0</v>
      </c>
      <c r="E50" s="814"/>
      <c r="F50" s="2494"/>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1" t="s">
        <v>2941</v>
      </c>
      <c r="B51" s="2876" t="s">
        <v>2942</v>
      </c>
      <c r="C51" s="2763"/>
      <c r="D51" s="1281">
        <f t="shared" si="10"/>
        <v>0</v>
      </c>
      <c r="E51" s="814"/>
      <c r="F51" s="2494"/>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1" t="s">
        <v>2943</v>
      </c>
      <c r="B52" s="2875">
        <f>估价对象房地状况!C24</f>
        <v>0</v>
      </c>
      <c r="C52" s="2763"/>
      <c r="D52" s="1281">
        <f t="shared" si="10"/>
        <v>0</v>
      </c>
      <c r="E52" s="814"/>
      <c r="F52" s="2494"/>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1" t="s">
        <v>2944</v>
      </c>
      <c r="B53" s="2877" t="s">
        <v>2945</v>
      </c>
      <c r="C53" s="2763"/>
      <c r="D53" s="1281">
        <f t="shared" si="10"/>
        <v>0</v>
      </c>
      <c r="E53" s="814"/>
      <c r="F53" s="2494"/>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114.75">
      <c r="A54" s="2878" t="s">
        <v>2946</v>
      </c>
      <c r="B54"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3"/>
      <c r="D54" s="1281">
        <f t="shared" si="10"/>
        <v>0</v>
      </c>
      <c r="E54" s="814"/>
      <c r="F54" s="2494"/>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8" t="s">
        <v>2947</v>
      </c>
      <c r="B55" s="2875">
        <f>估价对象房地状况!C22</f>
        <v>0</v>
      </c>
      <c r="C55" s="2763"/>
      <c r="D55" s="1281">
        <f t="shared" si="10"/>
        <v>0</v>
      </c>
      <c r="E55" s="814"/>
      <c r="F55" s="2494"/>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9" t="s">
        <v>2948</v>
      </c>
      <c r="B56" s="2880">
        <f>估价对象房地状况!C20</f>
        <v>0</v>
      </c>
      <c r="C56" s="2763"/>
      <c r="D56" s="1281">
        <f t="shared" si="10"/>
        <v>0</v>
      </c>
      <c r="E56" s="817"/>
      <c r="F56" s="2494"/>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7" t="s">
        <v>2949</v>
      </c>
      <c r="B57" s="2868">
        <f>1+E59</f>
        <v>1</v>
      </c>
      <c r="C57" s="806"/>
      <c r="D57" s="806"/>
      <c r="E57" s="807"/>
      <c r="F57" s="287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1" t="s">
        <v>2930</v>
      </c>
      <c r="B58" s="1804"/>
      <c r="C58" s="1804" t="s">
        <v>2932</v>
      </c>
      <c r="D58" s="1804" t="s">
        <v>2933</v>
      </c>
      <c r="E58" s="811" t="s">
        <v>2934</v>
      </c>
      <c r="F58" s="2872" t="s">
        <v>2950</v>
      </c>
      <c r="G58" s="1804" t="s">
        <v>754</v>
      </c>
      <c r="H58" s="2873" t="s">
        <v>2936</v>
      </c>
      <c r="I58" s="1804" t="s">
        <v>2937</v>
      </c>
      <c r="J58" s="602" t="s">
        <v>2585</v>
      </c>
      <c r="K58" s="602" t="s">
        <v>2586</v>
      </c>
      <c r="L58" s="602" t="s">
        <v>2587</v>
      </c>
      <c r="M58" s="602" t="s">
        <v>2588</v>
      </c>
      <c r="N58" s="602" t="s">
        <v>2589</v>
      </c>
      <c r="AA58" s="1366"/>
      <c r="AB58" s="1366"/>
      <c r="AC58" s="1366"/>
      <c r="AD58" s="1366"/>
      <c r="AE58" s="1366"/>
      <c r="AF58" s="1366"/>
      <c r="AG58" s="1366"/>
      <c r="AH58" s="1366"/>
      <c r="AI58" s="1366"/>
      <c r="AJ58" s="1366"/>
      <c r="AK58" s="1366"/>
    </row>
    <row r="59" spans="1:37" s="1365" customFormat="1" ht="51">
      <c r="A59" s="2871" t="s">
        <v>2951</v>
      </c>
      <c r="B59" s="2874" t="str">
        <f>估价对象房地状况!C17</f>
        <v>XX商圈，周边办公楼项目，入驻率（物美慧科大厦 新奥特科技大厦 裕友大厦）</v>
      </c>
      <c r="C59" s="2763"/>
      <c r="D59" s="1281">
        <f t="shared" ref="D59:D67" si="15">SUMIF($J$58:$N$58,C59,J59:N59)</f>
        <v>0</v>
      </c>
      <c r="E59" s="813">
        <f>ROUND(SUM(D59:D67),4)</f>
        <v>0</v>
      </c>
      <c r="F59" s="2494"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76.5">
      <c r="A60" s="2871" t="s">
        <v>2939</v>
      </c>
      <c r="B60" s="2875" t="str">
        <f>估价对象房地状况!C18</f>
        <v>周边道路状况、公共交通通达情况、停车便捷程度（快速路西四环北路 六号线海淀五路居站 五路桥公交站  61路 79路 121路 地上停车位）</v>
      </c>
      <c r="C60" s="2763"/>
      <c r="D60" s="1281">
        <f t="shared" si="15"/>
        <v>0</v>
      </c>
      <c r="E60" s="814"/>
      <c r="F60" s="2494"/>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1" t="s">
        <v>2940</v>
      </c>
      <c r="B61" s="2875">
        <f>估价对象房地状况!C19</f>
        <v>0</v>
      </c>
      <c r="C61" s="2763"/>
      <c r="D61" s="1281">
        <f t="shared" si="15"/>
        <v>0</v>
      </c>
      <c r="E61" s="814"/>
      <c r="F61" s="2494"/>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1" t="s">
        <v>2941</v>
      </c>
      <c r="B62" s="2876" t="s">
        <v>2942</v>
      </c>
      <c r="C62" s="2763"/>
      <c r="D62" s="1281">
        <f t="shared" si="15"/>
        <v>0</v>
      </c>
      <c r="E62" s="814"/>
      <c r="F62" s="2494"/>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1" t="s">
        <v>2943</v>
      </c>
      <c r="B63" s="2875">
        <f>估价对象房地状况!C24</f>
        <v>0</v>
      </c>
      <c r="C63" s="2763"/>
      <c r="D63" s="1281">
        <f t="shared" si="15"/>
        <v>0</v>
      </c>
      <c r="E63" s="814"/>
      <c r="F63" s="2494"/>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1" t="s">
        <v>2944</v>
      </c>
      <c r="B64" s="2877" t="s">
        <v>2945</v>
      </c>
      <c r="C64" s="2763"/>
      <c r="D64" s="1281">
        <f t="shared" si="15"/>
        <v>0</v>
      </c>
      <c r="E64" s="814"/>
      <c r="F64" s="2494"/>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114.75">
      <c r="A65" s="2871" t="s">
        <v>2946</v>
      </c>
      <c r="B65"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3"/>
      <c r="D65" s="1281">
        <f t="shared" si="15"/>
        <v>0</v>
      </c>
      <c r="E65" s="814"/>
      <c r="F65" s="2494"/>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71" t="s">
        <v>2947</v>
      </c>
      <c r="B66" s="1720">
        <f>估价对象房地状况!C22</f>
        <v>0</v>
      </c>
      <c r="C66" s="2763"/>
      <c r="D66" s="1281">
        <f t="shared" si="15"/>
        <v>0</v>
      </c>
      <c r="E66" s="814"/>
      <c r="F66" s="2494"/>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9" t="s">
        <v>2948</v>
      </c>
      <c r="B67" s="2881">
        <f>估价对象房地状况!C20</f>
        <v>0</v>
      </c>
      <c r="C67" s="2763"/>
      <c r="D67" s="1281">
        <f t="shared" si="15"/>
        <v>0</v>
      </c>
      <c r="E67" s="817"/>
      <c r="F67" s="2494"/>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7" t="s">
        <v>2952</v>
      </c>
      <c r="B68" s="2868">
        <f>1+E70</f>
        <v>1</v>
      </c>
      <c r="C68" s="806"/>
      <c r="D68" s="806"/>
      <c r="E68" s="807"/>
      <c r="F68" s="287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1" t="s">
        <v>2930</v>
      </c>
      <c r="B69" s="1804"/>
      <c r="C69" s="1804" t="s">
        <v>2932</v>
      </c>
      <c r="D69" s="1804" t="s">
        <v>2933</v>
      </c>
      <c r="E69" s="811" t="s">
        <v>2934</v>
      </c>
      <c r="F69" s="2872" t="s">
        <v>2950</v>
      </c>
      <c r="G69" s="1804" t="s">
        <v>754</v>
      </c>
      <c r="H69" s="2873" t="s">
        <v>2936</v>
      </c>
      <c r="I69" s="1804" t="s">
        <v>2937</v>
      </c>
      <c r="J69" s="602" t="s">
        <v>2585</v>
      </c>
      <c r="K69" s="602" t="s">
        <v>2586</v>
      </c>
      <c r="L69" s="602" t="s">
        <v>2587</v>
      </c>
      <c r="M69" s="602" t="s">
        <v>2588</v>
      </c>
      <c r="N69" s="602" t="s">
        <v>2589</v>
      </c>
      <c r="AA69" s="1366"/>
      <c r="AB69" s="1366"/>
      <c r="AC69" s="1366"/>
      <c r="AD69" s="1366"/>
      <c r="AE69" s="1366"/>
      <c r="AF69" s="1366"/>
      <c r="AG69" s="1366"/>
      <c r="AH69" s="1366"/>
      <c r="AI69" s="1366"/>
      <c r="AJ69" s="1366"/>
      <c r="AK69" s="1366"/>
    </row>
    <row r="70" spans="1:37" s="1365" customFormat="1" ht="24">
      <c r="A70" s="2871" t="s">
        <v>2953</v>
      </c>
      <c r="B70" s="2874">
        <f>估价对象房地状况!C15</f>
        <v>0</v>
      </c>
      <c r="C70" s="2763"/>
      <c r="D70" s="1281">
        <f t="shared" ref="D70:D78" si="20">SUMIF($J$69:$N$69,C70,J70:N70)</f>
        <v>0</v>
      </c>
      <c r="E70" s="813">
        <f>ROUND(SUM(D70:D78),4)</f>
        <v>0</v>
      </c>
      <c r="F70" s="2494"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76.5">
      <c r="A71" s="2871" t="s">
        <v>2939</v>
      </c>
      <c r="B71" s="2875" t="str">
        <f>估价对象房地状况!C18</f>
        <v>周边道路状况、公共交通通达情况、停车便捷程度（快速路西四环北路 六号线海淀五路居站 五路桥公交站  61路 79路 121路 地上停车位）</v>
      </c>
      <c r="C71" s="2763"/>
      <c r="D71" s="1281">
        <f t="shared" si="20"/>
        <v>0</v>
      </c>
      <c r="E71" s="818"/>
      <c r="F71" s="2494"/>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1" t="s">
        <v>2940</v>
      </c>
      <c r="B72" s="2875">
        <f>估价对象房地状况!C19</f>
        <v>0</v>
      </c>
      <c r="C72" s="2763"/>
      <c r="D72" s="1281">
        <f t="shared" si="20"/>
        <v>0</v>
      </c>
      <c r="E72" s="818"/>
      <c r="F72" s="2494"/>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1" t="s">
        <v>2954</v>
      </c>
      <c r="B73" s="2875">
        <f>估价对象房地状况!C24</f>
        <v>0</v>
      </c>
      <c r="C73" s="2763"/>
      <c r="D73" s="1281">
        <f t="shared" si="20"/>
        <v>0</v>
      </c>
      <c r="E73" s="818"/>
      <c r="F73" s="2494"/>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114.75">
      <c r="A74" s="2871" t="s">
        <v>2946</v>
      </c>
      <c r="B74" s="1720"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3"/>
      <c r="D74" s="1281">
        <f t="shared" si="20"/>
        <v>0</v>
      </c>
      <c r="E74" s="818"/>
      <c r="F74" s="2494"/>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71" t="s">
        <v>2947</v>
      </c>
      <c r="B75" s="1720">
        <f>估价对象房地状况!C22</f>
        <v>0</v>
      </c>
      <c r="C75" s="2763"/>
      <c r="D75" s="1281">
        <f t="shared" si="20"/>
        <v>0</v>
      </c>
      <c r="E75" s="818"/>
      <c r="F75" s="2494"/>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2" customFormat="1" ht="24">
      <c r="A76" s="2871" t="s">
        <v>2944</v>
      </c>
      <c r="B76" s="2877" t="s">
        <v>2945</v>
      </c>
      <c r="C76" s="2763"/>
      <c r="D76" s="1281">
        <f t="shared" si="20"/>
        <v>0</v>
      </c>
      <c r="E76" s="818"/>
      <c r="F76" s="2494"/>
      <c r="G76" s="1279"/>
      <c r="H76" s="1283" t="str">
        <f t="shared" si="21"/>
        <v>——</v>
      </c>
      <c r="I76" s="812">
        <v>0.05</v>
      </c>
      <c r="J76" s="1280">
        <f t="shared" si="22"/>
        <v>0</v>
      </c>
      <c r="K76" s="1280">
        <f t="shared" si="23"/>
        <v>0</v>
      </c>
      <c r="L76" s="1280">
        <v>0</v>
      </c>
      <c r="M76" s="1280">
        <f t="shared" si="24"/>
        <v>0</v>
      </c>
      <c r="N76" s="1280">
        <f t="shared" si="24"/>
        <v>0</v>
      </c>
      <c r="AA76" s="2882"/>
      <c r="AB76" s="1366"/>
      <c r="AC76" s="1366"/>
      <c r="AD76" s="1366"/>
      <c r="AE76" s="1366"/>
      <c r="AF76" s="1366"/>
      <c r="AG76" s="1366"/>
      <c r="AH76" s="2882"/>
      <c r="AI76" s="2882"/>
      <c r="AJ76" s="2882"/>
      <c r="AK76" s="2882"/>
    </row>
    <row r="77" spans="1:37" ht="24">
      <c r="A77" s="2871" t="s">
        <v>2948</v>
      </c>
      <c r="B77" s="2874">
        <f>估价对象房地状况!C20</f>
        <v>0</v>
      </c>
      <c r="C77" s="2763"/>
      <c r="D77" s="1281">
        <f t="shared" si="20"/>
        <v>0</v>
      </c>
      <c r="E77" s="818"/>
      <c r="F77" s="2494"/>
      <c r="G77" s="1279"/>
      <c r="H77" s="1283" t="str">
        <f t="shared" si="21"/>
        <v>——</v>
      </c>
      <c r="I77" s="812">
        <v>0.15</v>
      </c>
      <c r="J77" s="1280">
        <f t="shared" si="22"/>
        <v>0</v>
      </c>
      <c r="K77" s="1280">
        <f t="shared" si="23"/>
        <v>0</v>
      </c>
      <c r="L77" s="1280">
        <v>0</v>
      </c>
      <c r="M77" s="1280">
        <f t="shared" si="24"/>
        <v>0</v>
      </c>
      <c r="N77" s="1280">
        <f t="shared" si="24"/>
        <v>0</v>
      </c>
      <c r="Z77" s="2713"/>
      <c r="AA77" s="2789"/>
      <c r="AG77" s="1367"/>
      <c r="AK77" s="2789"/>
    </row>
    <row r="78" spans="1:37" ht="24.75" thickBot="1">
      <c r="A78" s="2879" t="s">
        <v>2955</v>
      </c>
      <c r="B78" s="2883"/>
      <c r="C78" s="2763"/>
      <c r="D78" s="1281">
        <f t="shared" si="20"/>
        <v>0</v>
      </c>
      <c r="E78" s="819"/>
      <c r="F78" s="2494"/>
      <c r="G78" s="1279"/>
      <c r="H78" s="1283" t="str">
        <f t="shared" si="21"/>
        <v>——</v>
      </c>
      <c r="I78" s="816">
        <v>0.04</v>
      </c>
      <c r="J78" s="1280">
        <f t="shared" si="22"/>
        <v>0</v>
      </c>
      <c r="K78" s="1280">
        <f t="shared" si="23"/>
        <v>0</v>
      </c>
      <c r="L78" s="1280">
        <v>0</v>
      </c>
      <c r="M78" s="1280">
        <f t="shared" si="24"/>
        <v>0</v>
      </c>
      <c r="N78" s="1280">
        <f t="shared" si="24"/>
        <v>0</v>
      </c>
      <c r="Z78" s="2713"/>
      <c r="AA78" s="2789"/>
      <c r="AG78" s="1367"/>
      <c r="AK78" s="2789"/>
    </row>
    <row r="79" spans="1:37" ht="15">
      <c r="A79" s="2867" t="s">
        <v>2956</v>
      </c>
      <c r="B79" s="2868">
        <f>1+E81</f>
        <v>1</v>
      </c>
      <c r="C79" s="806"/>
      <c r="D79" s="806"/>
      <c r="E79" s="807"/>
      <c r="F79" s="2870"/>
      <c r="G79" s="6"/>
      <c r="H79" s="6"/>
      <c r="I79" s="6"/>
      <c r="J79" s="7"/>
      <c r="K79" s="7"/>
      <c r="L79" s="7"/>
      <c r="M79" s="7"/>
      <c r="N79" s="7"/>
      <c r="Z79" s="2713"/>
      <c r="AA79" s="2789"/>
      <c r="AG79" s="1367"/>
      <c r="AK79" s="2789"/>
    </row>
    <row r="80" spans="1:37" ht="24.75">
      <c r="A80" s="2871" t="s">
        <v>2930</v>
      </c>
      <c r="B80" s="1804"/>
      <c r="C80" s="1804" t="s">
        <v>2932</v>
      </c>
      <c r="D80" s="1804" t="s">
        <v>2933</v>
      </c>
      <c r="E80" s="811" t="s">
        <v>2934</v>
      </c>
      <c r="F80" s="2872" t="s">
        <v>2950</v>
      </c>
      <c r="G80" s="1804" t="s">
        <v>754</v>
      </c>
      <c r="H80" s="2873" t="s">
        <v>2936</v>
      </c>
      <c r="I80" s="1804" t="s">
        <v>2937</v>
      </c>
      <c r="J80" s="602" t="s">
        <v>2585</v>
      </c>
      <c r="K80" s="602" t="s">
        <v>2586</v>
      </c>
      <c r="L80" s="602" t="s">
        <v>2587</v>
      </c>
      <c r="M80" s="602" t="s">
        <v>2588</v>
      </c>
      <c r="N80" s="602" t="s">
        <v>2589</v>
      </c>
      <c r="Z80" s="2713"/>
      <c r="AA80" s="2789"/>
      <c r="AG80" s="1367"/>
      <c r="AK80" s="2789"/>
    </row>
    <row r="81" spans="1:37" ht="24">
      <c r="A81" s="2871" t="s">
        <v>2957</v>
      </c>
      <c r="B81" s="2875">
        <f>估价对象房地状况!G15</f>
        <v>0</v>
      </c>
      <c r="C81" s="2763"/>
      <c r="D81" s="1281">
        <f t="shared" ref="D81:D88" si="25">SUMIF($J$80:$N$80,C81,J81:N81)</f>
        <v>0</v>
      </c>
      <c r="E81" s="813">
        <f>ROUND(SUM(D81:D88),4)</f>
        <v>0</v>
      </c>
      <c r="F81" s="2494"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3"/>
      <c r="AA81" s="2789"/>
      <c r="AG81" s="1367"/>
      <c r="AK81" s="2789"/>
    </row>
    <row r="82" spans="1:37" ht="14.25">
      <c r="A82" s="2871" t="s">
        <v>2939</v>
      </c>
      <c r="B82" s="2875">
        <f>估价对象房地状况!G16</f>
        <v>0</v>
      </c>
      <c r="C82" s="2763"/>
      <c r="D82" s="1281">
        <f t="shared" si="25"/>
        <v>0</v>
      </c>
      <c r="E82" s="818"/>
      <c r="F82" s="2494"/>
      <c r="G82" s="1279"/>
      <c r="H82" s="1283" t="str">
        <f t="shared" si="26"/>
        <v>——</v>
      </c>
      <c r="I82" s="812">
        <v>0.33</v>
      </c>
      <c r="J82" s="1280">
        <f t="shared" si="27"/>
        <v>0</v>
      </c>
      <c r="K82" s="1280">
        <f t="shared" si="28"/>
        <v>0</v>
      </c>
      <c r="L82" s="1280">
        <v>0</v>
      </c>
      <c r="M82" s="1280">
        <f t="shared" si="29"/>
        <v>0</v>
      </c>
      <c r="N82" s="1280">
        <f t="shared" si="29"/>
        <v>0</v>
      </c>
      <c r="Z82" s="2713"/>
      <c r="AA82" s="2789"/>
      <c r="AG82" s="1367"/>
      <c r="AK82" s="2789"/>
    </row>
    <row r="83" spans="1:37" ht="24">
      <c r="A83" s="2871" t="s">
        <v>2940</v>
      </c>
      <c r="B83" s="2875">
        <f>估价对象房地状况!G17</f>
        <v>0</v>
      </c>
      <c r="C83" s="2763"/>
      <c r="D83" s="1281">
        <f t="shared" si="25"/>
        <v>0</v>
      </c>
      <c r="E83" s="818"/>
      <c r="F83" s="2494"/>
      <c r="G83" s="1279"/>
      <c r="H83" s="1283" t="str">
        <f t="shared" si="26"/>
        <v>——</v>
      </c>
      <c r="I83" s="812">
        <v>0.05</v>
      </c>
      <c r="J83" s="1280">
        <f t="shared" si="27"/>
        <v>0</v>
      </c>
      <c r="K83" s="1280">
        <f t="shared" si="28"/>
        <v>0</v>
      </c>
      <c r="L83" s="1280">
        <v>0</v>
      </c>
      <c r="M83" s="1280">
        <f t="shared" si="29"/>
        <v>0</v>
      </c>
      <c r="N83" s="1280">
        <f t="shared" si="29"/>
        <v>0</v>
      </c>
      <c r="Z83" s="2713"/>
      <c r="AA83" s="2789"/>
      <c r="AG83" s="1367"/>
      <c r="AK83" s="2789"/>
    </row>
    <row r="84" spans="1:37" ht="14.25">
      <c r="A84" s="2871" t="s">
        <v>2954</v>
      </c>
      <c r="B84" s="2875">
        <f>估价对象房地状况!G22</f>
        <v>0</v>
      </c>
      <c r="C84" s="2763"/>
      <c r="D84" s="1281">
        <f t="shared" si="25"/>
        <v>0</v>
      </c>
      <c r="E84" s="818"/>
      <c r="F84" s="2494"/>
      <c r="G84" s="1279"/>
      <c r="H84" s="1283" t="str">
        <f t="shared" si="26"/>
        <v>——</v>
      </c>
      <c r="I84" s="812">
        <v>0.04</v>
      </c>
      <c r="J84" s="1280">
        <f t="shared" si="27"/>
        <v>0</v>
      </c>
      <c r="K84" s="1280">
        <f t="shared" si="28"/>
        <v>0</v>
      </c>
      <c r="L84" s="1280">
        <v>0</v>
      </c>
      <c r="M84" s="1280">
        <f t="shared" si="29"/>
        <v>0</v>
      </c>
      <c r="N84" s="1280">
        <f t="shared" si="29"/>
        <v>0</v>
      </c>
      <c r="Z84" s="2713"/>
      <c r="AA84" s="2789"/>
      <c r="AG84" s="1367"/>
      <c r="AK84" s="2789"/>
    </row>
    <row r="85" spans="1:37" ht="24">
      <c r="A85" s="2871" t="s">
        <v>2946</v>
      </c>
      <c r="B85" s="1720">
        <f>估价对象房地状况!G19</f>
        <v>0</v>
      </c>
      <c r="C85" s="2763"/>
      <c r="D85" s="1281">
        <f t="shared" si="25"/>
        <v>0</v>
      </c>
      <c r="E85" s="818"/>
      <c r="F85" s="2494"/>
      <c r="G85" s="1279"/>
      <c r="H85" s="1283" t="str">
        <f t="shared" si="26"/>
        <v>——</v>
      </c>
      <c r="I85" s="812">
        <v>0.06</v>
      </c>
      <c r="J85" s="1280">
        <f t="shared" si="27"/>
        <v>0</v>
      </c>
      <c r="K85" s="1280">
        <f t="shared" si="28"/>
        <v>0</v>
      </c>
      <c r="L85" s="1280">
        <v>0</v>
      </c>
      <c r="M85" s="1280">
        <f t="shared" si="29"/>
        <v>0</v>
      </c>
      <c r="N85" s="1280">
        <f t="shared" si="29"/>
        <v>0</v>
      </c>
      <c r="Z85" s="2713"/>
      <c r="AA85" s="2789"/>
      <c r="AG85" s="1367"/>
      <c r="AK85" s="2789"/>
    </row>
    <row r="86" spans="1:37" ht="24">
      <c r="A86" s="2871" t="s">
        <v>2947</v>
      </c>
      <c r="B86" s="1720">
        <f>估价对象房地状况!G20</f>
        <v>0</v>
      </c>
      <c r="C86" s="2763"/>
      <c r="D86" s="1281">
        <f t="shared" si="25"/>
        <v>0</v>
      </c>
      <c r="E86" s="818"/>
      <c r="F86" s="2494"/>
      <c r="G86" s="1279"/>
      <c r="H86" s="1283" t="str">
        <f t="shared" si="26"/>
        <v>——</v>
      </c>
      <c r="I86" s="812">
        <v>0.15</v>
      </c>
      <c r="J86" s="1280">
        <f t="shared" si="27"/>
        <v>0</v>
      </c>
      <c r="K86" s="1280">
        <f t="shared" si="28"/>
        <v>0</v>
      </c>
      <c r="L86" s="1280">
        <v>0</v>
      </c>
      <c r="M86" s="1280">
        <f t="shared" si="29"/>
        <v>0</v>
      </c>
      <c r="N86" s="1280">
        <f t="shared" si="29"/>
        <v>0</v>
      </c>
      <c r="Z86" s="2713"/>
      <c r="AA86" s="2789"/>
      <c r="AG86" s="1367"/>
      <c r="AK86" s="2789"/>
    </row>
    <row r="87" spans="1:37" ht="24">
      <c r="A87" s="2871" t="s">
        <v>2944</v>
      </c>
      <c r="B87" s="2877" t="s">
        <v>2958</v>
      </c>
      <c r="C87" s="2763"/>
      <c r="D87" s="1281">
        <f t="shared" si="25"/>
        <v>0</v>
      </c>
      <c r="E87" s="818"/>
      <c r="F87" s="2494"/>
      <c r="G87" s="1279"/>
      <c r="H87" s="1283" t="str">
        <f t="shared" si="26"/>
        <v>——</v>
      </c>
      <c r="I87" s="812">
        <v>0.05</v>
      </c>
      <c r="J87" s="1280">
        <f t="shared" si="27"/>
        <v>0</v>
      </c>
      <c r="K87" s="1280">
        <f t="shared" si="28"/>
        <v>0</v>
      </c>
      <c r="L87" s="1280">
        <v>0</v>
      </c>
      <c r="M87" s="1280">
        <f t="shared" si="29"/>
        <v>0</v>
      </c>
      <c r="N87" s="1280">
        <f t="shared" si="29"/>
        <v>0</v>
      </c>
      <c r="Z87" s="2713"/>
      <c r="AA87" s="2789"/>
      <c r="AG87" s="1367"/>
      <c r="AK87" s="2789"/>
    </row>
    <row r="88" spans="1:37" ht="15" thickBot="1">
      <c r="A88" s="2879" t="s">
        <v>2959</v>
      </c>
      <c r="B88" s="2884">
        <f>估价对象房地状况!G18</f>
        <v>0</v>
      </c>
      <c r="C88" s="2763"/>
      <c r="D88" s="1281">
        <f t="shared" si="25"/>
        <v>0</v>
      </c>
      <c r="E88" s="819"/>
      <c r="F88" s="2494"/>
      <c r="G88" s="1279"/>
      <c r="H88" s="1283" t="str">
        <f t="shared" si="26"/>
        <v>——</v>
      </c>
      <c r="I88" s="816">
        <v>0.06</v>
      </c>
      <c r="J88" s="1280">
        <f t="shared" si="27"/>
        <v>0</v>
      </c>
      <c r="K88" s="1280">
        <f t="shared" si="28"/>
        <v>0</v>
      </c>
      <c r="L88" s="1280">
        <v>0</v>
      </c>
      <c r="M88" s="1280">
        <f t="shared" si="29"/>
        <v>0</v>
      </c>
      <c r="N88" s="1280">
        <f t="shared" si="29"/>
        <v>0</v>
      </c>
      <c r="Z88" s="2713"/>
      <c r="AA88" s="2789"/>
      <c r="AG88" s="1367"/>
      <c r="AK88" s="2789"/>
    </row>
    <row r="90" spans="1:37">
      <c r="A90" s="3330" t="s">
        <v>2960</v>
      </c>
      <c r="B90" s="3330"/>
      <c r="C90" s="3330"/>
      <c r="D90" s="3330"/>
      <c r="E90" s="3330"/>
      <c r="F90" s="3330"/>
      <c r="G90" s="3330"/>
      <c r="H90" s="3330"/>
      <c r="I90" s="3330"/>
      <c r="J90" s="3330"/>
      <c r="K90" s="2885"/>
      <c r="L90" s="2885"/>
      <c r="M90" s="2885"/>
      <c r="N90" s="2885"/>
    </row>
    <row r="91" spans="1:37">
      <c r="A91" s="3332" t="s">
        <v>2961</v>
      </c>
      <c r="B91" s="3332" t="s">
        <v>2962</v>
      </c>
      <c r="C91" s="2839" t="s">
        <v>2963</v>
      </c>
      <c r="D91" s="2840"/>
      <c r="E91" s="2840"/>
      <c r="F91" s="2840"/>
      <c r="G91" s="2840"/>
      <c r="H91" s="2840"/>
      <c r="I91" s="2840"/>
      <c r="J91" s="2886"/>
      <c r="K91" s="2887"/>
      <c r="L91" s="2887"/>
      <c r="M91" s="2887"/>
      <c r="N91" s="2887"/>
    </row>
    <row r="92" spans="1:37">
      <c r="A92" s="3332"/>
      <c r="B92" s="3332"/>
      <c r="C92" s="937" t="s">
        <v>2827</v>
      </c>
      <c r="D92" s="937" t="s">
        <v>2828</v>
      </c>
      <c r="E92" s="937" t="s">
        <v>2829</v>
      </c>
      <c r="F92" s="937" t="s">
        <v>2830</v>
      </c>
      <c r="G92" s="937" t="s">
        <v>2831</v>
      </c>
      <c r="H92" s="937" t="s">
        <v>2832</v>
      </c>
      <c r="I92" s="937" t="s">
        <v>2833</v>
      </c>
      <c r="J92" s="937" t="s">
        <v>2834</v>
      </c>
      <c r="K92" s="937" t="s">
        <v>2835</v>
      </c>
      <c r="L92" s="937" t="s">
        <v>2836</v>
      </c>
      <c r="M92" s="937" t="s">
        <v>2837</v>
      </c>
      <c r="N92" s="937" t="s">
        <v>2838</v>
      </c>
    </row>
    <row r="93" spans="1:37">
      <c r="A93" s="3333" t="s">
        <v>2964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4"/>
      <c r="B99" s="2888" t="s">
        <v>2843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5"/>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3" t="s">
        <v>2965</v>
      </c>
      <c r="B101" s="2892" t="s">
        <v>2966</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34"/>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34"/>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34"/>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34"/>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34"/>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34"/>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34"/>
      <c r="B108" s="3154" t="s">
        <v>2967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5"/>
      <c r="B109" s="3155"/>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31" t="s">
        <v>2968</v>
      </c>
      <c r="B110" s="3331"/>
      <c r="C110" s="3331"/>
      <c r="D110" s="3331"/>
      <c r="E110" s="3331"/>
      <c r="F110" s="3331"/>
      <c r="G110" s="3331"/>
      <c r="H110" s="3331"/>
      <c r="I110" s="3331"/>
      <c r="J110" s="3331"/>
      <c r="K110" s="2894"/>
      <c r="L110" s="2894"/>
      <c r="M110" s="2894"/>
      <c r="N110" s="2894"/>
    </row>
    <row r="112" spans="1:14" ht="13.5" thickBot="1"/>
    <row r="113" spans="1:13" ht="25.5" thickBot="1">
      <c r="A113" s="895" t="s">
        <v>2969</v>
      </c>
      <c r="B113" s="1282" t="e">
        <f>G3</f>
        <v>#DIV/0!</v>
      </c>
      <c r="C113" s="896" t="s">
        <v>2970</v>
      </c>
      <c r="D113" s="897" t="e">
        <f>SUMPRODUCT((A115:A118=F113)*(B114:M114=H113)*B115:M118)</f>
        <v>#DIV/0!</v>
      </c>
      <c r="E113" s="2717" t="s">
        <v>2800</v>
      </c>
      <c r="F113" s="2896">
        <f>E2</f>
        <v>0</v>
      </c>
      <c r="G113" s="2717" t="s">
        <v>2801</v>
      </c>
      <c r="H113" s="2896">
        <f>G2</f>
        <v>0</v>
      </c>
      <c r="I113" s="2717"/>
      <c r="J113" s="2897"/>
      <c r="K113" s="2897"/>
      <c r="L113" s="2897"/>
      <c r="M113" s="2897"/>
    </row>
    <row r="114" spans="1:13">
      <c r="A114" s="900"/>
      <c r="B114" s="2898" t="s">
        <v>2971</v>
      </c>
      <c r="C114" s="2898" t="s">
        <v>2972</v>
      </c>
      <c r="D114" s="2898" t="s">
        <v>2973</v>
      </c>
      <c r="E114" s="2899" t="s">
        <v>2974</v>
      </c>
      <c r="F114" s="2899" t="s">
        <v>2975</v>
      </c>
      <c r="G114" s="2899" t="s">
        <v>2976</v>
      </c>
      <c r="H114" s="2900" t="s">
        <v>2977</v>
      </c>
      <c r="I114" s="2900" t="s">
        <v>2978</v>
      </c>
      <c r="J114" s="2901" t="s">
        <v>2979</v>
      </c>
      <c r="K114" s="2901" t="s">
        <v>2980</v>
      </c>
      <c r="L114" s="2901" t="s">
        <v>2981</v>
      </c>
      <c r="M114" s="2902" t="s">
        <v>2982</v>
      </c>
    </row>
    <row r="115" spans="1:13">
      <c r="A115" s="901" t="s">
        <v>2865</v>
      </c>
      <c r="B115" s="902" t="e">
        <f>ROUND(0.9335-0.0094*B113,4)</f>
        <v>#DIV/0!</v>
      </c>
      <c r="C115" s="902" t="e">
        <f>B115</f>
        <v>#DIV/0!</v>
      </c>
      <c r="D115" s="902" t="e">
        <f>ROUND(0.8331-0.0109*B113,4)</f>
        <v>#DIV/0!</v>
      </c>
      <c r="E115" s="902" t="e">
        <f>D115</f>
        <v>#DIV/0!</v>
      </c>
      <c r="F115" s="902" t="e">
        <f>E115</f>
        <v>#DIV/0!</v>
      </c>
      <c r="G115" s="902" t="e">
        <f>F115</f>
        <v>#DIV/0!</v>
      </c>
      <c r="H115" s="902" t="e">
        <f>G115</f>
        <v>#DIV/0!</v>
      </c>
      <c r="I115" s="902" t="e">
        <f>ROUND(0.689-0.0155*B113,4)</f>
        <v>#DIV/0!</v>
      </c>
      <c r="J115" s="902" t="e">
        <f t="shared" ref="J115:M118" si="33">I115</f>
        <v>#DIV/0!</v>
      </c>
      <c r="K115" s="902" t="e">
        <f t="shared" si="33"/>
        <v>#DIV/0!</v>
      </c>
      <c r="L115" s="902" t="e">
        <f t="shared" si="33"/>
        <v>#DIV/0!</v>
      </c>
      <c r="M115" s="903" t="e">
        <f t="shared" si="33"/>
        <v>#DIV/0!</v>
      </c>
    </row>
    <row r="116" spans="1:13">
      <c r="A116" s="901" t="s">
        <v>2866</v>
      </c>
      <c r="B116" s="902" t="e">
        <f>ROUND(0.949-0.012*B113,4)</f>
        <v>#DIV/0!</v>
      </c>
      <c r="C116" s="902" t="e">
        <f>B116</f>
        <v>#DIV/0!</v>
      </c>
      <c r="D116" s="902" t="e">
        <f>ROUND(0.8567-0.013*B113,4)</f>
        <v>#DIV/0!</v>
      </c>
      <c r="E116" s="902" t="e">
        <f t="shared" ref="E116:H117" si="34">D116</f>
        <v>#DIV/0!</v>
      </c>
      <c r="F116" s="902" t="e">
        <f t="shared" si="34"/>
        <v>#DIV/0!</v>
      </c>
      <c r="G116" s="902" t="e">
        <f t="shared" si="34"/>
        <v>#DIV/0!</v>
      </c>
      <c r="H116" s="902" t="e">
        <f t="shared" si="34"/>
        <v>#DIV/0!</v>
      </c>
      <c r="I116" s="902" t="e">
        <f>ROUND(0.7694-0.014*B113,4)</f>
        <v>#DIV/0!</v>
      </c>
      <c r="J116" s="902" t="e">
        <f t="shared" si="33"/>
        <v>#DIV/0!</v>
      </c>
      <c r="K116" s="902" t="e">
        <f t="shared" si="33"/>
        <v>#DIV/0!</v>
      </c>
      <c r="L116" s="902" t="e">
        <f t="shared" si="33"/>
        <v>#DIV/0!</v>
      </c>
      <c r="M116" s="903" t="e">
        <f t="shared" si="33"/>
        <v>#DIV/0!</v>
      </c>
    </row>
    <row r="117" spans="1:13">
      <c r="A117" s="901" t="s">
        <v>2867</v>
      </c>
      <c r="B117" s="902" t="e">
        <f>ROUND(0.8808-0.006*B113,4)</f>
        <v>#DIV/0!</v>
      </c>
      <c r="C117" s="902" t="e">
        <f>B117</f>
        <v>#DIV/0!</v>
      </c>
      <c r="D117" s="902" t="e">
        <f>ROUND(0.8748-0.008*B113,4)</f>
        <v>#DIV/0!</v>
      </c>
      <c r="E117" s="902" t="e">
        <f t="shared" si="34"/>
        <v>#DIV/0!</v>
      </c>
      <c r="F117" s="902" t="e">
        <f t="shared" si="34"/>
        <v>#DIV/0!</v>
      </c>
      <c r="G117" s="902" t="e">
        <f t="shared" si="34"/>
        <v>#DIV/0!</v>
      </c>
      <c r="H117" s="902" t="e">
        <f t="shared" si="34"/>
        <v>#DIV/0!</v>
      </c>
      <c r="I117" s="902" t="e">
        <f>ROUND(0.7412-0.0095*B113,4)</f>
        <v>#DIV/0!</v>
      </c>
      <c r="J117" s="902" t="e">
        <f t="shared" si="33"/>
        <v>#DIV/0!</v>
      </c>
      <c r="K117" s="902" t="e">
        <f t="shared" si="33"/>
        <v>#DIV/0!</v>
      </c>
      <c r="L117" s="902" t="e">
        <f t="shared" si="33"/>
        <v>#DIV/0!</v>
      </c>
      <c r="M117" s="903" t="e">
        <f t="shared" si="33"/>
        <v>#DIV/0!</v>
      </c>
    </row>
    <row r="118" spans="1:13" ht="13.5" thickBot="1">
      <c r="A118" s="711" t="s">
        <v>2868</v>
      </c>
      <c r="B118" s="904" t="e">
        <f>ROUND(0.7275-0.01*B113,4)</f>
        <v>#DIV/0!</v>
      </c>
      <c r="C118" s="904" t="e">
        <f>B118</f>
        <v>#DIV/0!</v>
      </c>
      <c r="D118" s="904" t="e">
        <f>ROUND(0.7043-0.012*B113,4)</f>
        <v>#DIV/0!</v>
      </c>
      <c r="E118" s="904" t="e">
        <f>D118</f>
        <v>#DIV/0!</v>
      </c>
      <c r="F118" s="904" t="e">
        <f>E118</f>
        <v>#DIV/0!</v>
      </c>
      <c r="G118" s="904" t="e">
        <f>ROUND(0.6299-0.0122*B113,4)</f>
        <v>#DIV/0!</v>
      </c>
      <c r="H118" s="904" t="e">
        <f>G118</f>
        <v>#DIV/0!</v>
      </c>
      <c r="I118" s="904" t="e">
        <f>ROUND(0.5667-0.0136*B113,4)</f>
        <v>#DIV/0!</v>
      </c>
      <c r="J118" s="904" t="e">
        <f t="shared" si="33"/>
        <v>#DIV/0!</v>
      </c>
      <c r="K118" s="904" t="e">
        <f t="shared" si="33"/>
        <v>#DIV/0!</v>
      </c>
      <c r="L118" s="904" t="e">
        <f t="shared" si="33"/>
        <v>#DIV/0!</v>
      </c>
      <c r="M118" s="905"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8" customWidth="1"/>
    <col min="2" max="9" width="8.125" style="870" customWidth="1"/>
    <col min="10" max="13" width="8.125" style="808"/>
    <col min="14" max="14" width="10" style="808" customWidth="1"/>
    <col min="15" max="16" width="8.125" style="808"/>
    <col min="17" max="17" width="34.125" style="808" customWidth="1"/>
    <col min="18" max="18" width="8.125" style="808" customWidth="1"/>
    <col min="19" max="19" width="8.125" style="808"/>
    <col min="20" max="20" width="11.625" style="808" customWidth="1"/>
    <col min="21" max="16384" width="8.1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48" t="s">
        <v>183</v>
      </c>
      <c r="B18" s="874" t="s">
        <v>560</v>
      </c>
      <c r="C18" s="875" t="s">
        <v>561</v>
      </c>
      <c r="D18" s="876"/>
      <c r="E18" s="874">
        <v>1</v>
      </c>
      <c r="F18" s="877" t="s">
        <v>562</v>
      </c>
      <c r="G18" s="878"/>
      <c r="H18" s="870"/>
      <c r="I18" s="870"/>
    </row>
    <row r="19" spans="1:9" s="879" customFormat="1" ht="19.5" customHeight="1">
      <c r="A19" s="3348"/>
      <c r="B19" s="3348" t="s">
        <v>563</v>
      </c>
      <c r="C19" s="875" t="s">
        <v>564</v>
      </c>
      <c r="D19" s="876"/>
      <c r="E19" s="874">
        <v>0.9</v>
      </c>
      <c r="F19" s="877" t="s">
        <v>565</v>
      </c>
      <c r="G19" s="878"/>
      <c r="H19" s="870"/>
      <c r="I19" s="870"/>
    </row>
    <row r="20" spans="1:9" s="879" customFormat="1" ht="19.5" customHeight="1">
      <c r="A20" s="3348"/>
      <c r="B20" s="3348"/>
      <c r="C20" s="875" t="s">
        <v>566</v>
      </c>
      <c r="D20" s="876"/>
      <c r="E20" s="874">
        <v>1.1000000000000001</v>
      </c>
      <c r="F20" s="877" t="s">
        <v>567</v>
      </c>
      <c r="G20" s="878"/>
      <c r="H20" s="870"/>
      <c r="I20" s="870"/>
    </row>
    <row r="21" spans="1:9" s="879" customFormat="1" ht="19.5" customHeight="1">
      <c r="A21" s="3348"/>
      <c r="B21" s="3348"/>
      <c r="C21" s="875" t="s">
        <v>568</v>
      </c>
      <c r="D21" s="876"/>
      <c r="E21" s="874">
        <v>0.8</v>
      </c>
      <c r="F21" s="877" t="s">
        <v>569</v>
      </c>
      <c r="G21" s="878"/>
      <c r="H21" s="870"/>
      <c r="I21" s="870"/>
    </row>
    <row r="22" spans="1:9" s="879" customFormat="1" ht="19.5" customHeight="1">
      <c r="A22" s="3348"/>
      <c r="B22" s="3348"/>
      <c r="C22" s="875" t="s">
        <v>570</v>
      </c>
      <c r="D22" s="876"/>
      <c r="E22" s="874">
        <v>0.5</v>
      </c>
      <c r="F22" s="877"/>
      <c r="G22" s="878"/>
      <c r="H22" s="870"/>
      <c r="I22" s="870"/>
    </row>
    <row r="23" spans="1:9" s="879" customFormat="1" ht="19.5" customHeight="1">
      <c r="A23" s="3348" t="s">
        <v>184</v>
      </c>
      <c r="B23" s="874" t="s">
        <v>560</v>
      </c>
      <c r="C23" s="875" t="s">
        <v>571</v>
      </c>
      <c r="D23" s="876"/>
      <c r="E23" s="874">
        <v>1</v>
      </c>
      <c r="F23" s="877" t="s">
        <v>572</v>
      </c>
      <c r="G23" s="878"/>
      <c r="H23" s="870"/>
      <c r="I23" s="870"/>
    </row>
    <row r="24" spans="1:9" s="879" customFormat="1" ht="19.5" customHeight="1">
      <c r="A24" s="3348"/>
      <c r="B24" s="3348" t="s">
        <v>563</v>
      </c>
      <c r="C24" s="875" t="s">
        <v>573</v>
      </c>
      <c r="D24" s="876"/>
      <c r="E24" s="874">
        <v>0.5</v>
      </c>
      <c r="F24" s="877"/>
      <c r="G24" s="878"/>
      <c r="H24" s="870"/>
      <c r="I24" s="870"/>
    </row>
    <row r="25" spans="1:9" s="879" customFormat="1" ht="19.5" customHeight="1">
      <c r="A25" s="3348"/>
      <c r="B25" s="3348"/>
      <c r="C25" s="875" t="s">
        <v>574</v>
      </c>
      <c r="D25" s="876"/>
      <c r="E25" s="874">
        <v>1.1000000000000001</v>
      </c>
      <c r="F25" s="877"/>
      <c r="G25" s="878"/>
      <c r="H25" s="870"/>
      <c r="I25" s="870"/>
    </row>
    <row r="26" spans="1:9" s="879" customFormat="1" ht="19.5" customHeight="1">
      <c r="A26" s="3348"/>
      <c r="B26" s="3348"/>
      <c r="C26" s="875" t="s">
        <v>575</v>
      </c>
      <c r="D26" s="876"/>
      <c r="E26" s="874">
        <v>1.1000000000000001</v>
      </c>
      <c r="F26" s="877"/>
      <c r="G26" s="878"/>
      <c r="H26" s="870"/>
      <c r="I26" s="870"/>
    </row>
    <row r="27" spans="1:9" s="879" customFormat="1" ht="19.5" customHeight="1">
      <c r="A27" s="3348"/>
      <c r="B27" s="3348"/>
      <c r="C27" s="875" t="s">
        <v>576</v>
      </c>
      <c r="D27" s="876"/>
      <c r="E27" s="874">
        <v>0.9</v>
      </c>
      <c r="F27" s="877" t="s">
        <v>577</v>
      </c>
      <c r="G27" s="878"/>
      <c r="H27" s="870"/>
      <c r="I27" s="870"/>
    </row>
    <row r="28" spans="1:9" s="879" customFormat="1" ht="19.5" customHeight="1">
      <c r="A28" s="3348"/>
      <c r="B28" s="3348"/>
      <c r="C28" s="875" t="s">
        <v>578</v>
      </c>
      <c r="D28" s="876"/>
      <c r="E28" s="874">
        <v>0.9</v>
      </c>
      <c r="F28" s="877" t="s">
        <v>579</v>
      </c>
      <c r="G28" s="878"/>
      <c r="H28" s="870"/>
      <c r="I28" s="870"/>
    </row>
    <row r="29" spans="1:9" s="879" customFormat="1" ht="19.5" customHeight="1">
      <c r="A29" s="3348"/>
      <c r="B29" s="3348"/>
      <c r="C29" s="875" t="s">
        <v>580</v>
      </c>
      <c r="D29" s="876"/>
      <c r="E29" s="874">
        <v>0.9</v>
      </c>
      <c r="F29" s="877" t="s">
        <v>581</v>
      </c>
      <c r="G29" s="878"/>
      <c r="H29" s="870"/>
      <c r="I29" s="870"/>
    </row>
    <row r="30" spans="1:9" s="879" customFormat="1" ht="19.5" customHeight="1">
      <c r="A30" s="3348"/>
      <c r="B30" s="3348"/>
      <c r="C30" s="875" t="s">
        <v>582</v>
      </c>
      <c r="D30" s="876"/>
      <c r="E30" s="874">
        <v>0.9</v>
      </c>
      <c r="F30" s="877" t="s">
        <v>583</v>
      </c>
      <c r="G30" s="878"/>
      <c r="H30" s="870"/>
      <c r="I30" s="870"/>
    </row>
    <row r="31" spans="1:9" s="879" customFormat="1" ht="19.5" customHeight="1">
      <c r="A31" s="3348"/>
      <c r="B31" s="3348"/>
      <c r="C31" s="875" t="s">
        <v>584</v>
      </c>
      <c r="D31" s="876"/>
      <c r="E31" s="874">
        <v>0.8</v>
      </c>
      <c r="F31" s="877" t="s">
        <v>585</v>
      </c>
      <c r="G31" s="878"/>
      <c r="H31" s="870"/>
      <c r="I31" s="870"/>
    </row>
    <row r="32" spans="1:9" s="879" customFormat="1" ht="19.5" customHeight="1">
      <c r="A32" s="3348"/>
      <c r="B32" s="3348"/>
      <c r="C32" s="875" t="s">
        <v>586</v>
      </c>
      <c r="D32" s="876"/>
      <c r="E32" s="874">
        <v>0.8</v>
      </c>
      <c r="F32" s="877" t="s">
        <v>587</v>
      </c>
      <c r="G32" s="878"/>
      <c r="H32" s="870"/>
      <c r="I32" s="870"/>
    </row>
    <row r="33" spans="1:9" s="879" customFormat="1" ht="19.5" customHeight="1">
      <c r="A33" s="3348" t="s">
        <v>185</v>
      </c>
      <c r="B33" s="874" t="s">
        <v>560</v>
      </c>
      <c r="C33" s="875" t="s">
        <v>588</v>
      </c>
      <c r="D33" s="876"/>
      <c r="E33" s="874">
        <v>1</v>
      </c>
      <c r="F33" s="877" t="s">
        <v>589</v>
      </c>
      <c r="G33" s="878"/>
      <c r="H33" s="870"/>
      <c r="I33" s="870"/>
    </row>
    <row r="34" spans="1:9" s="879" customFormat="1" ht="19.5" customHeight="1">
      <c r="A34" s="3348"/>
      <c r="B34" s="874" t="s">
        <v>563</v>
      </c>
      <c r="C34" s="875" t="s">
        <v>590</v>
      </c>
      <c r="D34" s="876"/>
      <c r="E34" s="874">
        <v>1.5</v>
      </c>
      <c r="F34" s="877" t="s">
        <v>591</v>
      </c>
      <c r="G34" s="878"/>
      <c r="H34" s="870"/>
      <c r="I34" s="870"/>
    </row>
    <row r="35" spans="1:9" s="879" customFormat="1" ht="19.5" customHeight="1">
      <c r="A35" s="3348" t="s">
        <v>186</v>
      </c>
      <c r="B35" s="874" t="s">
        <v>560</v>
      </c>
      <c r="C35" s="875" t="s">
        <v>592</v>
      </c>
      <c r="D35" s="876"/>
      <c r="E35" s="874">
        <v>1</v>
      </c>
      <c r="F35" s="877" t="s">
        <v>593</v>
      </c>
      <c r="G35" s="878"/>
      <c r="H35" s="870"/>
      <c r="I35" s="870"/>
    </row>
    <row r="36" spans="1:9" s="879" customFormat="1" ht="19.5" customHeight="1">
      <c r="A36" s="3348"/>
      <c r="B36" s="3348" t="s">
        <v>563</v>
      </c>
      <c r="C36" s="875" t="s">
        <v>594</v>
      </c>
      <c r="D36" s="876"/>
      <c r="E36" s="874">
        <v>1</v>
      </c>
      <c r="F36" s="877" t="s">
        <v>595</v>
      </c>
      <c r="G36" s="878"/>
      <c r="H36" s="870"/>
      <c r="I36" s="870"/>
    </row>
    <row r="37" spans="1:9" s="879" customFormat="1" ht="19.5" customHeight="1">
      <c r="A37" s="3348"/>
      <c r="B37" s="3348"/>
      <c r="C37" s="875" t="s">
        <v>596</v>
      </c>
      <c r="D37" s="876"/>
      <c r="E37" s="874">
        <v>1.5</v>
      </c>
      <c r="F37" s="877" t="s">
        <v>597</v>
      </c>
      <c r="G37" s="878"/>
      <c r="H37" s="870"/>
      <c r="I37" s="870"/>
    </row>
    <row r="38" spans="1:9" s="879" customFormat="1" ht="19.5" customHeight="1">
      <c r="A38" s="3348"/>
      <c r="B38" s="3348"/>
      <c r="C38" s="875" t="s">
        <v>598</v>
      </c>
      <c r="D38" s="876"/>
      <c r="E38" s="874">
        <v>1</v>
      </c>
      <c r="F38" s="877" t="s">
        <v>599</v>
      </c>
      <c r="G38" s="878"/>
      <c r="H38" s="870"/>
      <c r="I38" s="870"/>
    </row>
    <row r="39" spans="1:9" s="879" customFormat="1" ht="19.5" customHeight="1">
      <c r="A39" s="3348"/>
      <c r="B39" s="334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48" t="s">
        <v>614</v>
      </c>
      <c r="C61" s="810" t="s">
        <v>615</v>
      </c>
      <c r="D61" s="810" t="s">
        <v>616</v>
      </c>
      <c r="E61" s="887">
        <v>0.5</v>
      </c>
      <c r="F61" s="874">
        <v>80</v>
      </c>
    </row>
    <row r="62" spans="1:8" s="870" customFormat="1" ht="24">
      <c r="A62" s="874">
        <v>2</v>
      </c>
      <c r="B62" s="3348"/>
      <c r="C62" s="810" t="s">
        <v>617</v>
      </c>
      <c r="D62" s="810" t="s">
        <v>618</v>
      </c>
      <c r="E62" s="887">
        <v>0.5</v>
      </c>
      <c r="F62" s="874">
        <v>80</v>
      </c>
    </row>
    <row r="63" spans="1:8" s="870" customFormat="1" ht="36">
      <c r="A63" s="874">
        <v>3</v>
      </c>
      <c r="B63" s="3348"/>
      <c r="C63" s="810" t="s">
        <v>619</v>
      </c>
      <c r="D63" s="810" t="s">
        <v>620</v>
      </c>
      <c r="E63" s="887">
        <v>0.5</v>
      </c>
      <c r="F63" s="874">
        <v>80</v>
      </c>
    </row>
    <row r="64" spans="1:8" s="870" customFormat="1" ht="36">
      <c r="A64" s="874">
        <v>4</v>
      </c>
      <c r="B64" s="3348"/>
      <c r="C64" s="810" t="s">
        <v>621</v>
      </c>
      <c r="D64" s="810" t="s">
        <v>622</v>
      </c>
      <c r="E64" s="887">
        <v>0.4</v>
      </c>
      <c r="F64" s="874">
        <v>60</v>
      </c>
    </row>
    <row r="65" spans="1:6" s="870" customFormat="1" ht="36">
      <c r="A65" s="874">
        <v>5</v>
      </c>
      <c r="B65" s="3348"/>
      <c r="C65" s="810" t="s">
        <v>623</v>
      </c>
      <c r="D65" s="810" t="s">
        <v>624</v>
      </c>
      <c r="E65" s="887">
        <v>0.2</v>
      </c>
      <c r="F65" s="874">
        <v>30</v>
      </c>
    </row>
    <row r="66" spans="1:6" s="870" customFormat="1" ht="36">
      <c r="A66" s="874">
        <v>6</v>
      </c>
      <c r="B66" s="3348"/>
      <c r="C66" s="810" t="s">
        <v>625</v>
      </c>
      <c r="D66" s="810" t="s">
        <v>626</v>
      </c>
      <c r="E66" s="887">
        <v>0.3</v>
      </c>
      <c r="F66" s="874">
        <v>50</v>
      </c>
    </row>
    <row r="67" spans="1:6" s="870" customFormat="1" ht="36">
      <c r="A67" s="874">
        <v>7</v>
      </c>
      <c r="B67" s="3348"/>
      <c r="C67" s="810" t="s">
        <v>627</v>
      </c>
      <c r="D67" s="810" t="s">
        <v>628</v>
      </c>
      <c r="E67" s="887">
        <v>0.2</v>
      </c>
      <c r="F67" s="874">
        <v>30</v>
      </c>
    </row>
    <row r="68" spans="1:6" s="870" customFormat="1" ht="36">
      <c r="A68" s="874">
        <v>8</v>
      </c>
      <c r="B68" s="3348"/>
      <c r="C68" s="810" t="s">
        <v>629</v>
      </c>
      <c r="D68" s="810" t="s">
        <v>630</v>
      </c>
      <c r="E68" s="887">
        <v>0.2</v>
      </c>
      <c r="F68" s="874">
        <v>30</v>
      </c>
    </row>
    <row r="69" spans="1:6" s="870" customFormat="1" ht="36">
      <c r="A69" s="874">
        <v>9</v>
      </c>
      <c r="B69" s="3348"/>
      <c r="C69" s="810" t="s">
        <v>631</v>
      </c>
      <c r="D69" s="810" t="s">
        <v>632</v>
      </c>
      <c r="E69" s="887">
        <v>0.2</v>
      </c>
      <c r="F69" s="874">
        <v>30</v>
      </c>
    </row>
    <row r="70" spans="1:6" s="870" customFormat="1" ht="48">
      <c r="A70" s="874">
        <v>10</v>
      </c>
      <c r="B70" s="3348"/>
      <c r="C70" s="810" t="s">
        <v>633</v>
      </c>
      <c r="D70" s="810" t="s">
        <v>634</v>
      </c>
      <c r="E70" s="887">
        <v>0.2</v>
      </c>
      <c r="F70" s="874">
        <v>30</v>
      </c>
    </row>
    <row r="71" spans="1:6" s="870" customFormat="1" ht="48">
      <c r="A71" s="874">
        <v>11</v>
      </c>
      <c r="B71" s="3348"/>
      <c r="C71" s="810" t="s">
        <v>635</v>
      </c>
      <c r="D71" s="810" t="s">
        <v>636</v>
      </c>
      <c r="E71" s="887">
        <v>0.2</v>
      </c>
      <c r="F71" s="874">
        <v>30</v>
      </c>
    </row>
    <row r="72" spans="1:6" s="870" customFormat="1" ht="36">
      <c r="A72" s="874">
        <v>12</v>
      </c>
      <c r="B72" s="3348"/>
      <c r="C72" s="810" t="s">
        <v>637</v>
      </c>
      <c r="D72" s="810" t="s">
        <v>638</v>
      </c>
      <c r="E72" s="887">
        <v>0.5</v>
      </c>
      <c r="F72" s="874">
        <v>80</v>
      </c>
    </row>
    <row r="73" spans="1:6" s="870" customFormat="1" ht="24">
      <c r="A73" s="874">
        <v>13</v>
      </c>
      <c r="B73" s="3348"/>
      <c r="C73" s="810" t="s">
        <v>639</v>
      </c>
      <c r="D73" s="810" t="s">
        <v>640</v>
      </c>
      <c r="E73" s="887">
        <v>0.4</v>
      </c>
      <c r="F73" s="874">
        <v>60</v>
      </c>
    </row>
    <row r="74" spans="1:6" s="870" customFormat="1" ht="24">
      <c r="A74" s="874">
        <v>14</v>
      </c>
      <c r="B74" s="3348"/>
      <c r="C74" s="810" t="s">
        <v>641</v>
      </c>
      <c r="D74" s="810" t="s">
        <v>642</v>
      </c>
      <c r="E74" s="887">
        <v>0.2</v>
      </c>
      <c r="F74" s="874">
        <v>30</v>
      </c>
    </row>
    <row r="75" spans="1:6" s="870" customFormat="1" ht="24">
      <c r="A75" s="874">
        <v>15</v>
      </c>
      <c r="B75" s="3348"/>
      <c r="C75" s="810" t="s">
        <v>643</v>
      </c>
      <c r="D75" s="810" t="s">
        <v>644</v>
      </c>
      <c r="E75" s="887">
        <v>0.2</v>
      </c>
      <c r="F75" s="874">
        <v>30</v>
      </c>
    </row>
    <row r="76" spans="1:6" s="870" customFormat="1" ht="24">
      <c r="A76" s="874">
        <v>16</v>
      </c>
      <c r="B76" s="3348" t="s">
        <v>645</v>
      </c>
      <c r="C76" s="810" t="s">
        <v>646</v>
      </c>
      <c r="D76" s="810" t="s">
        <v>647</v>
      </c>
      <c r="E76" s="887">
        <v>0.5</v>
      </c>
      <c r="F76" s="874">
        <v>80</v>
      </c>
    </row>
    <row r="77" spans="1:6" s="870" customFormat="1" ht="24">
      <c r="A77" s="874">
        <v>17</v>
      </c>
      <c r="B77" s="3348"/>
      <c r="C77" s="810" t="s">
        <v>648</v>
      </c>
      <c r="D77" s="810" t="s">
        <v>649</v>
      </c>
      <c r="E77" s="887">
        <v>0.5</v>
      </c>
      <c r="F77" s="874">
        <v>80</v>
      </c>
    </row>
    <row r="78" spans="1:6" s="870" customFormat="1" ht="24">
      <c r="A78" s="874">
        <v>18</v>
      </c>
      <c r="B78" s="3348"/>
      <c r="C78" s="810" t="s">
        <v>650</v>
      </c>
      <c r="D78" s="810" t="s">
        <v>651</v>
      </c>
      <c r="E78" s="887">
        <v>0.2</v>
      </c>
      <c r="F78" s="874">
        <v>30</v>
      </c>
    </row>
    <row r="79" spans="1:6" s="870" customFormat="1" ht="24">
      <c r="A79" s="874">
        <v>19</v>
      </c>
      <c r="B79" s="3348"/>
      <c r="C79" s="810" t="s">
        <v>652</v>
      </c>
      <c r="D79" s="810" t="s">
        <v>653</v>
      </c>
      <c r="E79" s="887">
        <v>0.5</v>
      </c>
      <c r="F79" s="874">
        <v>80</v>
      </c>
    </row>
    <row r="80" spans="1:6" s="870" customFormat="1" ht="36">
      <c r="A80" s="874">
        <v>20</v>
      </c>
      <c r="B80" s="3348"/>
      <c r="C80" s="810" t="s">
        <v>654</v>
      </c>
      <c r="D80" s="810" t="s">
        <v>655</v>
      </c>
      <c r="E80" s="887">
        <v>0.2</v>
      </c>
      <c r="F80" s="874">
        <v>30</v>
      </c>
    </row>
    <row r="81" spans="1:6" s="870" customFormat="1" ht="36">
      <c r="A81" s="874">
        <v>21</v>
      </c>
      <c r="B81" s="3348"/>
      <c r="C81" s="810" t="s">
        <v>656</v>
      </c>
      <c r="D81" s="810" t="s">
        <v>657</v>
      </c>
      <c r="E81" s="887">
        <v>0.2</v>
      </c>
      <c r="F81" s="874">
        <v>30</v>
      </c>
    </row>
    <row r="82" spans="1:6" s="870" customFormat="1" ht="48">
      <c r="A82" s="874">
        <v>22</v>
      </c>
      <c r="B82" s="3348"/>
      <c r="C82" s="810" t="s">
        <v>658</v>
      </c>
      <c r="D82" s="810" t="s">
        <v>659</v>
      </c>
      <c r="E82" s="887">
        <v>0.2</v>
      </c>
      <c r="F82" s="874">
        <v>30</v>
      </c>
    </row>
    <row r="83" spans="1:6" s="870" customFormat="1" ht="48">
      <c r="A83" s="874">
        <v>23</v>
      </c>
      <c r="B83" s="3348"/>
      <c r="C83" s="810" t="s">
        <v>660</v>
      </c>
      <c r="D83" s="810" t="s">
        <v>661</v>
      </c>
      <c r="E83" s="887">
        <v>0.2</v>
      </c>
      <c r="F83" s="874">
        <v>30</v>
      </c>
    </row>
    <row r="84" spans="1:6" s="870" customFormat="1" ht="36">
      <c r="A84" s="874">
        <v>24</v>
      </c>
      <c r="B84" s="3348"/>
      <c r="C84" s="810" t="s">
        <v>662</v>
      </c>
      <c r="D84" s="810" t="s">
        <v>663</v>
      </c>
      <c r="E84" s="887">
        <v>0.2</v>
      </c>
      <c r="F84" s="874">
        <v>30</v>
      </c>
    </row>
    <row r="85" spans="1:6" s="870" customFormat="1" ht="36">
      <c r="A85" s="874">
        <v>25</v>
      </c>
      <c r="B85" s="3348"/>
      <c r="C85" s="810" t="s">
        <v>664</v>
      </c>
      <c r="D85" s="810" t="s">
        <v>665</v>
      </c>
      <c r="E85" s="887">
        <v>0.5</v>
      </c>
      <c r="F85" s="874">
        <v>80</v>
      </c>
    </row>
    <row r="86" spans="1:6" s="870" customFormat="1" ht="36">
      <c r="A86" s="874">
        <v>26</v>
      </c>
      <c r="B86" s="3348"/>
      <c r="C86" s="810" t="s">
        <v>666</v>
      </c>
      <c r="D86" s="810" t="s">
        <v>667</v>
      </c>
      <c r="E86" s="887">
        <v>0.2</v>
      </c>
      <c r="F86" s="874">
        <v>30</v>
      </c>
    </row>
    <row r="87" spans="1:6" s="870" customFormat="1" ht="36">
      <c r="A87" s="874">
        <v>27</v>
      </c>
      <c r="B87" s="3348"/>
      <c r="C87" s="810" t="s">
        <v>668</v>
      </c>
      <c r="D87" s="810" t="s">
        <v>669</v>
      </c>
      <c r="E87" s="887">
        <v>0.2</v>
      </c>
      <c r="F87" s="874">
        <v>30</v>
      </c>
    </row>
    <row r="88" spans="1:6" s="870" customFormat="1" ht="36">
      <c r="A88" s="874">
        <v>28</v>
      </c>
      <c r="B88" s="3348"/>
      <c r="C88" s="810" t="s">
        <v>670</v>
      </c>
      <c r="D88" s="810" t="s">
        <v>671</v>
      </c>
      <c r="E88" s="887">
        <v>0.2</v>
      </c>
      <c r="F88" s="874">
        <v>30</v>
      </c>
    </row>
    <row r="89" spans="1:6" s="870" customFormat="1" ht="24">
      <c r="A89" s="874">
        <v>29</v>
      </c>
      <c r="B89" s="3348"/>
      <c r="C89" s="810" t="s">
        <v>672</v>
      </c>
      <c r="D89" s="810" t="s">
        <v>673</v>
      </c>
      <c r="E89" s="887">
        <v>0.2</v>
      </c>
      <c r="F89" s="874">
        <v>30</v>
      </c>
    </row>
    <row r="90" spans="1:6" s="870" customFormat="1" ht="24">
      <c r="A90" s="874">
        <v>30</v>
      </c>
      <c r="B90" s="3348"/>
      <c r="C90" s="810" t="s">
        <v>674</v>
      </c>
      <c r="D90" s="810" t="s">
        <v>675</v>
      </c>
      <c r="E90" s="887">
        <v>0.2</v>
      </c>
      <c r="F90" s="874">
        <v>30</v>
      </c>
    </row>
    <row r="91" spans="1:6" s="870" customFormat="1" ht="36">
      <c r="A91" s="874">
        <v>31</v>
      </c>
      <c r="B91" s="3348"/>
      <c r="C91" s="810" t="s">
        <v>676</v>
      </c>
      <c r="D91" s="810" t="s">
        <v>677</v>
      </c>
      <c r="E91" s="887">
        <v>0.2</v>
      </c>
      <c r="F91" s="874">
        <v>30</v>
      </c>
    </row>
    <row r="92" spans="1:6" s="870" customFormat="1" ht="24">
      <c r="A92" s="874">
        <v>32</v>
      </c>
      <c r="B92" s="3348" t="s">
        <v>678</v>
      </c>
      <c r="C92" s="874" t="s">
        <v>679</v>
      </c>
      <c r="D92" s="810" t="s">
        <v>680</v>
      </c>
      <c r="E92" s="887">
        <v>0.2</v>
      </c>
      <c r="F92" s="874">
        <v>30</v>
      </c>
    </row>
    <row r="93" spans="1:6" s="870" customFormat="1" ht="36">
      <c r="A93" s="874">
        <v>33</v>
      </c>
      <c r="B93" s="3348"/>
      <c r="C93" s="874" t="s">
        <v>681</v>
      </c>
      <c r="D93" s="810" t="s">
        <v>682</v>
      </c>
      <c r="E93" s="887">
        <v>0.2</v>
      </c>
      <c r="F93" s="874">
        <v>30</v>
      </c>
    </row>
    <row r="94" spans="1:6" s="870" customFormat="1" ht="48">
      <c r="A94" s="874">
        <v>34</v>
      </c>
      <c r="B94" s="3348"/>
      <c r="C94" s="874" t="s">
        <v>683</v>
      </c>
      <c r="D94" s="810" t="s">
        <v>684</v>
      </c>
      <c r="E94" s="887">
        <v>0.2</v>
      </c>
      <c r="F94" s="874">
        <v>30</v>
      </c>
    </row>
    <row r="95" spans="1:6" s="870" customFormat="1" ht="36">
      <c r="A95" s="874">
        <v>35</v>
      </c>
      <c r="B95" s="3348"/>
      <c r="C95" s="874" t="s">
        <v>685</v>
      </c>
      <c r="D95" s="810" t="s">
        <v>686</v>
      </c>
      <c r="E95" s="887">
        <v>0.2</v>
      </c>
      <c r="F95" s="874">
        <v>30</v>
      </c>
    </row>
    <row r="96" spans="1:6" s="870" customFormat="1" ht="48">
      <c r="A96" s="874">
        <v>36</v>
      </c>
      <c r="B96" s="3348"/>
      <c r="C96" s="810" t="s">
        <v>687</v>
      </c>
      <c r="D96" s="810" t="s">
        <v>688</v>
      </c>
      <c r="E96" s="887">
        <v>0.2</v>
      </c>
      <c r="F96" s="874">
        <v>30</v>
      </c>
    </row>
    <row r="97" spans="1:6" s="870" customFormat="1" ht="36">
      <c r="A97" s="874">
        <v>37</v>
      </c>
      <c r="B97" s="3348"/>
      <c r="C97" s="874" t="s">
        <v>689</v>
      </c>
      <c r="D97" s="810" t="s">
        <v>690</v>
      </c>
      <c r="E97" s="887">
        <v>0.2</v>
      </c>
      <c r="F97" s="874">
        <v>30</v>
      </c>
    </row>
    <row r="98" spans="1:6" s="870" customFormat="1" ht="36">
      <c r="A98" s="874">
        <v>38</v>
      </c>
      <c r="B98" s="3348"/>
      <c r="C98" s="874" t="s">
        <v>691</v>
      </c>
      <c r="D98" s="810" t="s">
        <v>692</v>
      </c>
      <c r="E98" s="887">
        <v>0.2</v>
      </c>
      <c r="F98" s="874">
        <v>30</v>
      </c>
    </row>
    <row r="99" spans="1:6" s="870" customFormat="1" ht="36">
      <c r="A99" s="874">
        <v>39</v>
      </c>
      <c r="B99" s="3348" t="s">
        <v>693</v>
      </c>
      <c r="C99" s="874" t="s">
        <v>694</v>
      </c>
      <c r="D99" s="810" t="s">
        <v>695</v>
      </c>
      <c r="E99" s="887">
        <v>0.3</v>
      </c>
      <c r="F99" s="874">
        <v>50</v>
      </c>
    </row>
    <row r="100" spans="1:6" s="870" customFormat="1" ht="24">
      <c r="A100" s="874">
        <v>40</v>
      </c>
      <c r="B100" s="3348"/>
      <c r="C100" s="874" t="s">
        <v>696</v>
      </c>
      <c r="D100" s="810" t="s">
        <v>697</v>
      </c>
      <c r="E100" s="887">
        <v>0.2</v>
      </c>
      <c r="F100" s="874">
        <v>30</v>
      </c>
    </row>
    <row r="101" spans="1:6" s="870" customFormat="1" ht="36">
      <c r="A101" s="874">
        <v>41</v>
      </c>
      <c r="B101" s="334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48" t="s">
        <v>708</v>
      </c>
      <c r="C105" s="874" t="s">
        <v>709</v>
      </c>
      <c r="D105" s="810" t="s">
        <v>710</v>
      </c>
      <c r="E105" s="887">
        <v>0.2</v>
      </c>
      <c r="F105" s="874">
        <v>30</v>
      </c>
    </row>
    <row r="106" spans="1:6" s="870" customFormat="1" ht="36">
      <c r="A106" s="874">
        <v>46</v>
      </c>
      <c r="B106" s="3348"/>
      <c r="C106" s="874" t="s">
        <v>711</v>
      </c>
      <c r="D106" s="810" t="s">
        <v>712</v>
      </c>
      <c r="E106" s="887">
        <v>0.2</v>
      </c>
      <c r="F106" s="874">
        <v>30</v>
      </c>
    </row>
    <row r="107" spans="1:6" s="870" customFormat="1" ht="36">
      <c r="A107" s="874">
        <v>47</v>
      </c>
      <c r="B107" s="3348" t="s">
        <v>713</v>
      </c>
      <c r="C107" s="874" t="s">
        <v>714</v>
      </c>
      <c r="D107" s="810" t="s">
        <v>715</v>
      </c>
      <c r="E107" s="887">
        <v>0.3</v>
      </c>
      <c r="F107" s="874">
        <v>50</v>
      </c>
    </row>
    <row r="108" spans="1:6" s="870" customFormat="1" ht="36">
      <c r="A108" s="874">
        <v>48</v>
      </c>
      <c r="B108" s="334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48" t="s">
        <v>724</v>
      </c>
      <c r="C111" s="874" t="s">
        <v>725</v>
      </c>
      <c r="D111" s="810" t="s">
        <v>726</v>
      </c>
      <c r="E111" s="887">
        <v>0.2</v>
      </c>
      <c r="F111" s="874">
        <v>30</v>
      </c>
    </row>
    <row r="112" spans="1:6" s="870" customFormat="1" ht="24">
      <c r="A112" s="874">
        <v>52</v>
      </c>
      <c r="B112" s="3348"/>
      <c r="C112" s="874" t="s">
        <v>727</v>
      </c>
      <c r="D112" s="810" t="s">
        <v>728</v>
      </c>
      <c r="E112" s="887">
        <v>0.2</v>
      </c>
      <c r="F112" s="874">
        <v>30</v>
      </c>
    </row>
    <row r="113" spans="1:6" s="870" customFormat="1" ht="24">
      <c r="A113" s="874">
        <v>53</v>
      </c>
      <c r="B113" s="334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48" t="s">
        <v>737</v>
      </c>
      <c r="C116" s="874" t="s">
        <v>738</v>
      </c>
      <c r="D116" s="810" t="s">
        <v>739</v>
      </c>
      <c r="E116" s="887">
        <v>0.2</v>
      </c>
      <c r="F116" s="874">
        <v>30</v>
      </c>
    </row>
    <row r="117" spans="1:6" ht="36">
      <c r="A117" s="874">
        <v>57</v>
      </c>
      <c r="B117" s="334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7"/>
    <col min="2" max="16384" width="8.875"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t="e">
        <f>SUMPRODUCT((A105:A204=ROUNDDOWN(基准地价修正!G3,1))*(B104:M104=基准地价修正!G2)*(B105:M204))</f>
        <v>#DIV/0!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5" customWidth="1"/>
    <col min="2" max="2" width="37.125" style="1955" customWidth="1"/>
    <col min="3" max="3" width="11.375" style="1955" customWidth="1"/>
    <col min="4" max="4" width="31.625" style="1955" customWidth="1"/>
    <col min="5" max="5" width="0.5" style="1955" customWidth="1"/>
    <col min="6" max="7" width="13" style="1955" customWidth="1"/>
    <col min="8" max="16384" width="8.875" style="1955"/>
  </cols>
  <sheetData>
    <row r="1" spans="1:5" ht="18.75">
      <c r="A1" s="1953" t="s">
        <v>1622</v>
      </c>
      <c r="B1" s="1954"/>
      <c r="C1" s="1954"/>
      <c r="D1" s="1954"/>
      <c r="E1" s="1954"/>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56"/>
      <c r="B4" s="3038" t="s">
        <v>1631</v>
      </c>
      <c r="C4" s="3038"/>
      <c r="D4" s="3038"/>
      <c r="E4" s="1956"/>
    </row>
    <row r="5" spans="1:5" ht="16.5" thickTop="1">
      <c r="A5" s="1954"/>
      <c r="B5" s="3036" t="s">
        <v>1623</v>
      </c>
      <c r="C5" s="1957" t="s">
        <v>1624</v>
      </c>
      <c r="D5" s="1035">
        <f ca="1">结果表!H101</f>
        <v>43077</v>
      </c>
      <c r="E5" s="1954"/>
    </row>
    <row r="6" spans="1:5" ht="15.75">
      <c r="A6" s="1954"/>
      <c r="B6" s="3036"/>
      <c r="C6" s="1957" t="s">
        <v>1625</v>
      </c>
      <c r="D6" s="1035" t="str">
        <f ca="1">NUMBERSTRING(INT(D5*10000),2)&amp;"元整"</f>
        <v>肆亿叁仟零柒拾柒万元整</v>
      </c>
      <c r="E6" s="1954"/>
    </row>
    <row r="7" spans="1:5" ht="15.75">
      <c r="A7" s="1954"/>
      <c r="B7" s="3041"/>
      <c r="C7" s="1958" t="s">
        <v>1626</v>
      </c>
      <c r="D7" s="1036">
        <f ca="1">结果表!H102</f>
        <v>37045</v>
      </c>
      <c r="E7" s="1954"/>
    </row>
    <row r="8" spans="1:5" ht="15.75">
      <c r="A8" s="1954"/>
      <c r="B8" s="3042" t="str">
        <f>结果表!E103</f>
        <v>2.估价师知悉的法定优先受偿款</v>
      </c>
      <c r="C8" s="1959" t="s">
        <v>1627</v>
      </c>
      <c r="D8" s="1036">
        <f>结果表!H103</f>
        <v>0</v>
      </c>
      <c r="E8" s="1954"/>
    </row>
    <row r="9" spans="1:5" ht="15.75">
      <c r="A9" s="1954"/>
      <c r="B9" s="3044"/>
      <c r="C9" s="1957" t="s">
        <v>1625</v>
      </c>
      <c r="D9" s="1035" t="str">
        <f>NUMBERSTRING(INT(D8*10000),2)&amp;"元整"</f>
        <v>零元整</v>
      </c>
      <c r="E9" s="1954"/>
    </row>
    <row r="10" spans="1:5" ht="15">
      <c r="A10" s="1954"/>
      <c r="B10" s="1960" t="s">
        <v>1630</v>
      </c>
      <c r="C10" s="1961" t="s">
        <v>1628</v>
      </c>
      <c r="D10" s="1037">
        <f>结果表!H104</f>
        <v>0</v>
      </c>
      <c r="E10" s="1954"/>
    </row>
    <row r="11" spans="1:5" ht="15">
      <c r="A11" s="1954"/>
      <c r="B11" s="1960" t="s">
        <v>1632</v>
      </c>
      <c r="C11" s="1961" t="s">
        <v>1633</v>
      </c>
      <c r="D11" s="1037">
        <f>结果表!H105</f>
        <v>0</v>
      </c>
      <c r="E11" s="1954"/>
    </row>
    <row r="12" spans="1:5" ht="15">
      <c r="A12" s="1954"/>
      <c r="B12" s="1960" t="s">
        <v>1634</v>
      </c>
      <c r="C12" s="1961" t="s">
        <v>1633</v>
      </c>
      <c r="D12" s="1037">
        <f>结果表!H106</f>
        <v>0</v>
      </c>
      <c r="E12" s="1954"/>
    </row>
    <row r="13" spans="1:5" ht="15.75">
      <c r="A13" s="1954"/>
      <c r="B13" s="3035" t="str">
        <f>结果表!E107</f>
        <v>3.房地产抵押价值</v>
      </c>
      <c r="C13" s="1962" t="s">
        <v>1624</v>
      </c>
      <c r="D13" s="1038">
        <f ca="1">结果表!H107</f>
        <v>43077</v>
      </c>
      <c r="E13" s="1954"/>
    </row>
    <row r="14" spans="1:5" ht="15.75">
      <c r="A14" s="1954"/>
      <c r="B14" s="3036"/>
      <c r="C14" s="1957" t="s">
        <v>1625</v>
      </c>
      <c r="D14" s="1035" t="str">
        <f ca="1">NUMBERSTRING(INT(D13*10000),2)&amp;"元整"</f>
        <v>肆亿叁仟零柒拾柒万元整</v>
      </c>
      <c r="E14" s="1954"/>
    </row>
    <row r="15" spans="1:5" ht="15">
      <c r="A15" s="1954"/>
      <c r="B15" s="3041"/>
      <c r="C15" s="1958" t="s">
        <v>1635</v>
      </c>
      <c r="D15" s="1047">
        <f ca="1">结果表!H108</f>
        <v>37045</v>
      </c>
      <c r="E15" s="1954"/>
    </row>
    <row r="16" spans="1:5" ht="15">
      <c r="A16" s="1954"/>
      <c r="B16" s="3042" t="str">
        <f>结果表!E109</f>
        <v>——</v>
      </c>
      <c r="C16" s="1962" t="s">
        <v>1636</v>
      </c>
      <c r="D16" s="1963" t="str">
        <f>结果表!H109</f>
        <v>——</v>
      </c>
      <c r="E16" s="1954"/>
    </row>
    <row r="17" spans="1:5" ht="15.75">
      <c r="A17" s="1954"/>
      <c r="B17" s="3043"/>
      <c r="C17" s="1957" t="s">
        <v>1637</v>
      </c>
      <c r="D17" s="1035" t="e">
        <f>NUMBERSTRING(INT(D16*10000),2)&amp;"元整"</f>
        <v>#VALUE!</v>
      </c>
      <c r="E17" s="1954"/>
    </row>
    <row r="18" spans="1:5" ht="15">
      <c r="A18" s="1954"/>
      <c r="B18" s="3044"/>
      <c r="C18" s="1958" t="s">
        <v>1626</v>
      </c>
      <c r="D18" s="1047" t="str">
        <f>结果表!H110</f>
        <v>——</v>
      </c>
      <c r="E18" s="1954"/>
    </row>
    <row r="19" spans="1:5" ht="15.75">
      <c r="A19" s="1954"/>
      <c r="B19" s="3035" t="str">
        <f>结果表!E111</f>
        <v>——</v>
      </c>
      <c r="C19" s="1962" t="s">
        <v>1624</v>
      </c>
      <c r="D19" s="1036" t="str">
        <f>结果表!H111</f>
        <v>——</v>
      </c>
      <c r="E19" s="1954"/>
    </row>
    <row r="20" spans="1:5" ht="15.75">
      <c r="A20" s="1954"/>
      <c r="B20" s="3036"/>
      <c r="C20" s="1957" t="s">
        <v>1637</v>
      </c>
      <c r="D20" s="1035" t="e">
        <f>NUMBERSTRING(INT(D19*10000),2)&amp;"元整"</f>
        <v>#VALUE!</v>
      </c>
      <c r="E20" s="1954"/>
    </row>
    <row r="21" spans="1:5" ht="15.75" thickBot="1">
      <c r="A21" s="1954"/>
      <c r="B21" s="3037"/>
      <c r="C21" s="1964" t="s">
        <v>1635</v>
      </c>
      <c r="D21" s="1048" t="str">
        <f>结果表!H112</f>
        <v>——</v>
      </c>
      <c r="E21" s="1954"/>
    </row>
    <row r="22" spans="1:5" ht="15" thickTop="1">
      <c r="A22" s="1954"/>
      <c r="B22" s="1965" t="s">
        <v>1638</v>
      </c>
      <c r="C22" s="1954"/>
      <c r="D22" s="1954"/>
      <c r="E22" s="1954"/>
    </row>
    <row r="23" spans="1:5">
      <c r="A23" s="1954"/>
      <c r="B23" s="1954"/>
      <c r="C23" s="1954"/>
      <c r="D23" s="1954"/>
      <c r="E23" s="1954"/>
    </row>
    <row r="24" spans="1:5" ht="18.75">
      <c r="A24" s="1966"/>
      <c r="B24" s="1967" t="s">
        <v>1629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8.875" style="1940"/>
  </cols>
  <sheetData>
    <row r="1" spans="1:5" ht="21">
      <c r="A1" s="2554" t="s">
        <v>2991</v>
      </c>
    </row>
    <row r="2" spans="1:5" ht="15.75">
      <c r="A2" s="2903" t="s">
        <v>2983</v>
      </c>
      <c r="B2" s="2904" t="e">
        <f ca="1">SUMIF(B6:B13,"&lt;&gt;#ref!",B6:B13)</f>
        <v>#DIV/0!</v>
      </c>
      <c r="C2" s="2903" t="s">
        <v>2984</v>
      </c>
      <c r="D2" s="2903" t="s">
        <v>2985</v>
      </c>
      <c r="E2" s="2904" t="e">
        <f ca="1">SUM(E6:E13)</f>
        <v>#REF!</v>
      </c>
    </row>
    <row r="3" spans="1:5" ht="15.75">
      <c r="A3" s="2903" t="s">
        <v>2986</v>
      </c>
      <c r="B3" s="2904" t="e">
        <f ca="1">ROUND(B2*10000/E2,0)</f>
        <v>#DIV/0!</v>
      </c>
      <c r="C3" s="2903" t="s">
        <v>2992</v>
      </c>
      <c r="D3" s="2905"/>
      <c r="E3" s="2905"/>
    </row>
    <row r="4" spans="1:5" ht="15.75">
      <c r="A4" s="2906"/>
      <c r="B4" s="2905"/>
      <c r="C4" s="2905"/>
      <c r="D4" s="2905"/>
      <c r="E4" s="2905"/>
    </row>
    <row r="5" spans="1:5" ht="28.5">
      <c r="A5" s="2907" t="s">
        <v>2987</v>
      </c>
      <c r="B5" s="2903" t="s">
        <v>2988</v>
      </c>
      <c r="C5" s="2904"/>
      <c r="D5" s="2905"/>
      <c r="E5" s="2903" t="s">
        <v>2989</v>
      </c>
    </row>
    <row r="6" spans="1:5" ht="15.75">
      <c r="A6" s="2908" t="s">
        <v>2990</v>
      </c>
      <c r="B6" s="2904" t="e">
        <f ca="1">SUMIF(INDIRECT("'"&amp;A6&amp;"'"&amp;"!A:A"),"总价",INDIRECT("'"&amp;A6&amp;"'"&amp;"!B:B"))</f>
        <v>#DIV/0!</v>
      </c>
      <c r="C6" s="2903" t="s">
        <v>2984</v>
      </c>
      <c r="D6" s="2905"/>
      <c r="E6" s="2568">
        <f ca="1">SUMIF(INDIRECT("'"&amp;A6&amp;"'"&amp;"!C:C"),"建筑面积",INDIRECT("'"&amp;A6&amp;"'"&amp;"!D:D"))</f>
        <v>0</v>
      </c>
    </row>
    <row r="7" spans="1:5" ht="15.75">
      <c r="A7" s="2908"/>
      <c r="B7" s="2904" t="e">
        <f ca="1">SUMIF(INDIRECT("'"&amp;A7&amp;"'"&amp;"!A:A"),"总价",INDIRECT("'"&amp;A7&amp;"'"&amp;"!B:B"))</f>
        <v>#REF!</v>
      </c>
      <c r="C7" s="2903" t="s">
        <v>2984</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2984</v>
      </c>
      <c r="D8" s="2905"/>
      <c r="E8" s="2568" t="e">
        <f t="shared" ca="1" si="0"/>
        <v>#REF!</v>
      </c>
    </row>
    <row r="9" spans="1:5" ht="15.75">
      <c r="A9" s="2908"/>
      <c r="B9" s="2904" t="e">
        <f t="shared" ca="1" si="1"/>
        <v>#REF!</v>
      </c>
      <c r="C9" s="2903" t="s">
        <v>2984</v>
      </c>
      <c r="D9" s="2905"/>
      <c r="E9" s="2568" t="e">
        <f t="shared" ca="1" si="0"/>
        <v>#REF!</v>
      </c>
    </row>
    <row r="10" spans="1:5" ht="15.75">
      <c r="A10" s="2908"/>
      <c r="B10" s="2904" t="e">
        <f t="shared" ca="1" si="1"/>
        <v>#REF!</v>
      </c>
      <c r="C10" s="2903" t="s">
        <v>2984</v>
      </c>
      <c r="D10" s="2905"/>
      <c r="E10" s="2568" t="e">
        <f t="shared" ca="1" si="0"/>
        <v>#REF!</v>
      </c>
    </row>
    <row r="11" spans="1:5" ht="15.75">
      <c r="A11" s="2908"/>
      <c r="B11" s="2904" t="e">
        <f t="shared" ca="1" si="1"/>
        <v>#REF!</v>
      </c>
      <c r="C11" s="2903" t="s">
        <v>2984</v>
      </c>
      <c r="D11" s="2905"/>
      <c r="E11" s="2568" t="e">
        <f t="shared" ca="1" si="0"/>
        <v>#REF!</v>
      </c>
    </row>
    <row r="12" spans="1:5" ht="15.75">
      <c r="A12" s="2908"/>
      <c r="B12" s="2904" t="e">
        <f t="shared" ca="1" si="1"/>
        <v>#REF!</v>
      </c>
      <c r="C12" s="2903" t="s">
        <v>2984</v>
      </c>
      <c r="D12" s="2905"/>
      <c r="E12" s="2568" t="e">
        <f t="shared" ca="1" si="0"/>
        <v>#REF!</v>
      </c>
    </row>
    <row r="13" spans="1:5" ht="15.75">
      <c r="A13" s="2908"/>
      <c r="B13" s="2904" t="e">
        <f t="shared" ca="1" si="1"/>
        <v>#REF!</v>
      </c>
      <c r="C13" s="2903" t="s">
        <v>2984</v>
      </c>
      <c r="D13" s="2905"/>
      <c r="E13" s="2568"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6"/>
    <col min="2" max="6" width="9" style="1466" customWidth="1"/>
    <col min="7" max="7" width="8.875" style="1481"/>
    <col min="8" max="8" width="8.875"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8.875" style="1466"/>
    <col min="26" max="27" width="11.625" style="1466" customWidth="1"/>
    <col min="28" max="28" width="8.875" style="1466"/>
    <col min="29" max="29" width="2" style="1466" customWidth="1"/>
    <col min="30" max="16384" width="8.875" style="1466"/>
  </cols>
  <sheetData>
    <row r="1" spans="1:34" s="1440" customFormat="1">
      <c r="B1" s="3354" t="s">
        <v>1150</v>
      </c>
      <c r="C1" s="3354"/>
      <c r="D1" s="3354"/>
      <c r="E1" s="3354"/>
      <c r="F1" s="3354"/>
      <c r="G1" s="3350" t="s">
        <v>1151</v>
      </c>
      <c r="H1" s="3350"/>
      <c r="I1" s="3350"/>
      <c r="J1" s="3350"/>
      <c r="K1" s="3350"/>
      <c r="L1" s="3350"/>
      <c r="N1" s="3350" t="s">
        <v>1152</v>
      </c>
      <c r="O1" s="3350"/>
      <c r="P1" s="3350"/>
      <c r="Q1" s="3350"/>
      <c r="R1" s="1441"/>
      <c r="S1" s="3350" t="s">
        <v>1153</v>
      </c>
      <c r="T1" s="3350"/>
      <c r="U1" s="3350"/>
      <c r="V1" s="3350"/>
      <c r="X1" s="3349" t="s">
        <v>1154</v>
      </c>
      <c r="Y1" s="3350"/>
      <c r="Z1" s="3350"/>
      <c r="AA1" s="3350"/>
      <c r="AB1" s="3350"/>
      <c r="AD1" s="3349" t="s">
        <v>1155</v>
      </c>
      <c r="AE1" s="3350"/>
      <c r="AF1" s="3350"/>
      <c r="AG1" s="3350"/>
      <c r="AH1" s="3350"/>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2" customFormat="1" ht="14.25">
      <c r="A3" s="2931" t="s">
        <v>3030</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8" customFormat="1" ht="14.25">
      <c r="B4" s="1449"/>
      <c r="C4" s="1449"/>
      <c r="D4" s="1450"/>
      <c r="E4" s="1450"/>
      <c r="F4" s="1449"/>
      <c r="G4" s="1451"/>
      <c r="H4" s="1452"/>
      <c r="I4" s="2916"/>
      <c r="J4" s="2916"/>
      <c r="K4" s="2916"/>
      <c r="L4" s="2916"/>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3029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19">
        <v>2018</v>
      </c>
      <c r="H5" s="1725">
        <v>1</v>
      </c>
      <c r="I5" s="2917">
        <v>0</v>
      </c>
      <c r="J5" s="2917">
        <v>0</v>
      </c>
      <c r="K5" s="2917">
        <v>0</v>
      </c>
      <c r="L5" s="2917">
        <v>0</v>
      </c>
      <c r="N5" s="1462">
        <f t="shared" ref="N5:N10" si="7">I5/100</f>
        <v>0</v>
      </c>
      <c r="O5" s="1462">
        <f t="shared" ref="O5" si="8">J5/100</f>
        <v>0</v>
      </c>
      <c r="P5" s="1462">
        <f t="shared" ref="P5" si="9">K5/100</f>
        <v>0</v>
      </c>
      <c r="Q5" s="1462">
        <f t="shared" ref="Q5" si="10">L5/100</f>
        <v>0</v>
      </c>
      <c r="R5" s="1727"/>
      <c r="S5" s="1728"/>
      <c r="T5" s="1727"/>
      <c r="U5" s="1727"/>
      <c r="V5" s="1727"/>
      <c r="W5" s="2921" t="s">
        <v>3031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3026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9">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3027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15"/>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14"/>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8"/>
      <c r="AD8" s="1784">
        <f>ROUND(AVERAGE(I8:I$21)/100,4)</f>
        <v>2.46E-2</v>
      </c>
      <c r="AE8" s="1784">
        <f>ROUND(AVERAGE(J8:J$21)/100,4)</f>
        <v>1.6E-2</v>
      </c>
      <c r="AF8" s="1784">
        <f t="shared" si="1"/>
        <v>1.6E-2</v>
      </c>
      <c r="AG8" s="1784">
        <f>ROUND(AVERAGE(K8:K$21)/100,4)</f>
        <v>2.75E-2</v>
      </c>
      <c r="AH8" s="1784">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15"/>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6" t="s">
        <v>154</v>
      </c>
      <c r="B10" s="1464">
        <v>392</v>
      </c>
      <c r="C10" s="1464">
        <v>302</v>
      </c>
      <c r="D10" s="1464">
        <f>C10</f>
        <v>302</v>
      </c>
      <c r="E10" s="1464">
        <v>553</v>
      </c>
      <c r="F10" s="1465">
        <v>266</v>
      </c>
      <c r="G10" s="3355">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52"/>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52"/>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53"/>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51">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52"/>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52"/>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53"/>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51">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52"/>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52"/>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53"/>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6" t="s">
        <v>1163</v>
      </c>
      <c r="B22" s="1464">
        <v>299</v>
      </c>
      <c r="C22" s="1464">
        <v>252</v>
      </c>
      <c r="D22" s="1464">
        <f t="shared" si="35"/>
        <v>252</v>
      </c>
      <c r="E22" s="1464">
        <v>409</v>
      </c>
      <c r="F22" s="1465">
        <v>227</v>
      </c>
      <c r="G22" s="3356">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57"/>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57"/>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58"/>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51">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52"/>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52"/>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53"/>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51">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52">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52">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53">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51">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52">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52">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53">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51">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52">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52">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53">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51">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52">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52">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53">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51">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52">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52">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53">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51">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52">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52">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53">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51">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52">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52">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53">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51">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52">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52">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53">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51">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52">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52">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53">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51">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52">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52">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53">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9"/>
    <col min="19" max="19" width="8.875" style="139"/>
    <col min="20" max="45" width="8.875" style="792"/>
    <col min="46" max="16384" width="8.875" style="139"/>
  </cols>
  <sheetData>
    <row r="1" spans="1:45" ht="14.25" customHeight="1" thickBot="1">
      <c r="A1" s="154"/>
      <c r="B1" s="1199" t="s">
        <v>2993</v>
      </c>
      <c r="C1" s="3360" t="s">
        <v>2994</v>
      </c>
      <c r="D1" s="3361"/>
      <c r="E1" s="3361"/>
      <c r="F1" s="3361"/>
      <c r="G1" s="3361"/>
      <c r="H1" s="3361"/>
      <c r="I1" s="3361"/>
      <c r="J1" s="3361"/>
      <c r="K1" s="3361"/>
      <c r="L1" s="3361"/>
      <c r="M1" s="3361"/>
      <c r="N1" s="3361"/>
      <c r="O1" s="3361"/>
      <c r="P1" s="3361"/>
      <c r="Q1" s="3361"/>
      <c r="R1" s="3361"/>
      <c r="S1" s="3362"/>
      <c r="T1" s="1199" t="s">
        <v>2995</v>
      </c>
    </row>
    <row r="2" spans="1:45" s="704" customFormat="1">
      <c r="A2" s="1200"/>
      <c r="B2" s="700" t="s">
        <v>2996</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0"/>
      <c r="B5" s="1764" t="s">
        <v>2997</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0"/>
      <c r="B7" s="1765" t="s">
        <v>2998</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0"/>
      <c r="B9" s="1765" t="s">
        <v>2999</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0"/>
      <c r="B11" s="1764" t="s">
        <v>3000</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0"/>
      <c r="B13" s="1764" t="s">
        <v>3001</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0"/>
      <c r="B15" s="1764" t="s">
        <v>3002</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9" t="s">
        <v>3003</v>
      </c>
      <c r="B17" s="2910" t="s">
        <v>3004</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8"/>
      <c r="B19" s="167"/>
      <c r="C19" s="167"/>
      <c r="D19" s="2911" t="s">
        <v>3005</v>
      </c>
      <c r="E19" s="1787"/>
      <c r="F19" s="1787"/>
      <c r="G19" s="1787"/>
      <c r="H19" s="1275"/>
      <c r="I19" s="167"/>
      <c r="J19" s="167"/>
      <c r="K19" s="167"/>
      <c r="L19" s="167"/>
      <c r="M19" s="167"/>
      <c r="N19" s="167"/>
      <c r="O19" s="167"/>
      <c r="P19" s="167"/>
      <c r="Q19" s="167"/>
      <c r="R19" s="785"/>
      <c r="S19" s="138"/>
    </row>
    <row r="20" spans="1:45" ht="16.5" thickBot="1">
      <c r="A20" s="712" t="s">
        <v>3006</v>
      </c>
      <c r="B20" s="337" t="e">
        <f ca="1">IF(D20="——",S22,S22-F20)</f>
        <v>#REF!</v>
      </c>
      <c r="C20" s="167"/>
      <c r="D20" s="2912" t="s">
        <v>3007</v>
      </c>
      <c r="E20" s="1788"/>
      <c r="F20" s="1199" t="e">
        <f ca="1">SUMIF(INDIRECT("'"&amp;H20&amp;"'"&amp;"!A:A"),"承租人权益价值",INDIRECT("'"&amp;H20&amp;"'"&amp;"!c:c"))</f>
        <v>#REF!</v>
      </c>
      <c r="G20" s="1199" t="s">
        <v>3008</v>
      </c>
      <c r="H20" s="2913"/>
      <c r="I20" s="167"/>
      <c r="J20" s="167"/>
      <c r="K20" s="167"/>
      <c r="L20" s="167"/>
      <c r="M20" s="167"/>
      <c r="N20" s="167"/>
      <c r="O20" s="167"/>
      <c r="P20" s="167"/>
      <c r="Q20" s="167"/>
      <c r="R20" s="785"/>
      <c r="S20" s="138"/>
    </row>
    <row r="21" spans="1:45" ht="15.75">
      <c r="A21" s="712" t="s">
        <v>3009</v>
      </c>
      <c r="B21" s="337">
        <f>R22</f>
        <v>10000</v>
      </c>
      <c r="C21" s="167"/>
      <c r="D21" s="167"/>
      <c r="E21" s="167"/>
      <c r="F21" s="167"/>
      <c r="G21" s="167"/>
      <c r="H21" s="167"/>
      <c r="I21" s="167"/>
      <c r="J21" s="167"/>
      <c r="K21" s="167"/>
      <c r="L21" s="167"/>
      <c r="M21" s="167"/>
      <c r="N21" s="167"/>
      <c r="O21" s="167"/>
      <c r="P21" s="167"/>
      <c r="Q21" s="167"/>
      <c r="R21" s="785"/>
      <c r="S21" s="138"/>
    </row>
    <row r="22" spans="1:45">
      <c r="A22" s="360" t="s">
        <v>3010</v>
      </c>
      <c r="B22" s="24">
        <f>SUM(B24:B10000)</f>
        <v>100</v>
      </c>
      <c r="C22" s="3135" t="s">
        <v>33</v>
      </c>
      <c r="D22" s="3136"/>
      <c r="E22" s="3136"/>
      <c r="F22" s="3136"/>
      <c r="G22" s="3136"/>
      <c r="H22" s="3136"/>
      <c r="I22" s="3136"/>
      <c r="J22" s="3136"/>
      <c r="K22" s="3136"/>
      <c r="L22" s="3136"/>
      <c r="M22" s="3136"/>
      <c r="N22" s="3136"/>
      <c r="O22" s="3136"/>
      <c r="P22" s="3136"/>
      <c r="Q22" s="3359"/>
      <c r="R22" s="713">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3016</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60">
        <f t="shared" si="11"/>
        <v>0</v>
      </c>
    </row>
    <row r="26" spans="1:45">
      <c r="A26" s="158"/>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60">
        <f t="shared" si="11"/>
        <v>0</v>
      </c>
    </row>
    <row r="27" spans="1:45">
      <c r="A27" s="158"/>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60">
        <f t="shared" si="11"/>
        <v>0</v>
      </c>
    </row>
    <row r="28" spans="1:45">
      <c r="A28" s="158"/>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60">
        <f t="shared" si="11"/>
        <v>0</v>
      </c>
    </row>
    <row r="29" spans="1:45">
      <c r="A29" s="158"/>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60">
        <f t="shared" si="11"/>
        <v>0</v>
      </c>
    </row>
    <row r="30" spans="1:45">
      <c r="A30" s="158"/>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60">
        <f t="shared" si="11"/>
        <v>0</v>
      </c>
    </row>
    <row r="31" spans="1:45">
      <c r="A31" s="158"/>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60">
        <f t="shared" si="11"/>
        <v>0</v>
      </c>
    </row>
    <row r="32" spans="1:45">
      <c r="A32" s="158"/>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60">
        <f t="shared" si="11"/>
        <v>0</v>
      </c>
    </row>
    <row r="33" spans="1:19">
      <c r="A33" s="158"/>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60">
        <f t="shared" si="11"/>
        <v>0</v>
      </c>
    </row>
    <row r="34" spans="1:19">
      <c r="A34" s="158"/>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60">
        <f t="shared" si="11"/>
        <v>0</v>
      </c>
    </row>
    <row r="35" spans="1:19">
      <c r="A35" s="158"/>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60">
        <f t="shared" si="11"/>
        <v>0</v>
      </c>
    </row>
    <row r="36" spans="1:19">
      <c r="A36" s="158"/>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60">
        <f t="shared" si="11"/>
        <v>0</v>
      </c>
    </row>
    <row r="37" spans="1:19">
      <c r="A37" s="158"/>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60">
        <f t="shared" si="11"/>
        <v>0</v>
      </c>
    </row>
    <row r="38" spans="1:19">
      <c r="A38" s="158"/>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60">
        <f t="shared" si="11"/>
        <v>0</v>
      </c>
    </row>
    <row r="39" spans="1:19">
      <c r="A39" s="158"/>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60">
        <f t="shared" si="11"/>
        <v>0</v>
      </c>
    </row>
    <row r="40" spans="1:19">
      <c r="A40" s="158"/>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60">
        <f t="shared" si="11"/>
        <v>0</v>
      </c>
    </row>
    <row r="41" spans="1:19">
      <c r="A41" s="158"/>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60">
        <f t="shared" si="11"/>
        <v>0</v>
      </c>
    </row>
    <row r="42" spans="1:19">
      <c r="A42" s="158"/>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60">
        <f t="shared" si="11"/>
        <v>0</v>
      </c>
    </row>
    <row r="43" spans="1:19">
      <c r="A43" s="158"/>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60">
        <f t="shared" si="11"/>
        <v>0</v>
      </c>
    </row>
    <row r="44" spans="1:19">
      <c r="A44" s="158"/>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60">
        <f t="shared" si="11"/>
        <v>0</v>
      </c>
    </row>
    <row r="45" spans="1:19">
      <c r="A45" s="158"/>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60">
        <f t="shared" si="11"/>
        <v>0</v>
      </c>
    </row>
    <row r="46" spans="1:19">
      <c r="A46" s="158"/>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60">
        <f t="shared" si="11"/>
        <v>0</v>
      </c>
    </row>
    <row r="47" spans="1:19">
      <c r="A47" s="158"/>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60">
        <f t="shared" si="11"/>
        <v>0</v>
      </c>
    </row>
    <row r="48" spans="1:19">
      <c r="A48" s="158"/>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60">
        <f t="shared" si="11"/>
        <v>0</v>
      </c>
    </row>
    <row r="49" spans="1:19">
      <c r="A49" s="158"/>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60">
        <f t="shared" si="11"/>
        <v>0</v>
      </c>
    </row>
    <row r="50" spans="1:19">
      <c r="A50" s="158"/>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60">
        <f t="shared" si="11"/>
        <v>0</v>
      </c>
    </row>
    <row r="51" spans="1:19">
      <c r="A51" s="158"/>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60">
        <f t="shared" si="11"/>
        <v>0</v>
      </c>
    </row>
    <row r="52" spans="1:19">
      <c r="A52" s="158"/>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60">
        <f t="shared" si="11"/>
        <v>0</v>
      </c>
    </row>
    <row r="53" spans="1:19">
      <c r="A53" s="158"/>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60">
        <f t="shared" si="11"/>
        <v>0</v>
      </c>
    </row>
    <row r="54" spans="1:19">
      <c r="A54" s="158"/>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60">
        <f t="shared" si="11"/>
        <v>0</v>
      </c>
    </row>
    <row r="55" spans="1:19">
      <c r="A55" s="158"/>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60">
        <f t="shared" ref="S55:S77" si="21">ROUND(R55*B55/10000,0)</f>
        <v>0</v>
      </c>
    </row>
    <row r="56" spans="1:19">
      <c r="A56" s="158"/>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60">
        <f t="shared" si="21"/>
        <v>0</v>
      </c>
    </row>
    <row r="57" spans="1:19">
      <c r="A57" s="158"/>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60">
        <f t="shared" si="21"/>
        <v>0</v>
      </c>
    </row>
    <row r="58" spans="1:19">
      <c r="A58" s="158"/>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60">
        <f t="shared" si="21"/>
        <v>0</v>
      </c>
    </row>
    <row r="59" spans="1:19">
      <c r="A59" s="158"/>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60">
        <f t="shared" si="21"/>
        <v>0</v>
      </c>
    </row>
    <row r="60" spans="1:19">
      <c r="A60" s="158"/>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60">
        <f t="shared" si="21"/>
        <v>0</v>
      </c>
    </row>
    <row r="61" spans="1:19">
      <c r="A61" s="158"/>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60">
        <f t="shared" si="21"/>
        <v>0</v>
      </c>
    </row>
    <row r="62" spans="1:19">
      <c r="A62" s="158"/>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2"/>
      <c r="C1" s="241"/>
      <c r="D1" s="241"/>
      <c r="E1" s="241"/>
      <c r="F1" s="241"/>
      <c r="G1" s="1374">
        <f>MATCH(B1,'数据-取费表'!A6:A16,0)+5</f>
        <v>9</v>
      </c>
    </row>
    <row r="2" spans="1:9" s="243" customFormat="1" ht="18" customHeight="1">
      <c r="A2" s="244" t="s">
        <v>2315</v>
      </c>
      <c r="B2" s="245">
        <f ca="1">IF(D2="——",C52,C52-E2)</f>
        <v>5208</v>
      </c>
      <c r="C2" s="242" t="s">
        <v>2316</v>
      </c>
      <c r="D2" s="2540" t="s">
        <v>70</v>
      </c>
      <c r="E2" s="1435" t="e">
        <f ca="1">SUMIF(INDIRECT("'"&amp;G2&amp;"'"&amp;"!A:A"),"承租人权益价值",INDIRECT("'"&amp;G2&amp;"'"&amp;"!c:c"))</f>
        <v>#REF!</v>
      </c>
      <c r="F2" s="2541" t="s">
        <v>2316</v>
      </c>
      <c r="G2" s="2542"/>
    </row>
    <row r="3" spans="1:9" s="243" customFormat="1" ht="18" customHeight="1" thickBot="1">
      <c r="A3" s="246" t="s">
        <v>2317</v>
      </c>
      <c r="B3" s="247">
        <f ca="1">ROUND(B2*10000/(IF(B1="",'数据-汇总表'!E3,INDIRECT("'数据-取费表'!k"&amp;$G$1))),0)</f>
        <v>4479</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233</v>
      </c>
      <c r="D5" s="254" t="s">
        <v>2322</v>
      </c>
      <c r="E5" s="255" t="s">
        <v>2323</v>
      </c>
      <c r="F5" s="255" t="s">
        <v>2324</v>
      </c>
      <c r="G5" s="256"/>
    </row>
    <row r="6" spans="1:9" s="257" customFormat="1" ht="13.5" customHeight="1">
      <c r="A6" s="944" t="s">
        <v>2325</v>
      </c>
      <c r="B6" s="258" t="s">
        <v>2326</v>
      </c>
      <c r="C6" s="259"/>
      <c r="D6" s="260"/>
      <c r="E6" s="261"/>
      <c r="F6" s="261"/>
      <c r="G6" s="262"/>
    </row>
    <row r="7" spans="1:9" s="257" customFormat="1" ht="13.5" customHeight="1">
      <c r="A7" s="944" t="s">
        <v>2327</v>
      </c>
      <c r="B7" s="258" t="s">
        <v>2328</v>
      </c>
      <c r="C7" s="263">
        <f>ROUND(C6*F7,0)</f>
        <v>0</v>
      </c>
      <c r="D7" s="263"/>
      <c r="E7" s="261"/>
      <c r="F7" s="264">
        <f>'数据-取费表'!B48+'数据-取费表'!B49</f>
        <v>3.0499999999999999E-2</v>
      </c>
      <c r="G7" s="262"/>
    </row>
    <row r="8" spans="1:9" s="266" customFormat="1">
      <c r="A8" s="944" t="s">
        <v>2329</v>
      </c>
      <c r="B8" s="258" t="s">
        <v>2330</v>
      </c>
      <c r="C8" s="263">
        <f ca="1">IF(G8="已包含在土地购买价格中","0",IF(B1="",'数据-取费表'!B29,IF(G9="全部缴纳",C9+C10,H9)))</f>
        <v>233</v>
      </c>
      <c r="D8" s="265"/>
      <c r="E8" s="263"/>
      <c r="F8" s="264"/>
      <c r="G8" s="2543"/>
    </row>
    <row r="9" spans="1:9" s="257" customFormat="1" ht="13.5" customHeight="1">
      <c r="A9" s="945" t="s">
        <v>800</v>
      </c>
      <c r="B9" s="267" t="s">
        <v>2331</v>
      </c>
      <c r="C9" s="268">
        <f ca="1">ROUND(D9*E9/10000,0)</f>
        <v>0</v>
      </c>
      <c r="D9" s="1027">
        <f ca="1">IF(B1="",'数据-汇总表'!E5,IF(INDIRECT("'数据-取费表'!c"&amp;$G$1)="住宅",INDIRECT("'数据-取费表'!k"&amp;$G$1),0))</f>
        <v>0</v>
      </c>
      <c r="E9" s="268">
        <f>'数据-取费表'!B27</f>
        <v>160</v>
      </c>
      <c r="F9" s="264"/>
      <c r="G9" s="2544"/>
      <c r="H9" s="1385"/>
      <c r="I9" s="2545" t="s">
        <v>2332</v>
      </c>
    </row>
    <row r="10" spans="1:9" s="257" customFormat="1" ht="13.5" customHeight="1">
      <c r="A10" s="945" t="s">
        <v>801</v>
      </c>
      <c r="B10" s="267" t="s">
        <v>2333</v>
      </c>
      <c r="C10" s="268">
        <f ca="1">ROUND(D10*E10/10000,0)</f>
        <v>233</v>
      </c>
      <c r="D10" s="1027">
        <f ca="1">IF(B1="",'数据-汇总表'!E6,IF(INDIRECT("'数据-取费表'!c"&amp;$G$1)="住宅",INDIRECT("'数据-取费表'!s"&amp;$G$1),INDIRECT("'数据-取费表'!k"&amp;$G$1)+INDIRECT("'数据-取费表'!s"&amp;$G$1)))</f>
        <v>11628.210000000001</v>
      </c>
      <c r="E10" s="268">
        <f>'数据-取费表'!B28</f>
        <v>200</v>
      </c>
      <c r="F10" s="264"/>
      <c r="G10" s="269"/>
    </row>
    <row r="11" spans="1:9" s="257" customFormat="1" ht="13.5" hidden="1" customHeight="1">
      <c r="A11" s="270" t="s">
        <v>7</v>
      </c>
      <c r="B11" s="258" t="s">
        <v>2334</v>
      </c>
      <c r="C11" s="254"/>
      <c r="D11" s="1029"/>
      <c r="E11" s="261"/>
      <c r="F11" s="261"/>
      <c r="G11" s="262"/>
    </row>
    <row r="12" spans="1:9" s="257" customFormat="1" ht="13.5" hidden="1" customHeight="1">
      <c r="A12" s="270" t="s">
        <v>8</v>
      </c>
      <c r="B12" s="258" t="s">
        <v>2335</v>
      </c>
      <c r="C12" s="254">
        <v>0</v>
      </c>
      <c r="D12" s="1029"/>
      <c r="E12" s="271"/>
      <c r="F12" s="264">
        <v>3.0499999999999999E-2</v>
      </c>
      <c r="G12" s="262"/>
    </row>
    <row r="13" spans="1:9" s="257" customFormat="1" ht="13.5" hidden="1" customHeight="1">
      <c r="A13" s="270" t="s">
        <v>9</v>
      </c>
      <c r="B13" s="258" t="s">
        <v>2336</v>
      </c>
      <c r="C13" s="254"/>
      <c r="D13" s="1029"/>
      <c r="E13" s="261"/>
      <c r="F13" s="261"/>
      <c r="G13" s="262"/>
    </row>
    <row r="14" spans="1:9" s="257" customFormat="1" ht="13.5" hidden="1" customHeight="1">
      <c r="A14" s="270" t="s">
        <v>10</v>
      </c>
      <c r="B14" s="258" t="s">
        <v>2337</v>
      </c>
      <c r="C14" s="254"/>
      <c r="D14" s="1029"/>
      <c r="E14" s="261"/>
      <c r="F14" s="261"/>
      <c r="G14" s="262" t="s">
        <v>2338</v>
      </c>
    </row>
    <row r="15" spans="1:9" s="257" customFormat="1" ht="13.5" hidden="1" customHeight="1">
      <c r="A15" s="270" t="s">
        <v>11</v>
      </c>
      <c r="B15" s="258" t="s">
        <v>2339</v>
      </c>
      <c r="C15" s="263"/>
      <c r="D15" s="1029"/>
      <c r="E15" s="261"/>
      <c r="F15" s="261"/>
      <c r="G15" s="262" t="s">
        <v>2340</v>
      </c>
    </row>
    <row r="16" spans="1:9" s="257" customFormat="1" ht="13.5" hidden="1" customHeight="1">
      <c r="A16" s="270" t="s">
        <v>12</v>
      </c>
      <c r="B16" s="258" t="s">
        <v>2337</v>
      </c>
      <c r="C16" s="263"/>
      <c r="D16" s="1029"/>
      <c r="E16" s="261"/>
      <c r="F16" s="261"/>
      <c r="G16" s="262"/>
    </row>
    <row r="17" spans="1:7" s="257" customFormat="1" ht="13.5" hidden="1" customHeight="1">
      <c r="A17" s="270" t="s">
        <v>13</v>
      </c>
      <c r="B17" s="258" t="s">
        <v>2341</v>
      </c>
      <c r="C17" s="272"/>
      <c r="D17" s="1030"/>
      <c r="E17" s="272"/>
      <c r="F17" s="272"/>
      <c r="G17" s="262" t="s">
        <v>2340</v>
      </c>
    </row>
    <row r="18" spans="1:7" s="257" customFormat="1" ht="13.5" hidden="1" customHeight="1">
      <c r="A18" s="270" t="s">
        <v>14</v>
      </c>
      <c r="B18" s="258" t="s">
        <v>2342</v>
      </c>
      <c r="C18" s="263">
        <v>0</v>
      </c>
      <c r="D18" s="1029"/>
      <c r="E18" s="261"/>
      <c r="F18" s="264">
        <v>3.0499999999999999E-2</v>
      </c>
      <c r="G18" s="262" t="s">
        <v>2343</v>
      </c>
    </row>
    <row r="19" spans="1:7" s="266" customFormat="1" ht="13.5" customHeight="1">
      <c r="A19" s="298" t="s">
        <v>2344</v>
      </c>
      <c r="B19" s="253" t="s">
        <v>2345</v>
      </c>
      <c r="C19" s="254">
        <f ca="1">IF(G19="已包含在土地取得成本中","0",ROUND(D19*E19/10000,0))</f>
        <v>233</v>
      </c>
      <c r="D19" s="1031">
        <f ca="1">D9+D10</f>
        <v>11628.210000000001</v>
      </c>
      <c r="E19" s="254">
        <f>'数据-取费表'!B31</f>
        <v>200</v>
      </c>
      <c r="F19" s="274"/>
      <c r="G19" s="2543"/>
    </row>
    <row r="20" spans="1:7" s="257" customFormat="1" ht="13.5" customHeight="1">
      <c r="A20" s="298" t="s">
        <v>2346</v>
      </c>
      <c r="B20" s="253" t="s">
        <v>2347</v>
      </c>
      <c r="C20" s="275">
        <f ca="1">ROUND((C5+C19)*F20,0)</f>
        <v>9</v>
      </c>
      <c r="D20" s="275"/>
      <c r="E20" s="275"/>
      <c r="F20" s="276">
        <f>'数据-取费表'!B37</f>
        <v>0.02</v>
      </c>
      <c r="G20" s="277" t="s">
        <v>2348</v>
      </c>
    </row>
    <row r="21" spans="1:7" s="257" customFormat="1" ht="13.5" customHeight="1">
      <c r="A21" s="298" t="s">
        <v>2349</v>
      </c>
      <c r="B21" s="253" t="s">
        <v>2350</v>
      </c>
      <c r="C21" s="278">
        <f>F21</f>
        <v>0.03</v>
      </c>
      <c r="D21" s="279" t="s">
        <v>2351</v>
      </c>
      <c r="E21" s="275"/>
      <c r="F21" s="276">
        <f>'数据-取费表'!B38</f>
        <v>0.03</v>
      </c>
      <c r="G21" s="277" t="s">
        <v>2352</v>
      </c>
    </row>
    <row r="22" spans="1:7" s="257" customFormat="1" ht="13.5" customHeight="1">
      <c r="A22" s="298" t="s">
        <v>2353</v>
      </c>
      <c r="B22" s="253" t="s">
        <v>2354</v>
      </c>
      <c r="C22" s="1349">
        <f ca="1">ROUND(SUM(C23:C25),0)</f>
        <v>46</v>
      </c>
      <c r="D22" s="278">
        <f ca="1">C26</f>
        <v>1.4E-3</v>
      </c>
      <c r="E22" s="279" t="s">
        <v>2351</v>
      </c>
      <c r="F22" s="280">
        <f ca="1">'数据-取费表'!B40</f>
        <v>4.7500000000000001E-2</v>
      </c>
      <c r="G22" s="277" t="str">
        <f>IF('数据-取费表'!B22&lt;=1,"单利计息","复利计息")</f>
        <v>复利计息</v>
      </c>
    </row>
    <row r="23" spans="1:7" s="257" customFormat="1" ht="13.5" customHeight="1">
      <c r="A23" s="946" t="s">
        <v>2355</v>
      </c>
      <c r="B23" s="258" t="s">
        <v>2356</v>
      </c>
      <c r="C23" s="1350">
        <f ca="1">ROUND(IF('数据-取费表'!B22&lt;=1,C5*F22*'数据-取费表'!B23,C5*(POWER((1+F22),'数据-取费表'!B23)-1)),0)</f>
        <v>23</v>
      </c>
      <c r="D23" s="281"/>
      <c r="E23" s="281"/>
      <c r="F23" s="282"/>
      <c r="G23" s="283" t="s">
        <v>2357</v>
      </c>
    </row>
    <row r="24" spans="1:7" s="257" customFormat="1" ht="13.5" customHeight="1">
      <c r="A24" s="946" t="s">
        <v>2358</v>
      </c>
      <c r="B24" s="258" t="s">
        <v>2359</v>
      </c>
      <c r="C24" s="1350">
        <f ca="1">ROUND(IF('数据-取费表'!B22&lt;=1,C19*F22*('数据-取费表'!B19/2+'数据-取费表'!B21),C19*(POWER((1+F22),('数据-取费表'!B19/2+'数据-取费表'!B21))-1)),0)</f>
        <v>23</v>
      </c>
      <c r="D24" s="281"/>
      <c r="E24" s="281"/>
      <c r="F24" s="282"/>
      <c r="G24" s="283" t="s">
        <v>2360</v>
      </c>
    </row>
    <row r="25" spans="1:7" s="257" customFormat="1" ht="24">
      <c r="A25" s="946" t="s">
        <v>2361</v>
      </c>
      <c r="B25" s="258" t="s">
        <v>2362</v>
      </c>
      <c r="C25" s="1350">
        <f ca="1">ROUND(IF('数据-取费表'!B22&lt;=1,C20*F22*'数据-取费表'!B23/2,C20*(POWER((1+F22),'数据-取费表'!B23/2)-1)),0)</f>
        <v>0</v>
      </c>
      <c r="D25" s="281"/>
      <c r="E25" s="284"/>
      <c r="F25" s="282"/>
      <c r="G25" s="285" t="s">
        <v>2363</v>
      </c>
    </row>
    <row r="26" spans="1:7" s="257" customFormat="1">
      <c r="A26" s="946" t="s">
        <v>795</v>
      </c>
      <c r="B26" s="258" t="s">
        <v>2364</v>
      </c>
      <c r="C26" s="281">
        <f ca="1">ROUND(IF('数据-取费表'!B22&lt;=1,F21*F22*'数据-取费表'!B23/2,F21*(POWER((1+F22),'数据-取费表'!B23/2)-1)),4)</f>
        <v>1.4E-3</v>
      </c>
      <c r="D26" s="281"/>
      <c r="E26" s="284"/>
      <c r="F26" s="282"/>
      <c r="G26" s="286"/>
    </row>
    <row r="27" spans="1:7" s="257" customFormat="1" ht="24.75">
      <c r="A27" s="298" t="s">
        <v>2365</v>
      </c>
      <c r="B27" s="287" t="s">
        <v>2366</v>
      </c>
      <c r="C27" s="288">
        <f ca="1">C28</f>
        <v>71</v>
      </c>
      <c r="D27" s="278">
        <f ca="1">C29</f>
        <v>4.4999999999999997E-3</v>
      </c>
      <c r="E27" s="279" t="s">
        <v>2367</v>
      </c>
      <c r="F27" s="289">
        <f ca="1">IF(B1="",'数据-取费表'!Q16,INDIRECT("'数据-取费表'!q"&amp;$G$1))</f>
        <v>0.15</v>
      </c>
      <c r="G27" s="290" t="s">
        <v>2368</v>
      </c>
    </row>
    <row r="28" spans="1:7" s="257" customFormat="1" ht="13.5" customHeight="1">
      <c r="A28" s="946" t="s">
        <v>791</v>
      </c>
      <c r="B28" s="291" t="s">
        <v>2369</v>
      </c>
      <c r="C28" s="292">
        <f ca="1">ROUND((C5+C19+C20)*F27*'数据-取费表'!B21/'数据-取费表'!B20,0)</f>
        <v>71</v>
      </c>
      <c r="D28" s="278"/>
      <c r="E28" s="279"/>
      <c r="F28" s="289"/>
      <c r="G28" s="290"/>
    </row>
    <row r="29" spans="1:7" s="257" customFormat="1" ht="13.5" customHeight="1">
      <c r="A29" s="946" t="s">
        <v>792</v>
      </c>
      <c r="B29" s="291" t="s">
        <v>2370</v>
      </c>
      <c r="C29" s="281">
        <f ca="1">ROUND(C21*F27*'数据-取费表'!B21/'数据-取费表'!B20,4)</f>
        <v>4.4999999999999997E-3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650</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f ca="1">SUM(C34:C38)</f>
        <v>3775</v>
      </c>
      <c r="D33" s="275"/>
      <c r="E33" s="255"/>
      <c r="F33" s="284"/>
      <c r="G33" s="277"/>
    </row>
    <row r="34" spans="1:7" s="301" customFormat="1" ht="13.5" customHeight="1">
      <c r="A34" s="946" t="s">
        <v>791</v>
      </c>
      <c r="B34" s="258" t="s">
        <v>2378</v>
      </c>
      <c r="C34" s="263">
        <f ca="1">IF(B1="",IF(F34=100%,'数据-取费表'!M16,'数据-取费表'!O16),IF(F34=100%,INDIRECT("'数据-取费表'!m"&amp;$G$1)+INDIRECT("'数据-取费表'!t"&amp;$G$1),INDIRECT("'数据-取费表'!o"&amp;$G$1)+INDIRECT("'数据-取费表'!aq"&amp;$G$1)))</f>
        <v>3389</v>
      </c>
      <c r="D34" s="260"/>
      <c r="E34" s="263"/>
      <c r="F34" s="300">
        <f ca="1">IF('数据-取费表'!B24=0,1,IF(B1="",'数据-取费表'!N16,INDIRECT("'数据-取费表'!n"&amp;$G$1)))</f>
        <v>1</v>
      </c>
      <c r="G34" s="262" t="s">
        <v>2379</v>
      </c>
    </row>
    <row r="35" spans="1:7" ht="13.5" customHeight="1">
      <c r="A35" s="946" t="s">
        <v>796</v>
      </c>
      <c r="B35" s="258" t="s">
        <v>2380</v>
      </c>
      <c r="C35" s="263">
        <f ca="1">ROUND(C34*F35,0)</f>
        <v>102</v>
      </c>
      <c r="D35" s="263"/>
      <c r="E35" s="263"/>
      <c r="F35" s="302">
        <f>'数据-取费表'!B33</f>
        <v>0.03</v>
      </c>
      <c r="G35" s="262" t="s">
        <v>2381</v>
      </c>
    </row>
    <row r="36" spans="1:7" ht="24">
      <c r="A36" s="946" t="s">
        <v>797</v>
      </c>
      <c r="B36" s="258" t="s">
        <v>2382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2383</v>
      </c>
    </row>
    <row r="37" spans="1:7" s="301" customFormat="1" ht="13.5" customHeight="1">
      <c r="A37" s="946" t="s">
        <v>798</v>
      </c>
      <c r="B37" s="258" t="s">
        <v>2384</v>
      </c>
      <c r="C37" s="292">
        <f ca="1">ROUND(E37*D37*F34/10000,0)</f>
        <v>233</v>
      </c>
      <c r="D37" s="260">
        <f ca="1">D19</f>
        <v>11628.210000000001</v>
      </c>
      <c r="E37" s="292">
        <f>'数据-取费表'!B35</f>
        <v>200</v>
      </c>
      <c r="F37" s="302"/>
      <c r="G37" s="304" t="s">
        <v>2385</v>
      </c>
    </row>
    <row r="38" spans="1:7" ht="13.5" customHeight="1">
      <c r="A38" s="946" t="s">
        <v>799</v>
      </c>
      <c r="B38" s="258" t="s">
        <v>2386</v>
      </c>
      <c r="C38" s="263">
        <f ca="1">ROUND(C34*F38,0)</f>
        <v>51</v>
      </c>
      <c r="D38" s="263"/>
      <c r="E38" s="263"/>
      <c r="F38" s="302">
        <f>'数据-取费表'!B36</f>
        <v>1.4999999999999999E-2</v>
      </c>
      <c r="G38" s="262" t="s">
        <v>2381</v>
      </c>
    </row>
    <row r="39" spans="1:7" s="257" customFormat="1" ht="13.5" customHeight="1">
      <c r="A39" s="298" t="s">
        <v>2387</v>
      </c>
      <c r="B39" s="253" t="s">
        <v>2388</v>
      </c>
      <c r="C39" s="275">
        <f ca="1">ROUND(C33*F20,0)</f>
        <v>76</v>
      </c>
      <c r="D39" s="275"/>
      <c r="E39" s="275"/>
      <c r="F39" s="276"/>
      <c r="G39" s="277" t="s">
        <v>2389</v>
      </c>
    </row>
    <row r="40" spans="1:7" s="257" customFormat="1" ht="13.5" customHeight="1">
      <c r="A40" s="298" t="s">
        <v>2390</v>
      </c>
      <c r="B40" s="253" t="s">
        <v>2391</v>
      </c>
      <c r="C40" s="1723">
        <f>F21</f>
        <v>0.03</v>
      </c>
      <c r="D40" s="279" t="s">
        <v>2392</v>
      </c>
      <c r="E40" s="275"/>
      <c r="F40" s="276"/>
      <c r="G40" s="277" t="s">
        <v>2393</v>
      </c>
    </row>
    <row r="41" spans="1:7" s="257" customFormat="1" ht="13.5" customHeight="1">
      <c r="A41" s="298" t="s">
        <v>2394</v>
      </c>
      <c r="B41" s="253" t="s">
        <v>2395</v>
      </c>
      <c r="C41" s="275">
        <f ca="1">ROUND(SUM(C42:C43),0)</f>
        <v>183</v>
      </c>
      <c r="D41" s="278">
        <f ca="1">C44</f>
        <v>1.4E-3</v>
      </c>
      <c r="E41" s="279" t="s">
        <v>2392</v>
      </c>
      <c r="F41" s="280"/>
      <c r="G41" s="277" t="str">
        <f>IF('数据-取费表'!B22&lt;=1,"单利计息","复利计息")</f>
        <v>复利计息</v>
      </c>
    </row>
    <row r="42" spans="1:7" ht="13.5" customHeight="1">
      <c r="A42" s="946" t="s">
        <v>791</v>
      </c>
      <c r="B42" s="258" t="s">
        <v>2396</v>
      </c>
      <c r="C42" s="281">
        <f ca="1">ROUND(IF('数据-取费表'!B22&lt;=1,C33*F22*'数据-取费表'!B21/2,C33*(POWER((1+F22),'数据-取费表'!B21/2)-1)),0)</f>
        <v>179</v>
      </c>
      <c r="D42" s="281"/>
      <c r="E42" s="281"/>
      <c r="F42" s="282"/>
      <c r="G42" s="3220" t="s">
        <v>2397</v>
      </c>
    </row>
    <row r="43" spans="1:7" ht="13.5" customHeight="1">
      <c r="A43" s="946" t="s">
        <v>792</v>
      </c>
      <c r="B43" s="258" t="s">
        <v>2398</v>
      </c>
      <c r="C43" s="281">
        <f ca="1">ROUND(IF('数据-取费表'!B22&lt;=1,C39*F22*'数据-取费表'!B21/2,C39*(POWER((1+F22),'数据-取费表'!B21/2)-1)),0)</f>
        <v>4</v>
      </c>
      <c r="D43" s="281"/>
      <c r="E43" s="281"/>
      <c r="F43" s="282"/>
      <c r="G43" s="3221"/>
    </row>
    <row r="44" spans="1:7" ht="13.5" customHeight="1">
      <c r="A44" s="946" t="s">
        <v>793</v>
      </c>
      <c r="B44" s="258" t="s">
        <v>2399</v>
      </c>
      <c r="C44" s="281">
        <f ca="1">ROUND(IF('数据-取费表'!B22&lt;=1,C40*F22*'数据-取费表'!B21/2,C40*(POWER((1+F22),'数据-取费表'!B21/2)-1)),4)</f>
        <v>1.4E-3</v>
      </c>
      <c r="D44" s="281"/>
      <c r="E44" s="281"/>
      <c r="F44" s="282"/>
      <c r="G44" s="3222"/>
    </row>
    <row r="45" spans="1:7" s="257" customFormat="1" ht="13.5" customHeight="1">
      <c r="A45" s="298" t="s">
        <v>2400</v>
      </c>
      <c r="B45" s="287" t="s">
        <v>2366</v>
      </c>
      <c r="C45" s="288">
        <f ca="1">C46</f>
        <v>578</v>
      </c>
      <c r="D45" s="278">
        <f ca="1">C47</f>
        <v>4.4999999999999997E-3</v>
      </c>
      <c r="E45" s="279" t="s">
        <v>2392</v>
      </c>
      <c r="F45" s="289"/>
      <c r="G45" s="290" t="s">
        <v>2401</v>
      </c>
    </row>
    <row r="46" spans="1:7" s="257" customFormat="1" ht="13.5" customHeight="1">
      <c r="A46" s="946" t="s">
        <v>791</v>
      </c>
      <c r="B46" s="291" t="s">
        <v>2402</v>
      </c>
      <c r="C46" s="292">
        <f ca="1">ROUND((C33+C39)*F27,0)</f>
        <v>578</v>
      </c>
      <c r="D46" s="306"/>
      <c r="E46" s="279"/>
      <c r="F46" s="289"/>
      <c r="G46" s="290"/>
    </row>
    <row r="47" spans="1:7" s="257" customFormat="1" ht="13.5" customHeight="1">
      <c r="A47" s="946" t="s">
        <v>792</v>
      </c>
      <c r="B47" s="291" t="s">
        <v>2403</v>
      </c>
      <c r="C47" s="281">
        <f ca="1">ROUND(C40*F27,4)</f>
        <v>4.4999999999999997E-3</v>
      </c>
      <c r="D47" s="306"/>
      <c r="E47" s="279"/>
      <c r="F47" s="289"/>
      <c r="G47" s="290"/>
    </row>
    <row r="48" spans="1:7" s="257" customFormat="1" ht="13.5" customHeight="1">
      <c r="A48" s="298" t="s">
        <v>2365</v>
      </c>
      <c r="B48" s="253" t="s">
        <v>2404</v>
      </c>
      <c r="C48" s="1723">
        <f>ROUND(F30/(1+'数据-取费表'!C42),4)</f>
        <v>5.33E-2</v>
      </c>
      <c r="D48" s="279" t="s">
        <v>2392</v>
      </c>
      <c r="E48" s="275"/>
      <c r="F48" s="280"/>
      <c r="G48" s="277" t="s">
        <v>2405</v>
      </c>
    </row>
    <row r="49" spans="1:7" ht="16.5" customHeight="1">
      <c r="A49" s="298" t="s">
        <v>2371</v>
      </c>
      <c r="B49" s="253" t="s">
        <v>2406</v>
      </c>
      <c r="C49" s="275">
        <f ca="1">ROUND((C33+C39+C41+C45)/(1-C40-D41-D45-C48),0)</f>
        <v>5064</v>
      </c>
      <c r="D49" s="275"/>
      <c r="E49" s="275"/>
      <c r="F49" s="307"/>
      <c r="G49" s="277" t="s">
        <v>2407</v>
      </c>
    </row>
    <row r="50" spans="1:7" s="301" customFormat="1" ht="24">
      <c r="A50" s="298" t="s">
        <v>2408</v>
      </c>
      <c r="B50" s="253" t="s">
        <v>2409</v>
      </c>
      <c r="C50" s="275"/>
      <c r="D50" s="275"/>
      <c r="E50" s="275"/>
      <c r="F50" s="307">
        <f>IF('数据-取费表'!B24=0,'数据-取费表'!N16,1)</f>
        <v>0.9</v>
      </c>
      <c r="G50" s="290" t="s">
        <v>2410</v>
      </c>
    </row>
    <row r="51" spans="1:7" ht="16.5" customHeight="1">
      <c r="A51" s="298" t="s">
        <v>2411</v>
      </c>
      <c r="B51" s="253" t="s">
        <v>2412</v>
      </c>
      <c r="C51" s="275">
        <f ca="1">ROUND(C49*F50,0)</f>
        <v>4558</v>
      </c>
      <c r="D51" s="275"/>
      <c r="E51" s="275"/>
      <c r="F51" s="307"/>
      <c r="G51" s="277" t="s">
        <v>2413</v>
      </c>
    </row>
    <row r="52" spans="1:7" s="251" customFormat="1" ht="16.5" thickBot="1">
      <c r="A52" s="308" t="s">
        <v>2414</v>
      </c>
      <c r="B52" s="309"/>
      <c r="C52" s="310">
        <f ca="1">C31+C51</f>
        <v>5208</v>
      </c>
      <c r="D52" s="309"/>
      <c r="E52" s="309"/>
      <c r="F52" s="309"/>
      <c r="G52" s="311"/>
    </row>
    <row r="55" spans="1:7" ht="15">
      <c r="B55" s="313" t="s">
        <v>2415</v>
      </c>
      <c r="C55" s="314"/>
    </row>
    <row r="56" spans="1:7">
      <c r="B56" s="316" t="s">
        <v>1514</v>
      </c>
      <c r="C56" s="318">
        <f ca="1">1-C57</f>
        <v>0.125</v>
      </c>
    </row>
    <row r="57" spans="1:7">
      <c r="B57" s="316" t="s">
        <v>1515</v>
      </c>
      <c r="C57" s="317">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33650</v>
      </c>
      <c r="C2" s="2" t="s">
        <v>133</v>
      </c>
      <c r="D2" s="242"/>
      <c r="E2" s="242"/>
      <c r="F2" s="242"/>
      <c r="G2" s="242"/>
    </row>
    <row r="3" spans="1:7" s="243" customFormat="1" ht="18" customHeight="1" thickBot="1">
      <c r="A3" s="246" t="s">
        <v>85</v>
      </c>
      <c r="B3" s="247">
        <f ca="1">ROUND(B2*10000/'数据-汇总表'!E3,0)</f>
        <v>28938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1148</v>
      </c>
    </row>
    <row r="9" spans="1:7" s="257" customFormat="1" ht="13.5" customHeight="1">
      <c r="A9" s="945" t="s">
        <v>800</v>
      </c>
      <c r="B9" s="267" t="s">
        <v>93</v>
      </c>
      <c r="C9" s="268">
        <f>ROUND(D9*E9/10000,0)</f>
        <v>0</v>
      </c>
      <c r="D9" s="1027">
        <f>'数据-汇总表'!E5</f>
        <v>0</v>
      </c>
      <c r="E9" s="268">
        <f>'数据-取费表'!B27</f>
        <v>160</v>
      </c>
      <c r="F9" s="264"/>
      <c r="G9" s="269"/>
    </row>
    <row r="10" spans="1:7" s="257" customFormat="1" ht="13.5" customHeight="1">
      <c r="A10" s="945" t="s">
        <v>801</v>
      </c>
      <c r="B10" s="267" t="s">
        <v>94</v>
      </c>
      <c r="C10" s="268">
        <f>ROUND(D10*E10/10000,0)</f>
        <v>233</v>
      </c>
      <c r="D10" s="1027">
        <f>'数据-汇总表'!E6</f>
        <v>11628.210000000001</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1055</v>
      </c>
      <c r="B19" s="253" t="s">
        <v>111</v>
      </c>
      <c r="C19" s="254">
        <f>IF(G19="已包含在土地取得成本中","0",ROUND(D19*E19/10000,0))</f>
        <v>233</v>
      </c>
      <c r="D19" s="1031">
        <f>'数据-汇总表'!E3</f>
        <v>11628.210000000001</v>
      </c>
      <c r="E19" s="254">
        <f>'数据-取费表'!B31</f>
        <v>200</v>
      </c>
      <c r="F19" s="274"/>
      <c r="G19" s="1" t="s">
        <v>1074</v>
      </c>
    </row>
    <row r="20" spans="1:7" s="257" customFormat="1" ht="13.5" customHeight="1">
      <c r="A20" s="943" t="s">
        <v>1057</v>
      </c>
      <c r="B20" s="253" t="s">
        <v>104</v>
      </c>
      <c r="C20" s="275">
        <f>ROUND((C5+C19)*F20,0)</f>
        <v>417</v>
      </c>
      <c r="D20" s="275"/>
      <c r="E20" s="275"/>
      <c r="F20" s="276">
        <f>'数据-取费表'!B37</f>
        <v>0.02</v>
      </c>
      <c r="G20" s="1284" t="s">
        <v>1068</v>
      </c>
    </row>
    <row r="21" spans="1:7" s="257" customFormat="1" ht="13.5" customHeight="1">
      <c r="A21" s="943" t="s">
        <v>1059</v>
      </c>
      <c r="B21" s="253" t="s">
        <v>105</v>
      </c>
      <c r="C21" s="278">
        <f>F21</f>
        <v>0.03</v>
      </c>
      <c r="D21" s="279" t="s">
        <v>126</v>
      </c>
      <c r="E21" s="275"/>
      <c r="F21" s="276">
        <f>'数据-取费表'!B38</f>
        <v>0.03</v>
      </c>
      <c r="G21" s="277" t="s">
        <v>106</v>
      </c>
    </row>
    <row r="22" spans="1:7" s="257" customFormat="1" ht="13.5" customHeight="1">
      <c r="A22" s="943" t="s">
        <v>786</v>
      </c>
      <c r="B22" s="253" t="s">
        <v>107</v>
      </c>
      <c r="C22" s="1349">
        <f ca="1">ROUND(SUM(C23:C25),0)</f>
        <v>2047</v>
      </c>
      <c r="D22" s="278">
        <f ca="1">C26</f>
        <v>1.4E-3</v>
      </c>
      <c r="E22" s="279" t="s">
        <v>126</v>
      </c>
      <c r="F22" s="280">
        <f ca="1">'数据-取费表'!B40</f>
        <v>4.7500000000000001E-2</v>
      </c>
      <c r="G22" s="1284" t="str">
        <f>IF('数据-取费表'!B22&lt;=1,"单利计息","复利计息")</f>
        <v>复利计息</v>
      </c>
    </row>
    <row r="23" spans="1:7" s="257" customFormat="1" ht="13.5" customHeight="1">
      <c r="A23" s="946" t="s">
        <v>794</v>
      </c>
      <c r="B23" s="258" t="s">
        <v>1061</v>
      </c>
      <c r="C23" s="1350">
        <f ca="1">ROUND(IF('数据-取费表'!B22&lt;=1,C5*F22*'数据-取费表'!B23,C5*(POWER((1+F22),'数据-取费表'!B23)-1)),0)</f>
        <v>2004</v>
      </c>
      <c r="D23" s="281"/>
      <c r="E23" s="281"/>
      <c r="F23" s="282"/>
      <c r="G23" s="283" t="s">
        <v>108</v>
      </c>
    </row>
    <row r="24" spans="1:7" s="257" customFormat="1" ht="13.5" customHeight="1">
      <c r="A24" s="946" t="s">
        <v>792</v>
      </c>
      <c r="B24" s="258" t="s">
        <v>1056</v>
      </c>
      <c r="C24" s="1350">
        <f ca="1">ROUND(IF('数据-取费表'!B22&lt;=1,C19*F22*('数据-取费表'!B19/2+'数据-取费表'!B21),C19*(POWER((1+F22),('数据-取费表'!B19/2+'数据-取费表'!B21))-1)),0)</f>
        <v>23</v>
      </c>
      <c r="D24" s="281"/>
      <c r="E24" s="281"/>
      <c r="F24" s="282"/>
      <c r="G24" s="283" t="s">
        <v>109</v>
      </c>
    </row>
    <row r="25" spans="1:7" s="257" customFormat="1" ht="24">
      <c r="A25" s="946" t="s">
        <v>793</v>
      </c>
      <c r="B25" s="258" t="s">
        <v>1058</v>
      </c>
      <c r="C25" s="1350">
        <f ca="1">ROUND(IF('数据-取费表'!B22&lt;=1,C20*F22*'数据-取费表'!B23/2,C20*(POWER((1+F22),'数据-取费表'!B23/2)-1)),0)</f>
        <v>20</v>
      </c>
      <c r="D25" s="281"/>
      <c r="E25" s="284"/>
      <c r="F25" s="282"/>
      <c r="G25" s="285" t="s">
        <v>110</v>
      </c>
    </row>
    <row r="26" spans="1:7" s="257" customFormat="1">
      <c r="A26" s="946" t="s">
        <v>795</v>
      </c>
      <c r="B26" s="258" t="s">
        <v>1060</v>
      </c>
      <c r="C26" s="281">
        <f ca="1">ROUND(IF('数据-取费表'!B22&lt;=1,F21*F22*'数据-取费表'!B23/2,F21*(POWER((1+F22),'数据-取费表'!B23/2)-1)),4)</f>
        <v>1.4E-3</v>
      </c>
      <c r="D26" s="281"/>
      <c r="E26" s="284"/>
      <c r="F26" s="282"/>
      <c r="G26" s="286"/>
    </row>
    <row r="27" spans="1:7" s="257" customFormat="1" ht="24.75">
      <c r="A27" s="943" t="s">
        <v>787</v>
      </c>
      <c r="B27" s="287" t="s">
        <v>112</v>
      </c>
      <c r="C27" s="288">
        <f>C28</f>
        <v>3189</v>
      </c>
      <c r="D27" s="278">
        <f>C29</f>
        <v>4.4999999999999997E-3</v>
      </c>
      <c r="E27" s="279" t="s">
        <v>126</v>
      </c>
      <c r="F27" s="289">
        <f>'数据-取费表'!Q16</f>
        <v>0.15</v>
      </c>
      <c r="G27" s="290" t="s">
        <v>1069</v>
      </c>
    </row>
    <row r="28" spans="1:7" s="257" customFormat="1" ht="13.5" customHeight="1">
      <c r="A28" s="946" t="s">
        <v>794</v>
      </c>
      <c r="B28" s="291" t="s">
        <v>1062</v>
      </c>
      <c r="C28" s="292">
        <f>ROUND((C5+C19+C20)*F27*'数据-取费表'!B21/'数据-取费表'!B20,0)</f>
        <v>3189</v>
      </c>
      <c r="D28" s="278"/>
      <c r="E28" s="279"/>
      <c r="F28" s="289"/>
      <c r="G28" s="290"/>
    </row>
    <row r="29" spans="1:7" s="257" customFormat="1" ht="13.5" customHeight="1">
      <c r="A29" s="946" t="s">
        <v>792</v>
      </c>
      <c r="B29" s="291" t="s">
        <v>1063</v>
      </c>
      <c r="C29" s="281">
        <f>ROUND(C21*F27*'数据-取费表'!B21/'数据-取费表'!B20,4)</f>
        <v>4.4999999999999997E-3</v>
      </c>
      <c r="D29" s="278"/>
      <c r="E29" s="279"/>
      <c r="F29" s="289"/>
      <c r="G29" s="290"/>
    </row>
    <row r="30" spans="1:7" s="257" customFormat="1" ht="13.5" customHeight="1">
      <c r="A30" s="943"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29092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3775</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3389</v>
      </c>
      <c r="D34" s="260"/>
      <c r="E34" s="263"/>
      <c r="F34" s="300">
        <f>IF('数据-取费表'!B24=0,1,'数据-取费表'!N16)</f>
        <v>1</v>
      </c>
      <c r="G34" s="262" t="s">
        <v>116</v>
      </c>
    </row>
    <row r="35" spans="1:7" ht="13.5" customHeight="1">
      <c r="A35" s="946" t="s">
        <v>796</v>
      </c>
      <c r="B35" s="258" t="s">
        <v>60</v>
      </c>
      <c r="C35" s="263">
        <f>ROUND(C34*F35,0)</f>
        <v>102</v>
      </c>
      <c r="D35" s="263"/>
      <c r="E35" s="263"/>
      <c r="F35" s="302">
        <f>'数据-取费表'!B33</f>
        <v>0.03</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6" t="s">
        <v>798</v>
      </c>
      <c r="B37" s="258" t="s">
        <v>118</v>
      </c>
      <c r="C37" s="292">
        <f>ROUND(E37*D37*F34/10000,0)</f>
        <v>233</v>
      </c>
      <c r="D37" s="260">
        <f>'数据-汇总表'!E3</f>
        <v>11628.210000000001</v>
      </c>
      <c r="E37" s="292">
        <f>'数据-取费表'!B35</f>
        <v>200</v>
      </c>
      <c r="F37" s="302"/>
      <c r="G37" s="304" t="s">
        <v>119</v>
      </c>
    </row>
    <row r="38" spans="1:7" ht="13.5" customHeight="1">
      <c r="A38" s="946" t="s">
        <v>799</v>
      </c>
      <c r="B38" s="258" t="s">
        <v>63</v>
      </c>
      <c r="C38" s="263">
        <f>ROUND(C34*F38,0)</f>
        <v>51</v>
      </c>
      <c r="D38" s="263"/>
      <c r="E38" s="263"/>
      <c r="F38" s="302">
        <f>'数据-取费表'!B36</f>
        <v>1.4999999999999999E-2</v>
      </c>
      <c r="G38" s="262" t="s">
        <v>117</v>
      </c>
    </row>
    <row r="39" spans="1:7" s="257" customFormat="1" ht="13.5" customHeight="1">
      <c r="A39" s="943" t="s">
        <v>783</v>
      </c>
      <c r="B39" s="253" t="s">
        <v>104</v>
      </c>
      <c r="C39" s="275">
        <f>ROUND(C33*F20,0)</f>
        <v>76</v>
      </c>
      <c r="D39" s="275"/>
      <c r="E39" s="275"/>
      <c r="F39" s="276"/>
      <c r="G39" s="1284" t="s">
        <v>1071</v>
      </c>
    </row>
    <row r="40" spans="1:7" s="257" customFormat="1" ht="13.5" customHeight="1">
      <c r="A40" s="943" t="s">
        <v>784</v>
      </c>
      <c r="B40" s="253" t="s">
        <v>105</v>
      </c>
      <c r="C40" s="305">
        <f>F21</f>
        <v>0.03</v>
      </c>
      <c r="D40" s="279" t="s">
        <v>129</v>
      </c>
      <c r="E40" s="275"/>
      <c r="F40" s="276"/>
      <c r="G40" s="277" t="s">
        <v>120</v>
      </c>
    </row>
    <row r="41" spans="1:7" s="257" customFormat="1" ht="13.5" customHeight="1">
      <c r="A41" s="943" t="s">
        <v>785</v>
      </c>
      <c r="B41" s="253" t="s">
        <v>107</v>
      </c>
      <c r="C41" s="275">
        <f ca="1">ROUND(SUM(C42:C43),0)</f>
        <v>183</v>
      </c>
      <c r="D41" s="278">
        <f ca="1">C44</f>
        <v>1.4E-3</v>
      </c>
      <c r="E41" s="279" t="s">
        <v>129</v>
      </c>
      <c r="F41" s="280"/>
      <c r="G41" s="1284" t="str">
        <f>IF('数据-取费表'!B22&lt;=1,"单利计息","复利计息")</f>
        <v>复利计息</v>
      </c>
    </row>
    <row r="42" spans="1:7" ht="13.5" customHeight="1">
      <c r="A42" s="946" t="s">
        <v>794</v>
      </c>
      <c r="B42" s="258" t="s">
        <v>1061</v>
      </c>
      <c r="C42" s="281">
        <f ca="1">ROUND(IF('数据-取费表'!B22&lt;=1,C33*F22*'数据-取费表'!B21/2,C33*(POWER((1+F22),'数据-取费表'!B21/2)-1)),0)</f>
        <v>179</v>
      </c>
      <c r="D42" s="281"/>
      <c r="E42" s="281"/>
      <c r="F42" s="282"/>
      <c r="G42" s="3220" t="s">
        <v>121</v>
      </c>
    </row>
    <row r="43" spans="1:7" ht="13.5" customHeight="1">
      <c r="A43" s="946" t="s">
        <v>792</v>
      </c>
      <c r="B43" s="258" t="s">
        <v>1064</v>
      </c>
      <c r="C43" s="281">
        <f ca="1">ROUND(IF('数据-取费表'!B22&lt;=1,C39*F22*'数据-取费表'!B21/2,C39*(POWER((1+F22),'数据-取费表'!B21/2)-1)),0)</f>
        <v>4</v>
      </c>
      <c r="D43" s="281"/>
      <c r="E43" s="281"/>
      <c r="F43" s="282"/>
      <c r="G43" s="3221"/>
    </row>
    <row r="44" spans="1:7" ht="13.5" customHeight="1">
      <c r="A44" s="946" t="s">
        <v>793</v>
      </c>
      <c r="B44" s="258" t="s">
        <v>1066</v>
      </c>
      <c r="C44" s="281">
        <f ca="1">ROUND(IF('数据-取费表'!B22&lt;=1,C40*F22*'数据-取费表'!B21/2,C40*(POWER((1+F22),'数据-取费表'!B21/2)-1)),4)</f>
        <v>1.4E-3</v>
      </c>
      <c r="D44" s="281"/>
      <c r="E44" s="281"/>
      <c r="F44" s="282"/>
      <c r="G44" s="3222"/>
    </row>
    <row r="45" spans="1:7" s="257" customFormat="1" ht="13.5" customHeight="1">
      <c r="A45" s="943" t="s">
        <v>786</v>
      </c>
      <c r="B45" s="287" t="s">
        <v>112</v>
      </c>
      <c r="C45" s="288">
        <f>C46</f>
        <v>578</v>
      </c>
      <c r="D45" s="278">
        <f>C47</f>
        <v>4.4999999999999997E-3</v>
      </c>
      <c r="E45" s="279" t="s">
        <v>129</v>
      </c>
      <c r="F45" s="289"/>
      <c r="G45" s="290" t="s">
        <v>1072</v>
      </c>
    </row>
    <row r="46" spans="1:7" s="257" customFormat="1" ht="13.5" customHeight="1">
      <c r="A46" s="946" t="s">
        <v>794</v>
      </c>
      <c r="B46" s="291" t="s">
        <v>1065</v>
      </c>
      <c r="C46" s="292">
        <f>ROUND((C33+C39)*F27,0)</f>
        <v>578</v>
      </c>
      <c r="D46" s="306"/>
      <c r="E46" s="279"/>
      <c r="F46" s="289"/>
      <c r="G46" s="290"/>
    </row>
    <row r="47" spans="1:7" s="257" customFormat="1" ht="13.5" customHeight="1">
      <c r="A47" s="946" t="s">
        <v>792</v>
      </c>
      <c r="B47" s="291" t="s">
        <v>1067</v>
      </c>
      <c r="C47" s="281">
        <f>ROUND(C40*F27,4)</f>
        <v>4.4999999999999997E-3</v>
      </c>
      <c r="D47" s="306"/>
      <c r="E47" s="279"/>
      <c r="F47" s="289"/>
      <c r="G47" s="290"/>
    </row>
    <row r="48" spans="1:7" s="257" customFormat="1" ht="13.5" customHeight="1">
      <c r="A48" s="943" t="s">
        <v>787</v>
      </c>
      <c r="B48" s="253" t="s">
        <v>122</v>
      </c>
      <c r="C48" s="305">
        <f>F30</f>
        <v>5.6000000000000001E-2</v>
      </c>
      <c r="D48" s="279" t="s">
        <v>130</v>
      </c>
      <c r="E48" s="275"/>
      <c r="F48" s="280"/>
      <c r="G48" s="277" t="s">
        <v>123</v>
      </c>
    </row>
    <row r="49" spans="1:7" ht="16.5" customHeight="1">
      <c r="A49" s="943" t="s">
        <v>788</v>
      </c>
      <c r="B49" s="253" t="s">
        <v>131</v>
      </c>
      <c r="C49" s="275">
        <f ca="1">ROUND((C33+C39+C41+C45)/(1-C40-D41-D45-C48/(1+'数据-取费表'!B42)),0)</f>
        <v>5064</v>
      </c>
      <c r="D49" s="275"/>
      <c r="E49" s="275"/>
      <c r="F49" s="307"/>
      <c r="G49" s="277" t="s">
        <v>1073</v>
      </c>
    </row>
    <row r="50" spans="1:7" s="301" customFormat="1" ht="24">
      <c r="A50" s="943" t="s">
        <v>789</v>
      </c>
      <c r="B50" s="253" t="s">
        <v>124</v>
      </c>
      <c r="C50" s="275"/>
      <c r="D50" s="275"/>
      <c r="E50" s="275"/>
      <c r="F50" s="307">
        <f>IF('数据-取费表'!B24=0,'数据-取费表'!N16,1)</f>
        <v>0.9</v>
      </c>
      <c r="G50" s="290" t="s">
        <v>125</v>
      </c>
    </row>
    <row r="51" spans="1:7" ht="16.5" customHeight="1">
      <c r="A51" s="943" t="s">
        <v>790</v>
      </c>
      <c r="B51" s="253" t="s">
        <v>132</v>
      </c>
      <c r="C51" s="275">
        <f ca="1">ROUND(C49*F50,0)</f>
        <v>4558</v>
      </c>
      <c r="D51" s="275"/>
      <c r="E51" s="275"/>
      <c r="F51" s="307"/>
      <c r="G51" s="277" t="s">
        <v>64</v>
      </c>
    </row>
    <row r="52" spans="1:7" s="251" customFormat="1" ht="16.5" thickBot="1">
      <c r="A52" s="308" t="s">
        <v>65</v>
      </c>
      <c r="B52" s="309"/>
      <c r="C52" s="310">
        <f ca="1">C31+C51</f>
        <v>33650</v>
      </c>
      <c r="D52" s="309"/>
      <c r="E52" s="309"/>
      <c r="F52" s="309"/>
      <c r="G52" s="311"/>
    </row>
    <row r="55" spans="1:7" ht="15">
      <c r="B55" s="313" t="s">
        <v>66</v>
      </c>
      <c r="C55" s="314"/>
    </row>
    <row r="56" spans="1:7">
      <c r="B56" s="316" t="s">
        <v>67</v>
      </c>
      <c r="C56" s="317">
        <f ca="1">ROUND(C51/C52,3)</f>
        <v>0.13500000000000001</v>
      </c>
    </row>
    <row r="57" spans="1:7">
      <c r="B57" s="316" t="s">
        <v>68</v>
      </c>
      <c r="C57" s="318">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7" customWidth="1"/>
    <col min="2" max="5" width="10.125" style="805" customWidth="1"/>
    <col min="6" max="6" width="8.875" style="805"/>
    <col min="7" max="8" width="8.875" style="820"/>
    <col min="9" max="16384" width="8.875" style="805"/>
  </cols>
  <sheetData>
    <row r="1" spans="1:19">
      <c r="A1" s="3363" t="s">
        <v>156</v>
      </c>
      <c r="B1" s="3363"/>
      <c r="C1" s="3363"/>
      <c r="D1" s="3363"/>
      <c r="E1" s="3363"/>
      <c r="F1" s="3363"/>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64" t="s">
        <v>169</v>
      </c>
      <c r="B2" s="3364"/>
      <c r="C2" s="3364"/>
      <c r="D2" s="3364"/>
      <c r="E2" s="3364"/>
      <c r="F2" s="3364"/>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65"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66"/>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7" customWidth="1"/>
    <col min="2" max="2" width="10.125" style="805" customWidth="1"/>
  </cols>
  <sheetData>
    <row r="1" spans="1:6">
      <c r="A1" s="3363" t="s">
        <v>871</v>
      </c>
      <c r="B1" s="3363"/>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24.75" thickBot="1">
      <c r="A72" s="832" t="s">
        <v>137</v>
      </c>
      <c r="B72" s="826" t="s">
        <v>885</v>
      </c>
      <c r="C72" s="1072"/>
      <c r="D72" s="1072"/>
      <c r="E72" s="1072"/>
      <c r="F72" s="1060">
        <v>0.05</v>
      </c>
    </row>
    <row r="73" spans="1:6" ht="24.75" thickBot="1">
      <c r="A73" s="832" t="s">
        <v>137</v>
      </c>
      <c r="B73" s="826" t="s">
        <v>886</v>
      </c>
      <c r="C73" s="1072"/>
      <c r="D73" s="1072"/>
      <c r="E73" s="1072"/>
      <c r="F73" s="1060">
        <v>0.05</v>
      </c>
    </row>
    <row r="74" spans="1:6" ht="24.75" thickBot="1">
      <c r="A74" s="832" t="s">
        <v>137</v>
      </c>
      <c r="B74" s="826" t="s">
        <v>887</v>
      </c>
      <c r="C74" s="1072"/>
      <c r="D74" s="1072"/>
      <c r="E74" s="1072"/>
      <c r="F74" s="1060">
        <v>0.05</v>
      </c>
    </row>
    <row r="75" spans="1:6" ht="24.7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24.7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24.7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3" customWidth="1"/>
    <col min="2" max="2" width="13.125" style="1639" customWidth="1"/>
    <col min="3" max="3" width="15.625" style="1639" customWidth="1"/>
    <col min="4" max="4" width="9.375" style="1639" bestFit="1" customWidth="1"/>
    <col min="5" max="5" width="13.5" style="1639" customWidth="1"/>
    <col min="6" max="6" width="8.875" style="1639"/>
    <col min="7" max="7" width="9.375" style="1639" bestFit="1" customWidth="1"/>
    <col min="8" max="8" width="12.125" style="1639" customWidth="1"/>
    <col min="9" max="9" width="8.875" style="1639"/>
    <col min="10" max="10" width="9.375" style="1639" bestFit="1" customWidth="1"/>
    <col min="11" max="11" width="4" style="1633" customWidth="1"/>
    <col min="12" max="12" width="5.125" style="1639" customWidth="1"/>
    <col min="13" max="13" width="13.625" style="1639" customWidth="1"/>
    <col min="14" max="256" width="8.875" style="1639"/>
    <col min="257" max="257" width="4.875" style="1630" customWidth="1"/>
    <col min="258" max="258" width="13.125" style="1630" customWidth="1"/>
    <col min="259" max="259" width="15.625" style="1630" customWidth="1"/>
    <col min="260" max="260" width="9.375" style="1630" bestFit="1" customWidth="1"/>
    <col min="261" max="261" width="13.5" style="1630" customWidth="1"/>
    <col min="262" max="262" width="8.875" style="1630"/>
    <col min="263" max="263" width="9.375" style="1630" bestFit="1" customWidth="1"/>
    <col min="264" max="265" width="8.875" style="1630"/>
    <col min="266" max="266" width="9.375" style="1630" bestFit="1" customWidth="1"/>
    <col min="267" max="267" width="4" style="1630" customWidth="1"/>
    <col min="268" max="268" width="5.125" style="1630" customWidth="1"/>
    <col min="269" max="269" width="13.625" style="1630" customWidth="1"/>
    <col min="270" max="512" width="8.875" style="1630"/>
    <col min="513" max="513" width="4.875" style="1630" customWidth="1"/>
    <col min="514" max="514" width="13.125" style="1630" customWidth="1"/>
    <col min="515" max="515" width="15.625" style="1630" customWidth="1"/>
    <col min="516" max="516" width="9.375" style="1630" bestFit="1" customWidth="1"/>
    <col min="517" max="517" width="13.5" style="1630" customWidth="1"/>
    <col min="518" max="518" width="8.875" style="1630"/>
    <col min="519" max="519" width="9.375" style="1630" bestFit="1" customWidth="1"/>
    <col min="520" max="521" width="8.875" style="1630"/>
    <col min="522" max="522" width="9.375" style="1630" bestFit="1" customWidth="1"/>
    <col min="523" max="523" width="4" style="1630" customWidth="1"/>
    <col min="524" max="524" width="5.125" style="1630" customWidth="1"/>
    <col min="525" max="525" width="13.625" style="1630" customWidth="1"/>
    <col min="526" max="768" width="8.875" style="1630"/>
    <col min="769" max="769" width="4.875" style="1630" customWidth="1"/>
    <col min="770" max="770" width="13.125" style="1630" customWidth="1"/>
    <col min="771" max="771" width="15.625" style="1630" customWidth="1"/>
    <col min="772" max="772" width="9.375" style="1630" bestFit="1" customWidth="1"/>
    <col min="773" max="773" width="13.5" style="1630" customWidth="1"/>
    <col min="774" max="774" width="8.875" style="1630"/>
    <col min="775" max="775" width="9.375" style="1630" bestFit="1" customWidth="1"/>
    <col min="776" max="777" width="8.875" style="1630"/>
    <col min="778" max="778" width="9.375" style="1630" bestFit="1" customWidth="1"/>
    <col min="779" max="779" width="4" style="1630" customWidth="1"/>
    <col min="780" max="780" width="5.125" style="1630" customWidth="1"/>
    <col min="781" max="781" width="13.625" style="1630" customWidth="1"/>
    <col min="782" max="1024" width="8.875" style="1630"/>
    <col min="1025" max="1025" width="4.875" style="1630" customWidth="1"/>
    <col min="1026" max="1026" width="13.125" style="1630" customWidth="1"/>
    <col min="1027" max="1027" width="15.625" style="1630" customWidth="1"/>
    <col min="1028" max="1028" width="9.375" style="1630" bestFit="1" customWidth="1"/>
    <col min="1029" max="1029" width="13.5" style="1630" customWidth="1"/>
    <col min="1030" max="1030" width="8.875" style="1630"/>
    <col min="1031" max="1031" width="9.375" style="1630" bestFit="1" customWidth="1"/>
    <col min="1032" max="1033" width="8.875" style="1630"/>
    <col min="1034" max="1034" width="9.375" style="1630" bestFit="1" customWidth="1"/>
    <col min="1035" max="1035" width="4" style="1630" customWidth="1"/>
    <col min="1036" max="1036" width="5.125" style="1630" customWidth="1"/>
    <col min="1037" max="1037" width="13.625" style="1630" customWidth="1"/>
    <col min="1038" max="1280" width="8.875" style="1630"/>
    <col min="1281" max="1281" width="4.875" style="1630" customWidth="1"/>
    <col min="1282" max="1282" width="13.125" style="1630" customWidth="1"/>
    <col min="1283" max="1283" width="15.625" style="1630" customWidth="1"/>
    <col min="1284" max="1284" width="9.375" style="1630" bestFit="1" customWidth="1"/>
    <col min="1285" max="1285" width="13.5" style="1630" customWidth="1"/>
    <col min="1286" max="1286" width="8.875" style="1630"/>
    <col min="1287" max="1287" width="9.375" style="1630" bestFit="1" customWidth="1"/>
    <col min="1288" max="1289" width="8.875" style="1630"/>
    <col min="1290" max="1290" width="9.375" style="1630" bestFit="1" customWidth="1"/>
    <col min="1291" max="1291" width="4" style="1630" customWidth="1"/>
    <col min="1292" max="1292" width="5.125" style="1630" customWidth="1"/>
    <col min="1293" max="1293" width="13.625" style="1630" customWidth="1"/>
    <col min="1294" max="1536" width="8.875" style="1630"/>
    <col min="1537" max="1537" width="4.875" style="1630" customWidth="1"/>
    <col min="1538" max="1538" width="13.125" style="1630" customWidth="1"/>
    <col min="1539" max="1539" width="15.625" style="1630" customWidth="1"/>
    <col min="1540" max="1540" width="9.375" style="1630" bestFit="1" customWidth="1"/>
    <col min="1541" max="1541" width="13.5" style="1630" customWidth="1"/>
    <col min="1542" max="1542" width="8.875" style="1630"/>
    <col min="1543" max="1543" width="9.375" style="1630" bestFit="1" customWidth="1"/>
    <col min="1544" max="1545" width="8.875" style="1630"/>
    <col min="1546" max="1546" width="9.375" style="1630" bestFit="1" customWidth="1"/>
    <col min="1547" max="1547" width="4" style="1630" customWidth="1"/>
    <col min="1548" max="1548" width="5.125" style="1630" customWidth="1"/>
    <col min="1549" max="1549" width="13.625" style="1630" customWidth="1"/>
    <col min="1550" max="1792" width="8.875" style="1630"/>
    <col min="1793" max="1793" width="4.875" style="1630" customWidth="1"/>
    <col min="1794" max="1794" width="13.125" style="1630" customWidth="1"/>
    <col min="1795" max="1795" width="15.625" style="1630" customWidth="1"/>
    <col min="1796" max="1796" width="9.375" style="1630" bestFit="1" customWidth="1"/>
    <col min="1797" max="1797" width="13.5" style="1630" customWidth="1"/>
    <col min="1798" max="1798" width="8.875" style="1630"/>
    <col min="1799" max="1799" width="9.375" style="1630" bestFit="1" customWidth="1"/>
    <col min="1800" max="1801" width="8.875" style="1630"/>
    <col min="1802" max="1802" width="9.375" style="1630" bestFit="1" customWidth="1"/>
    <col min="1803" max="1803" width="4" style="1630" customWidth="1"/>
    <col min="1804" max="1804" width="5.125" style="1630" customWidth="1"/>
    <col min="1805" max="1805" width="13.625" style="1630" customWidth="1"/>
    <col min="1806" max="2048" width="8.875" style="1630"/>
    <col min="2049" max="2049" width="4.875" style="1630" customWidth="1"/>
    <col min="2050" max="2050" width="13.125" style="1630" customWidth="1"/>
    <col min="2051" max="2051" width="15.625" style="1630" customWidth="1"/>
    <col min="2052" max="2052" width="9.375" style="1630" bestFit="1" customWidth="1"/>
    <col min="2053" max="2053" width="13.5" style="1630" customWidth="1"/>
    <col min="2054" max="2054" width="8.875" style="1630"/>
    <col min="2055" max="2055" width="9.375" style="1630" bestFit="1" customWidth="1"/>
    <col min="2056" max="2057" width="8.875" style="1630"/>
    <col min="2058" max="2058" width="9.375" style="1630" bestFit="1" customWidth="1"/>
    <col min="2059" max="2059" width="4" style="1630" customWidth="1"/>
    <col min="2060" max="2060" width="5.125" style="1630" customWidth="1"/>
    <col min="2061" max="2061" width="13.625" style="1630" customWidth="1"/>
    <col min="2062" max="2304" width="8.875" style="1630"/>
    <col min="2305" max="2305" width="4.875" style="1630" customWidth="1"/>
    <col min="2306" max="2306" width="13.125" style="1630" customWidth="1"/>
    <col min="2307" max="2307" width="15.625" style="1630" customWidth="1"/>
    <col min="2308" max="2308" width="9.375" style="1630" bestFit="1" customWidth="1"/>
    <col min="2309" max="2309" width="13.5" style="1630" customWidth="1"/>
    <col min="2310" max="2310" width="8.875" style="1630"/>
    <col min="2311" max="2311" width="9.375" style="1630" bestFit="1" customWidth="1"/>
    <col min="2312" max="2313" width="8.875" style="1630"/>
    <col min="2314" max="2314" width="9.375" style="1630" bestFit="1" customWidth="1"/>
    <col min="2315" max="2315" width="4" style="1630" customWidth="1"/>
    <col min="2316" max="2316" width="5.125" style="1630" customWidth="1"/>
    <col min="2317" max="2317" width="13.625" style="1630" customWidth="1"/>
    <col min="2318" max="2560" width="8.875" style="1630"/>
    <col min="2561" max="2561" width="4.875" style="1630" customWidth="1"/>
    <col min="2562" max="2562" width="13.125" style="1630" customWidth="1"/>
    <col min="2563" max="2563" width="15.625" style="1630" customWidth="1"/>
    <col min="2564" max="2564" width="9.375" style="1630" bestFit="1" customWidth="1"/>
    <col min="2565" max="2565" width="13.5" style="1630" customWidth="1"/>
    <col min="2566" max="2566" width="8.875" style="1630"/>
    <col min="2567" max="2567" width="9.375" style="1630" bestFit="1" customWidth="1"/>
    <col min="2568" max="2569" width="8.875" style="1630"/>
    <col min="2570" max="2570" width="9.375" style="1630" bestFit="1" customWidth="1"/>
    <col min="2571" max="2571" width="4" style="1630" customWidth="1"/>
    <col min="2572" max="2572" width="5.125" style="1630" customWidth="1"/>
    <col min="2573" max="2573" width="13.625" style="1630" customWidth="1"/>
    <col min="2574" max="2816" width="8.875" style="1630"/>
    <col min="2817" max="2817" width="4.875" style="1630" customWidth="1"/>
    <col min="2818" max="2818" width="13.125" style="1630" customWidth="1"/>
    <col min="2819" max="2819" width="15.625" style="1630" customWidth="1"/>
    <col min="2820" max="2820" width="9.375" style="1630" bestFit="1" customWidth="1"/>
    <col min="2821" max="2821" width="13.5" style="1630" customWidth="1"/>
    <col min="2822" max="2822" width="8.875" style="1630"/>
    <col min="2823" max="2823" width="9.375" style="1630" bestFit="1" customWidth="1"/>
    <col min="2824" max="2825" width="8.875" style="1630"/>
    <col min="2826" max="2826" width="9.375" style="1630" bestFit="1" customWidth="1"/>
    <col min="2827" max="2827" width="4" style="1630" customWidth="1"/>
    <col min="2828" max="2828" width="5.125" style="1630" customWidth="1"/>
    <col min="2829" max="2829" width="13.625" style="1630" customWidth="1"/>
    <col min="2830" max="3072" width="8.875" style="1630"/>
    <col min="3073" max="3073" width="4.875" style="1630" customWidth="1"/>
    <col min="3074" max="3074" width="13.125" style="1630" customWidth="1"/>
    <col min="3075" max="3075" width="15.625" style="1630" customWidth="1"/>
    <col min="3076" max="3076" width="9.375" style="1630" bestFit="1" customWidth="1"/>
    <col min="3077" max="3077" width="13.5" style="1630" customWidth="1"/>
    <col min="3078" max="3078" width="8.875" style="1630"/>
    <col min="3079" max="3079" width="9.375" style="1630" bestFit="1" customWidth="1"/>
    <col min="3080" max="3081" width="8.875" style="1630"/>
    <col min="3082" max="3082" width="9.375" style="1630" bestFit="1" customWidth="1"/>
    <col min="3083" max="3083" width="4" style="1630" customWidth="1"/>
    <col min="3084" max="3084" width="5.125" style="1630" customWidth="1"/>
    <col min="3085" max="3085" width="13.625" style="1630" customWidth="1"/>
    <col min="3086" max="3328" width="8.875" style="1630"/>
    <col min="3329" max="3329" width="4.875" style="1630" customWidth="1"/>
    <col min="3330" max="3330" width="13.125" style="1630" customWidth="1"/>
    <col min="3331" max="3331" width="15.625" style="1630" customWidth="1"/>
    <col min="3332" max="3332" width="9.375" style="1630" bestFit="1" customWidth="1"/>
    <col min="3333" max="3333" width="13.5" style="1630" customWidth="1"/>
    <col min="3334" max="3334" width="8.875" style="1630"/>
    <col min="3335" max="3335" width="9.375" style="1630" bestFit="1" customWidth="1"/>
    <col min="3336" max="3337" width="8.875" style="1630"/>
    <col min="3338" max="3338" width="9.375" style="1630" bestFit="1" customWidth="1"/>
    <col min="3339" max="3339" width="4" style="1630" customWidth="1"/>
    <col min="3340" max="3340" width="5.125" style="1630" customWidth="1"/>
    <col min="3341" max="3341" width="13.625" style="1630" customWidth="1"/>
    <col min="3342" max="3584" width="8.875" style="1630"/>
    <col min="3585" max="3585" width="4.875" style="1630" customWidth="1"/>
    <col min="3586" max="3586" width="13.125" style="1630" customWidth="1"/>
    <col min="3587" max="3587" width="15.625" style="1630" customWidth="1"/>
    <col min="3588" max="3588" width="9.375" style="1630" bestFit="1" customWidth="1"/>
    <col min="3589" max="3589" width="13.5" style="1630" customWidth="1"/>
    <col min="3590" max="3590" width="8.875" style="1630"/>
    <col min="3591" max="3591" width="9.375" style="1630" bestFit="1" customWidth="1"/>
    <col min="3592" max="3593" width="8.875" style="1630"/>
    <col min="3594" max="3594" width="9.375" style="1630" bestFit="1" customWidth="1"/>
    <col min="3595" max="3595" width="4" style="1630" customWidth="1"/>
    <col min="3596" max="3596" width="5.125" style="1630" customWidth="1"/>
    <col min="3597" max="3597" width="13.625" style="1630" customWidth="1"/>
    <col min="3598" max="3840" width="8.875" style="1630"/>
    <col min="3841" max="3841" width="4.875" style="1630" customWidth="1"/>
    <col min="3842" max="3842" width="13.125" style="1630" customWidth="1"/>
    <col min="3843" max="3843" width="15.625" style="1630" customWidth="1"/>
    <col min="3844" max="3844" width="9.375" style="1630" bestFit="1" customWidth="1"/>
    <col min="3845" max="3845" width="13.5" style="1630" customWidth="1"/>
    <col min="3846" max="3846" width="8.875" style="1630"/>
    <col min="3847" max="3847" width="9.375" style="1630" bestFit="1" customWidth="1"/>
    <col min="3848" max="3849" width="8.875" style="1630"/>
    <col min="3850" max="3850" width="9.375" style="1630" bestFit="1" customWidth="1"/>
    <col min="3851" max="3851" width="4" style="1630" customWidth="1"/>
    <col min="3852" max="3852" width="5.125" style="1630" customWidth="1"/>
    <col min="3853" max="3853" width="13.625" style="1630" customWidth="1"/>
    <col min="3854" max="4096" width="8.875" style="1630"/>
    <col min="4097" max="4097" width="4.875" style="1630" customWidth="1"/>
    <col min="4098" max="4098" width="13.125" style="1630" customWidth="1"/>
    <col min="4099" max="4099" width="15.625" style="1630" customWidth="1"/>
    <col min="4100" max="4100" width="9.375" style="1630" bestFit="1" customWidth="1"/>
    <col min="4101" max="4101" width="13.5" style="1630" customWidth="1"/>
    <col min="4102" max="4102" width="8.875" style="1630"/>
    <col min="4103" max="4103" width="9.375" style="1630" bestFit="1" customWidth="1"/>
    <col min="4104" max="4105" width="8.875" style="1630"/>
    <col min="4106" max="4106" width="9.375" style="1630" bestFit="1" customWidth="1"/>
    <col min="4107" max="4107" width="4" style="1630" customWidth="1"/>
    <col min="4108" max="4108" width="5.125" style="1630" customWidth="1"/>
    <col min="4109" max="4109" width="13.625" style="1630" customWidth="1"/>
    <col min="4110" max="4352" width="8.875" style="1630"/>
    <col min="4353" max="4353" width="4.875" style="1630" customWidth="1"/>
    <col min="4354" max="4354" width="13.125" style="1630" customWidth="1"/>
    <col min="4355" max="4355" width="15.625" style="1630" customWidth="1"/>
    <col min="4356" max="4356" width="9.375" style="1630" bestFit="1" customWidth="1"/>
    <col min="4357" max="4357" width="13.5" style="1630" customWidth="1"/>
    <col min="4358" max="4358" width="8.875" style="1630"/>
    <col min="4359" max="4359" width="9.375" style="1630" bestFit="1" customWidth="1"/>
    <col min="4360" max="4361" width="8.875" style="1630"/>
    <col min="4362" max="4362" width="9.375" style="1630" bestFit="1" customWidth="1"/>
    <col min="4363" max="4363" width="4" style="1630" customWidth="1"/>
    <col min="4364" max="4364" width="5.125" style="1630" customWidth="1"/>
    <col min="4365" max="4365" width="13.625" style="1630" customWidth="1"/>
    <col min="4366" max="4608" width="8.875" style="1630"/>
    <col min="4609" max="4609" width="4.875" style="1630" customWidth="1"/>
    <col min="4610" max="4610" width="13.125" style="1630" customWidth="1"/>
    <col min="4611" max="4611" width="15.625" style="1630" customWidth="1"/>
    <col min="4612" max="4612" width="9.375" style="1630" bestFit="1" customWidth="1"/>
    <col min="4613" max="4613" width="13.5" style="1630" customWidth="1"/>
    <col min="4614" max="4614" width="8.875" style="1630"/>
    <col min="4615" max="4615" width="9.375" style="1630" bestFit="1" customWidth="1"/>
    <col min="4616" max="4617" width="8.875" style="1630"/>
    <col min="4618" max="4618" width="9.375" style="1630" bestFit="1" customWidth="1"/>
    <col min="4619" max="4619" width="4" style="1630" customWidth="1"/>
    <col min="4620" max="4620" width="5.125" style="1630" customWidth="1"/>
    <col min="4621" max="4621" width="13.625" style="1630" customWidth="1"/>
    <col min="4622" max="4864" width="8.875" style="1630"/>
    <col min="4865" max="4865" width="4.875" style="1630" customWidth="1"/>
    <col min="4866" max="4866" width="13.125" style="1630" customWidth="1"/>
    <col min="4867" max="4867" width="15.625" style="1630" customWidth="1"/>
    <col min="4868" max="4868" width="9.375" style="1630" bestFit="1" customWidth="1"/>
    <col min="4869" max="4869" width="13.5" style="1630" customWidth="1"/>
    <col min="4870" max="4870" width="8.875" style="1630"/>
    <col min="4871" max="4871" width="9.375" style="1630" bestFit="1" customWidth="1"/>
    <col min="4872" max="4873" width="8.875" style="1630"/>
    <col min="4874" max="4874" width="9.375" style="1630" bestFit="1" customWidth="1"/>
    <col min="4875" max="4875" width="4" style="1630" customWidth="1"/>
    <col min="4876" max="4876" width="5.125" style="1630" customWidth="1"/>
    <col min="4877" max="4877" width="13.625" style="1630" customWidth="1"/>
    <col min="4878" max="5120" width="8.875" style="1630"/>
    <col min="5121" max="5121" width="4.875" style="1630" customWidth="1"/>
    <col min="5122" max="5122" width="13.125" style="1630" customWidth="1"/>
    <col min="5123" max="5123" width="15.625" style="1630" customWidth="1"/>
    <col min="5124" max="5124" width="9.375" style="1630" bestFit="1" customWidth="1"/>
    <col min="5125" max="5125" width="13.5" style="1630" customWidth="1"/>
    <col min="5126" max="5126" width="8.875" style="1630"/>
    <col min="5127" max="5127" width="9.375" style="1630" bestFit="1" customWidth="1"/>
    <col min="5128" max="5129" width="8.875" style="1630"/>
    <col min="5130" max="5130" width="9.375" style="1630" bestFit="1" customWidth="1"/>
    <col min="5131" max="5131" width="4" style="1630" customWidth="1"/>
    <col min="5132" max="5132" width="5.125" style="1630" customWidth="1"/>
    <col min="5133" max="5133" width="13.625" style="1630" customWidth="1"/>
    <col min="5134" max="5376" width="8.875" style="1630"/>
    <col min="5377" max="5377" width="4.875" style="1630" customWidth="1"/>
    <col min="5378" max="5378" width="13.125" style="1630" customWidth="1"/>
    <col min="5379" max="5379" width="15.625" style="1630" customWidth="1"/>
    <col min="5380" max="5380" width="9.375" style="1630" bestFit="1" customWidth="1"/>
    <col min="5381" max="5381" width="13.5" style="1630" customWidth="1"/>
    <col min="5382" max="5382" width="8.875" style="1630"/>
    <col min="5383" max="5383" width="9.375" style="1630" bestFit="1" customWidth="1"/>
    <col min="5384" max="5385" width="8.875" style="1630"/>
    <col min="5386" max="5386" width="9.375" style="1630" bestFit="1" customWidth="1"/>
    <col min="5387" max="5387" width="4" style="1630" customWidth="1"/>
    <col min="5388" max="5388" width="5.125" style="1630" customWidth="1"/>
    <col min="5389" max="5389" width="13.625" style="1630" customWidth="1"/>
    <col min="5390" max="5632" width="8.875" style="1630"/>
    <col min="5633" max="5633" width="4.875" style="1630" customWidth="1"/>
    <col min="5634" max="5634" width="13.125" style="1630" customWidth="1"/>
    <col min="5635" max="5635" width="15.625" style="1630" customWidth="1"/>
    <col min="5636" max="5636" width="9.375" style="1630" bestFit="1" customWidth="1"/>
    <col min="5637" max="5637" width="13.5" style="1630" customWidth="1"/>
    <col min="5638" max="5638" width="8.875" style="1630"/>
    <col min="5639" max="5639" width="9.375" style="1630" bestFit="1" customWidth="1"/>
    <col min="5640" max="5641" width="8.875" style="1630"/>
    <col min="5642" max="5642" width="9.375" style="1630" bestFit="1" customWidth="1"/>
    <col min="5643" max="5643" width="4" style="1630" customWidth="1"/>
    <col min="5644" max="5644" width="5.125" style="1630" customWidth="1"/>
    <col min="5645" max="5645" width="13.625" style="1630" customWidth="1"/>
    <col min="5646" max="5888" width="8.875" style="1630"/>
    <col min="5889" max="5889" width="4.875" style="1630" customWidth="1"/>
    <col min="5890" max="5890" width="13.125" style="1630" customWidth="1"/>
    <col min="5891" max="5891" width="15.625" style="1630" customWidth="1"/>
    <col min="5892" max="5892" width="9.375" style="1630" bestFit="1" customWidth="1"/>
    <col min="5893" max="5893" width="13.5" style="1630" customWidth="1"/>
    <col min="5894" max="5894" width="8.875" style="1630"/>
    <col min="5895" max="5895" width="9.375" style="1630" bestFit="1" customWidth="1"/>
    <col min="5896" max="5897" width="8.875" style="1630"/>
    <col min="5898" max="5898" width="9.375" style="1630" bestFit="1" customWidth="1"/>
    <col min="5899" max="5899" width="4" style="1630" customWidth="1"/>
    <col min="5900" max="5900" width="5.125" style="1630" customWidth="1"/>
    <col min="5901" max="5901" width="13.625" style="1630" customWidth="1"/>
    <col min="5902" max="6144" width="8.875" style="1630"/>
    <col min="6145" max="6145" width="4.875" style="1630" customWidth="1"/>
    <col min="6146" max="6146" width="13.125" style="1630" customWidth="1"/>
    <col min="6147" max="6147" width="15.625" style="1630" customWidth="1"/>
    <col min="6148" max="6148" width="9.375" style="1630" bestFit="1" customWidth="1"/>
    <col min="6149" max="6149" width="13.5" style="1630" customWidth="1"/>
    <col min="6150" max="6150" width="8.875" style="1630"/>
    <col min="6151" max="6151" width="9.375" style="1630" bestFit="1" customWidth="1"/>
    <col min="6152" max="6153" width="8.875" style="1630"/>
    <col min="6154" max="6154" width="9.375" style="1630" bestFit="1" customWidth="1"/>
    <col min="6155" max="6155" width="4" style="1630" customWidth="1"/>
    <col min="6156" max="6156" width="5.125" style="1630" customWidth="1"/>
    <col min="6157" max="6157" width="13.625" style="1630" customWidth="1"/>
    <col min="6158" max="6400" width="8.875" style="1630"/>
    <col min="6401" max="6401" width="4.875" style="1630" customWidth="1"/>
    <col min="6402" max="6402" width="13.125" style="1630" customWidth="1"/>
    <col min="6403" max="6403" width="15.625" style="1630" customWidth="1"/>
    <col min="6404" max="6404" width="9.375" style="1630" bestFit="1" customWidth="1"/>
    <col min="6405" max="6405" width="13.5" style="1630" customWidth="1"/>
    <col min="6406" max="6406" width="8.875" style="1630"/>
    <col min="6407" max="6407" width="9.375" style="1630" bestFit="1" customWidth="1"/>
    <col min="6408" max="6409" width="8.875" style="1630"/>
    <col min="6410" max="6410" width="9.375" style="1630" bestFit="1" customWidth="1"/>
    <col min="6411" max="6411" width="4" style="1630" customWidth="1"/>
    <col min="6412" max="6412" width="5.125" style="1630" customWidth="1"/>
    <col min="6413" max="6413" width="13.625" style="1630" customWidth="1"/>
    <col min="6414" max="6656" width="8.875" style="1630"/>
    <col min="6657" max="6657" width="4.875" style="1630" customWidth="1"/>
    <col min="6658" max="6658" width="13.125" style="1630" customWidth="1"/>
    <col min="6659" max="6659" width="15.625" style="1630" customWidth="1"/>
    <col min="6660" max="6660" width="9.375" style="1630" bestFit="1" customWidth="1"/>
    <col min="6661" max="6661" width="13.5" style="1630" customWidth="1"/>
    <col min="6662" max="6662" width="8.875" style="1630"/>
    <col min="6663" max="6663" width="9.375" style="1630" bestFit="1" customWidth="1"/>
    <col min="6664" max="6665" width="8.875" style="1630"/>
    <col min="6666" max="6666" width="9.375" style="1630" bestFit="1" customWidth="1"/>
    <col min="6667" max="6667" width="4" style="1630" customWidth="1"/>
    <col min="6668" max="6668" width="5.125" style="1630" customWidth="1"/>
    <col min="6669" max="6669" width="13.625" style="1630" customWidth="1"/>
    <col min="6670" max="6912" width="8.875" style="1630"/>
    <col min="6913" max="6913" width="4.875" style="1630" customWidth="1"/>
    <col min="6914" max="6914" width="13.125" style="1630" customWidth="1"/>
    <col min="6915" max="6915" width="15.625" style="1630" customWidth="1"/>
    <col min="6916" max="6916" width="9.375" style="1630" bestFit="1" customWidth="1"/>
    <col min="6917" max="6917" width="13.5" style="1630" customWidth="1"/>
    <col min="6918" max="6918" width="8.875" style="1630"/>
    <col min="6919" max="6919" width="9.375" style="1630" bestFit="1" customWidth="1"/>
    <col min="6920" max="6921" width="8.875" style="1630"/>
    <col min="6922" max="6922" width="9.375" style="1630" bestFit="1" customWidth="1"/>
    <col min="6923" max="6923" width="4" style="1630" customWidth="1"/>
    <col min="6924" max="6924" width="5.125" style="1630" customWidth="1"/>
    <col min="6925" max="6925" width="13.625" style="1630" customWidth="1"/>
    <col min="6926" max="7168" width="8.875" style="1630"/>
    <col min="7169" max="7169" width="4.875" style="1630" customWidth="1"/>
    <col min="7170" max="7170" width="13.125" style="1630" customWidth="1"/>
    <col min="7171" max="7171" width="15.625" style="1630" customWidth="1"/>
    <col min="7172" max="7172" width="9.375" style="1630" bestFit="1" customWidth="1"/>
    <col min="7173" max="7173" width="13.5" style="1630" customWidth="1"/>
    <col min="7174" max="7174" width="8.875" style="1630"/>
    <col min="7175" max="7175" width="9.375" style="1630" bestFit="1" customWidth="1"/>
    <col min="7176" max="7177" width="8.875" style="1630"/>
    <col min="7178" max="7178" width="9.375" style="1630" bestFit="1" customWidth="1"/>
    <col min="7179" max="7179" width="4" style="1630" customWidth="1"/>
    <col min="7180" max="7180" width="5.125" style="1630" customWidth="1"/>
    <col min="7181" max="7181" width="13.625" style="1630" customWidth="1"/>
    <col min="7182" max="7424" width="8.875" style="1630"/>
    <col min="7425" max="7425" width="4.875" style="1630" customWidth="1"/>
    <col min="7426" max="7426" width="13.125" style="1630" customWidth="1"/>
    <col min="7427" max="7427" width="15.625" style="1630" customWidth="1"/>
    <col min="7428" max="7428" width="9.375" style="1630" bestFit="1" customWidth="1"/>
    <col min="7429" max="7429" width="13.5" style="1630" customWidth="1"/>
    <col min="7430" max="7430" width="8.875" style="1630"/>
    <col min="7431" max="7431" width="9.375" style="1630" bestFit="1" customWidth="1"/>
    <col min="7432" max="7433" width="8.875" style="1630"/>
    <col min="7434" max="7434" width="9.375" style="1630" bestFit="1" customWidth="1"/>
    <col min="7435" max="7435" width="4" style="1630" customWidth="1"/>
    <col min="7436" max="7436" width="5.125" style="1630" customWidth="1"/>
    <col min="7437" max="7437" width="13.625" style="1630" customWidth="1"/>
    <col min="7438" max="7680" width="8.875" style="1630"/>
    <col min="7681" max="7681" width="4.875" style="1630" customWidth="1"/>
    <col min="7682" max="7682" width="13.125" style="1630" customWidth="1"/>
    <col min="7683" max="7683" width="15.625" style="1630" customWidth="1"/>
    <col min="7684" max="7684" width="9.375" style="1630" bestFit="1" customWidth="1"/>
    <col min="7685" max="7685" width="13.5" style="1630" customWidth="1"/>
    <col min="7686" max="7686" width="8.875" style="1630"/>
    <col min="7687" max="7687" width="9.375" style="1630" bestFit="1" customWidth="1"/>
    <col min="7688" max="7689" width="8.875" style="1630"/>
    <col min="7690" max="7690" width="9.375" style="1630" bestFit="1" customWidth="1"/>
    <col min="7691" max="7691" width="4" style="1630" customWidth="1"/>
    <col min="7692" max="7692" width="5.125" style="1630" customWidth="1"/>
    <col min="7693" max="7693" width="13.625" style="1630" customWidth="1"/>
    <col min="7694" max="7936" width="8.875" style="1630"/>
    <col min="7937" max="7937" width="4.875" style="1630" customWidth="1"/>
    <col min="7938" max="7938" width="13.125" style="1630" customWidth="1"/>
    <col min="7939" max="7939" width="15.625" style="1630" customWidth="1"/>
    <col min="7940" max="7940" width="9.375" style="1630" bestFit="1" customWidth="1"/>
    <col min="7941" max="7941" width="13.5" style="1630" customWidth="1"/>
    <col min="7942" max="7942" width="8.875" style="1630"/>
    <col min="7943" max="7943" width="9.375" style="1630" bestFit="1" customWidth="1"/>
    <col min="7944" max="7945" width="8.875" style="1630"/>
    <col min="7946" max="7946" width="9.375" style="1630" bestFit="1" customWidth="1"/>
    <col min="7947" max="7947" width="4" style="1630" customWidth="1"/>
    <col min="7948" max="7948" width="5.125" style="1630" customWidth="1"/>
    <col min="7949" max="7949" width="13.625" style="1630" customWidth="1"/>
    <col min="7950" max="8192" width="8.875" style="1630"/>
    <col min="8193" max="8193" width="4.875" style="1630" customWidth="1"/>
    <col min="8194" max="8194" width="13.125" style="1630" customWidth="1"/>
    <col min="8195" max="8195" width="15.625" style="1630" customWidth="1"/>
    <col min="8196" max="8196" width="9.375" style="1630" bestFit="1" customWidth="1"/>
    <col min="8197" max="8197" width="13.5" style="1630" customWidth="1"/>
    <col min="8198" max="8198" width="8.875" style="1630"/>
    <col min="8199" max="8199" width="9.375" style="1630" bestFit="1" customWidth="1"/>
    <col min="8200" max="8201" width="8.875" style="1630"/>
    <col min="8202" max="8202" width="9.375" style="1630" bestFit="1" customWidth="1"/>
    <col min="8203" max="8203" width="4" style="1630" customWidth="1"/>
    <col min="8204" max="8204" width="5.125" style="1630" customWidth="1"/>
    <col min="8205" max="8205" width="13.625" style="1630" customWidth="1"/>
    <col min="8206" max="8448" width="8.875" style="1630"/>
    <col min="8449" max="8449" width="4.875" style="1630" customWidth="1"/>
    <col min="8450" max="8450" width="13.125" style="1630" customWidth="1"/>
    <col min="8451" max="8451" width="15.625" style="1630" customWidth="1"/>
    <col min="8452" max="8452" width="9.375" style="1630" bestFit="1" customWidth="1"/>
    <col min="8453" max="8453" width="13.5" style="1630" customWidth="1"/>
    <col min="8454" max="8454" width="8.875" style="1630"/>
    <col min="8455" max="8455" width="9.375" style="1630" bestFit="1" customWidth="1"/>
    <col min="8456" max="8457" width="8.875" style="1630"/>
    <col min="8458" max="8458" width="9.375" style="1630" bestFit="1" customWidth="1"/>
    <col min="8459" max="8459" width="4" style="1630" customWidth="1"/>
    <col min="8460" max="8460" width="5.125" style="1630" customWidth="1"/>
    <col min="8461" max="8461" width="13.625" style="1630" customWidth="1"/>
    <col min="8462" max="8704" width="8.875" style="1630"/>
    <col min="8705" max="8705" width="4.875" style="1630" customWidth="1"/>
    <col min="8706" max="8706" width="13.125" style="1630" customWidth="1"/>
    <col min="8707" max="8707" width="15.625" style="1630" customWidth="1"/>
    <col min="8708" max="8708" width="9.375" style="1630" bestFit="1" customWidth="1"/>
    <col min="8709" max="8709" width="13.5" style="1630" customWidth="1"/>
    <col min="8710" max="8710" width="8.875" style="1630"/>
    <col min="8711" max="8711" width="9.375" style="1630" bestFit="1" customWidth="1"/>
    <col min="8712" max="8713" width="8.875" style="1630"/>
    <col min="8714" max="8714" width="9.375" style="1630" bestFit="1" customWidth="1"/>
    <col min="8715" max="8715" width="4" style="1630" customWidth="1"/>
    <col min="8716" max="8716" width="5.125" style="1630" customWidth="1"/>
    <col min="8717" max="8717" width="13.625" style="1630" customWidth="1"/>
    <col min="8718" max="8960" width="8.875" style="1630"/>
    <col min="8961" max="8961" width="4.875" style="1630" customWidth="1"/>
    <col min="8962" max="8962" width="13.125" style="1630" customWidth="1"/>
    <col min="8963" max="8963" width="15.625" style="1630" customWidth="1"/>
    <col min="8964" max="8964" width="9.375" style="1630" bestFit="1" customWidth="1"/>
    <col min="8965" max="8965" width="13.5" style="1630" customWidth="1"/>
    <col min="8966" max="8966" width="8.875" style="1630"/>
    <col min="8967" max="8967" width="9.375" style="1630" bestFit="1" customWidth="1"/>
    <col min="8968" max="8969" width="8.875" style="1630"/>
    <col min="8970" max="8970" width="9.375" style="1630" bestFit="1" customWidth="1"/>
    <col min="8971" max="8971" width="4" style="1630" customWidth="1"/>
    <col min="8972" max="8972" width="5.125" style="1630" customWidth="1"/>
    <col min="8973" max="8973" width="13.625" style="1630" customWidth="1"/>
    <col min="8974" max="9216" width="8.875" style="1630"/>
    <col min="9217" max="9217" width="4.875" style="1630" customWidth="1"/>
    <col min="9218" max="9218" width="13.125" style="1630" customWidth="1"/>
    <col min="9219" max="9219" width="15.625" style="1630" customWidth="1"/>
    <col min="9220" max="9220" width="9.375" style="1630" bestFit="1" customWidth="1"/>
    <col min="9221" max="9221" width="13.5" style="1630" customWidth="1"/>
    <col min="9222" max="9222" width="8.875" style="1630"/>
    <col min="9223" max="9223" width="9.375" style="1630" bestFit="1" customWidth="1"/>
    <col min="9224" max="9225" width="8.875" style="1630"/>
    <col min="9226" max="9226" width="9.375" style="1630" bestFit="1" customWidth="1"/>
    <col min="9227" max="9227" width="4" style="1630" customWidth="1"/>
    <col min="9228" max="9228" width="5.125" style="1630" customWidth="1"/>
    <col min="9229" max="9229" width="13.625" style="1630" customWidth="1"/>
    <col min="9230" max="9472" width="8.875" style="1630"/>
    <col min="9473" max="9473" width="4.875" style="1630" customWidth="1"/>
    <col min="9474" max="9474" width="13.125" style="1630" customWidth="1"/>
    <col min="9475" max="9475" width="15.625" style="1630" customWidth="1"/>
    <col min="9476" max="9476" width="9.375" style="1630" bestFit="1" customWidth="1"/>
    <col min="9477" max="9477" width="13.5" style="1630" customWidth="1"/>
    <col min="9478" max="9478" width="8.875" style="1630"/>
    <col min="9479" max="9479" width="9.375" style="1630" bestFit="1" customWidth="1"/>
    <col min="9480" max="9481" width="8.875" style="1630"/>
    <col min="9482" max="9482" width="9.375" style="1630" bestFit="1" customWidth="1"/>
    <col min="9483" max="9483" width="4" style="1630" customWidth="1"/>
    <col min="9484" max="9484" width="5.125" style="1630" customWidth="1"/>
    <col min="9485" max="9485" width="13.625" style="1630" customWidth="1"/>
    <col min="9486" max="9728" width="8.875" style="1630"/>
    <col min="9729" max="9729" width="4.875" style="1630" customWidth="1"/>
    <col min="9730" max="9730" width="13.125" style="1630" customWidth="1"/>
    <col min="9731" max="9731" width="15.625" style="1630" customWidth="1"/>
    <col min="9732" max="9732" width="9.375" style="1630" bestFit="1" customWidth="1"/>
    <col min="9733" max="9733" width="13.5" style="1630" customWidth="1"/>
    <col min="9734" max="9734" width="8.875" style="1630"/>
    <col min="9735" max="9735" width="9.375" style="1630" bestFit="1" customWidth="1"/>
    <col min="9736" max="9737" width="8.875" style="1630"/>
    <col min="9738" max="9738" width="9.375" style="1630" bestFit="1" customWidth="1"/>
    <col min="9739" max="9739" width="4" style="1630" customWidth="1"/>
    <col min="9740" max="9740" width="5.125" style="1630" customWidth="1"/>
    <col min="9741" max="9741" width="13.625" style="1630" customWidth="1"/>
    <col min="9742" max="9984" width="8.875" style="1630"/>
    <col min="9985" max="9985" width="4.875" style="1630" customWidth="1"/>
    <col min="9986" max="9986" width="13.125" style="1630" customWidth="1"/>
    <col min="9987" max="9987" width="15.625" style="1630" customWidth="1"/>
    <col min="9988" max="9988" width="9.375" style="1630" bestFit="1" customWidth="1"/>
    <col min="9989" max="9989" width="13.5" style="1630" customWidth="1"/>
    <col min="9990" max="9990" width="8.875" style="1630"/>
    <col min="9991" max="9991" width="9.375" style="1630" bestFit="1" customWidth="1"/>
    <col min="9992" max="9993" width="8.875" style="1630"/>
    <col min="9994" max="9994" width="9.375" style="1630" bestFit="1" customWidth="1"/>
    <col min="9995" max="9995" width="4" style="1630" customWidth="1"/>
    <col min="9996" max="9996" width="5.125" style="1630" customWidth="1"/>
    <col min="9997" max="9997" width="13.625" style="1630" customWidth="1"/>
    <col min="9998" max="10240" width="8.875" style="1630"/>
    <col min="10241" max="10241" width="4.875" style="1630" customWidth="1"/>
    <col min="10242" max="10242" width="13.125" style="1630" customWidth="1"/>
    <col min="10243" max="10243" width="15.625" style="1630" customWidth="1"/>
    <col min="10244" max="10244" width="9.375" style="1630" bestFit="1" customWidth="1"/>
    <col min="10245" max="10245" width="13.5" style="1630" customWidth="1"/>
    <col min="10246" max="10246" width="8.875" style="1630"/>
    <col min="10247" max="10247" width="9.375" style="1630" bestFit="1" customWidth="1"/>
    <col min="10248" max="10249" width="8.875" style="1630"/>
    <col min="10250" max="10250" width="9.375" style="1630" bestFit="1" customWidth="1"/>
    <col min="10251" max="10251" width="4" style="1630" customWidth="1"/>
    <col min="10252" max="10252" width="5.125" style="1630" customWidth="1"/>
    <col min="10253" max="10253" width="13.625" style="1630" customWidth="1"/>
    <col min="10254" max="10496" width="8.875" style="1630"/>
    <col min="10497" max="10497" width="4.875" style="1630" customWidth="1"/>
    <col min="10498" max="10498" width="13.125" style="1630" customWidth="1"/>
    <col min="10499" max="10499" width="15.625" style="1630" customWidth="1"/>
    <col min="10500" max="10500" width="9.375" style="1630" bestFit="1" customWidth="1"/>
    <col min="10501" max="10501" width="13.5" style="1630" customWidth="1"/>
    <col min="10502" max="10502" width="8.875" style="1630"/>
    <col min="10503" max="10503" width="9.375" style="1630" bestFit="1" customWidth="1"/>
    <col min="10504" max="10505" width="8.875" style="1630"/>
    <col min="10506" max="10506" width="9.375" style="1630" bestFit="1" customWidth="1"/>
    <col min="10507" max="10507" width="4" style="1630" customWidth="1"/>
    <col min="10508" max="10508" width="5.125" style="1630" customWidth="1"/>
    <col min="10509" max="10509" width="13.625" style="1630" customWidth="1"/>
    <col min="10510" max="10752" width="8.875" style="1630"/>
    <col min="10753" max="10753" width="4.875" style="1630" customWidth="1"/>
    <col min="10754" max="10754" width="13.125" style="1630" customWidth="1"/>
    <col min="10755" max="10755" width="15.625" style="1630" customWidth="1"/>
    <col min="10756" max="10756" width="9.375" style="1630" bestFit="1" customWidth="1"/>
    <col min="10757" max="10757" width="13.5" style="1630" customWidth="1"/>
    <col min="10758" max="10758" width="8.875" style="1630"/>
    <col min="10759" max="10759" width="9.375" style="1630" bestFit="1" customWidth="1"/>
    <col min="10760" max="10761" width="8.875" style="1630"/>
    <col min="10762" max="10762" width="9.375" style="1630" bestFit="1" customWidth="1"/>
    <col min="10763" max="10763" width="4" style="1630" customWidth="1"/>
    <col min="10764" max="10764" width="5.125" style="1630" customWidth="1"/>
    <col min="10765" max="10765" width="13.625" style="1630" customWidth="1"/>
    <col min="10766" max="11008" width="8.875" style="1630"/>
    <col min="11009" max="11009" width="4.875" style="1630" customWidth="1"/>
    <col min="11010" max="11010" width="13.125" style="1630" customWidth="1"/>
    <col min="11011" max="11011" width="15.625" style="1630" customWidth="1"/>
    <col min="11012" max="11012" width="9.375" style="1630" bestFit="1" customWidth="1"/>
    <col min="11013" max="11013" width="13.5" style="1630" customWidth="1"/>
    <col min="11014" max="11014" width="8.875" style="1630"/>
    <col min="11015" max="11015" width="9.375" style="1630" bestFit="1" customWidth="1"/>
    <col min="11016" max="11017" width="8.875" style="1630"/>
    <col min="11018" max="11018" width="9.375" style="1630" bestFit="1" customWidth="1"/>
    <col min="11019" max="11019" width="4" style="1630" customWidth="1"/>
    <col min="11020" max="11020" width="5.125" style="1630" customWidth="1"/>
    <col min="11021" max="11021" width="13.625" style="1630" customWidth="1"/>
    <col min="11022" max="11264" width="8.875" style="1630"/>
    <col min="11265" max="11265" width="4.875" style="1630" customWidth="1"/>
    <col min="11266" max="11266" width="13.125" style="1630" customWidth="1"/>
    <col min="11267" max="11267" width="15.625" style="1630" customWidth="1"/>
    <col min="11268" max="11268" width="9.375" style="1630" bestFit="1" customWidth="1"/>
    <col min="11269" max="11269" width="13.5" style="1630" customWidth="1"/>
    <col min="11270" max="11270" width="8.875" style="1630"/>
    <col min="11271" max="11271" width="9.375" style="1630" bestFit="1" customWidth="1"/>
    <col min="11272" max="11273" width="8.875" style="1630"/>
    <col min="11274" max="11274" width="9.375" style="1630" bestFit="1" customWidth="1"/>
    <col min="11275" max="11275" width="4" style="1630" customWidth="1"/>
    <col min="11276" max="11276" width="5.125" style="1630" customWidth="1"/>
    <col min="11277" max="11277" width="13.625" style="1630" customWidth="1"/>
    <col min="11278" max="11520" width="8.875" style="1630"/>
    <col min="11521" max="11521" width="4.875" style="1630" customWidth="1"/>
    <col min="11522" max="11522" width="13.125" style="1630" customWidth="1"/>
    <col min="11523" max="11523" width="15.625" style="1630" customWidth="1"/>
    <col min="11524" max="11524" width="9.375" style="1630" bestFit="1" customWidth="1"/>
    <col min="11525" max="11525" width="13.5" style="1630" customWidth="1"/>
    <col min="11526" max="11526" width="8.875" style="1630"/>
    <col min="11527" max="11527" width="9.375" style="1630" bestFit="1" customWidth="1"/>
    <col min="11528" max="11529" width="8.875" style="1630"/>
    <col min="11530" max="11530" width="9.375" style="1630" bestFit="1" customWidth="1"/>
    <col min="11531" max="11531" width="4" style="1630" customWidth="1"/>
    <col min="11532" max="11532" width="5.125" style="1630" customWidth="1"/>
    <col min="11533" max="11533" width="13.625" style="1630" customWidth="1"/>
    <col min="11534" max="11776" width="8.875" style="1630"/>
    <col min="11777" max="11777" width="4.875" style="1630" customWidth="1"/>
    <col min="11778" max="11778" width="13.125" style="1630" customWidth="1"/>
    <col min="11779" max="11779" width="15.625" style="1630" customWidth="1"/>
    <col min="11780" max="11780" width="9.375" style="1630" bestFit="1" customWidth="1"/>
    <col min="11781" max="11781" width="13.5" style="1630" customWidth="1"/>
    <col min="11782" max="11782" width="8.875" style="1630"/>
    <col min="11783" max="11783" width="9.375" style="1630" bestFit="1" customWidth="1"/>
    <col min="11784" max="11785" width="8.875" style="1630"/>
    <col min="11786" max="11786" width="9.375" style="1630" bestFit="1" customWidth="1"/>
    <col min="11787" max="11787" width="4" style="1630" customWidth="1"/>
    <col min="11788" max="11788" width="5.125" style="1630" customWidth="1"/>
    <col min="11789" max="11789" width="13.625" style="1630" customWidth="1"/>
    <col min="11790" max="12032" width="8.875" style="1630"/>
    <col min="12033" max="12033" width="4.875" style="1630" customWidth="1"/>
    <col min="12034" max="12034" width="13.125" style="1630" customWidth="1"/>
    <col min="12035" max="12035" width="15.625" style="1630" customWidth="1"/>
    <col min="12036" max="12036" width="9.375" style="1630" bestFit="1" customWidth="1"/>
    <col min="12037" max="12037" width="13.5" style="1630" customWidth="1"/>
    <col min="12038" max="12038" width="8.875" style="1630"/>
    <col min="12039" max="12039" width="9.375" style="1630" bestFit="1" customWidth="1"/>
    <col min="12040" max="12041" width="8.875" style="1630"/>
    <col min="12042" max="12042" width="9.375" style="1630" bestFit="1" customWidth="1"/>
    <col min="12043" max="12043" width="4" style="1630" customWidth="1"/>
    <col min="12044" max="12044" width="5.125" style="1630" customWidth="1"/>
    <col min="12045" max="12045" width="13.625" style="1630" customWidth="1"/>
    <col min="12046" max="12288" width="8.875" style="1630"/>
    <col min="12289" max="12289" width="4.875" style="1630" customWidth="1"/>
    <col min="12290" max="12290" width="13.125" style="1630" customWidth="1"/>
    <col min="12291" max="12291" width="15.625" style="1630" customWidth="1"/>
    <col min="12292" max="12292" width="9.375" style="1630" bestFit="1" customWidth="1"/>
    <col min="12293" max="12293" width="13.5" style="1630" customWidth="1"/>
    <col min="12294" max="12294" width="8.875" style="1630"/>
    <col min="12295" max="12295" width="9.375" style="1630" bestFit="1" customWidth="1"/>
    <col min="12296" max="12297" width="8.875" style="1630"/>
    <col min="12298" max="12298" width="9.375" style="1630" bestFit="1" customWidth="1"/>
    <col min="12299" max="12299" width="4" style="1630" customWidth="1"/>
    <col min="12300" max="12300" width="5.125" style="1630" customWidth="1"/>
    <col min="12301" max="12301" width="13.625" style="1630" customWidth="1"/>
    <col min="12302" max="12544" width="8.875" style="1630"/>
    <col min="12545" max="12545" width="4.875" style="1630" customWidth="1"/>
    <col min="12546" max="12546" width="13.125" style="1630" customWidth="1"/>
    <col min="12547" max="12547" width="15.625" style="1630" customWidth="1"/>
    <col min="12548" max="12548" width="9.375" style="1630" bestFit="1" customWidth="1"/>
    <col min="12549" max="12549" width="13.5" style="1630" customWidth="1"/>
    <col min="12550" max="12550" width="8.875" style="1630"/>
    <col min="12551" max="12551" width="9.375" style="1630" bestFit="1" customWidth="1"/>
    <col min="12552" max="12553" width="8.875" style="1630"/>
    <col min="12554" max="12554" width="9.375" style="1630" bestFit="1" customWidth="1"/>
    <col min="12555" max="12555" width="4" style="1630" customWidth="1"/>
    <col min="12556" max="12556" width="5.125" style="1630" customWidth="1"/>
    <col min="12557" max="12557" width="13.625" style="1630" customWidth="1"/>
    <col min="12558" max="12800" width="8.875" style="1630"/>
    <col min="12801" max="12801" width="4.875" style="1630" customWidth="1"/>
    <col min="12802" max="12802" width="13.125" style="1630" customWidth="1"/>
    <col min="12803" max="12803" width="15.625" style="1630" customWidth="1"/>
    <col min="12804" max="12804" width="9.375" style="1630" bestFit="1" customWidth="1"/>
    <col min="12805" max="12805" width="13.5" style="1630" customWidth="1"/>
    <col min="12806" max="12806" width="8.875" style="1630"/>
    <col min="12807" max="12807" width="9.375" style="1630" bestFit="1" customWidth="1"/>
    <col min="12808" max="12809" width="8.875" style="1630"/>
    <col min="12810" max="12810" width="9.375" style="1630" bestFit="1" customWidth="1"/>
    <col min="12811" max="12811" width="4" style="1630" customWidth="1"/>
    <col min="12812" max="12812" width="5.125" style="1630" customWidth="1"/>
    <col min="12813" max="12813" width="13.625" style="1630" customWidth="1"/>
    <col min="12814" max="13056" width="8.875" style="1630"/>
    <col min="13057" max="13057" width="4.875" style="1630" customWidth="1"/>
    <col min="13058" max="13058" width="13.125" style="1630" customWidth="1"/>
    <col min="13059" max="13059" width="15.625" style="1630" customWidth="1"/>
    <col min="13060" max="13060" width="9.375" style="1630" bestFit="1" customWidth="1"/>
    <col min="13061" max="13061" width="13.5" style="1630" customWidth="1"/>
    <col min="13062" max="13062" width="8.875" style="1630"/>
    <col min="13063" max="13063" width="9.375" style="1630" bestFit="1" customWidth="1"/>
    <col min="13064" max="13065" width="8.875" style="1630"/>
    <col min="13066" max="13066" width="9.375" style="1630" bestFit="1" customWidth="1"/>
    <col min="13067" max="13067" width="4" style="1630" customWidth="1"/>
    <col min="13068" max="13068" width="5.125" style="1630" customWidth="1"/>
    <col min="13069" max="13069" width="13.625" style="1630" customWidth="1"/>
    <col min="13070" max="13312" width="8.875" style="1630"/>
    <col min="13313" max="13313" width="4.875" style="1630" customWidth="1"/>
    <col min="13314" max="13314" width="13.125" style="1630" customWidth="1"/>
    <col min="13315" max="13315" width="15.625" style="1630" customWidth="1"/>
    <col min="13316" max="13316" width="9.375" style="1630" bestFit="1" customWidth="1"/>
    <col min="13317" max="13317" width="13.5" style="1630" customWidth="1"/>
    <col min="13318" max="13318" width="8.875" style="1630"/>
    <col min="13319" max="13319" width="9.375" style="1630" bestFit="1" customWidth="1"/>
    <col min="13320" max="13321" width="8.875" style="1630"/>
    <col min="13322" max="13322" width="9.375" style="1630" bestFit="1" customWidth="1"/>
    <col min="13323" max="13323" width="4" style="1630" customWidth="1"/>
    <col min="13324" max="13324" width="5.125" style="1630" customWidth="1"/>
    <col min="13325" max="13325" width="13.625" style="1630" customWidth="1"/>
    <col min="13326" max="13568" width="8.875" style="1630"/>
    <col min="13569" max="13569" width="4.875" style="1630" customWidth="1"/>
    <col min="13570" max="13570" width="13.125" style="1630" customWidth="1"/>
    <col min="13571" max="13571" width="15.625" style="1630" customWidth="1"/>
    <col min="13572" max="13572" width="9.375" style="1630" bestFit="1" customWidth="1"/>
    <col min="13573" max="13573" width="13.5" style="1630" customWidth="1"/>
    <col min="13574" max="13574" width="8.875" style="1630"/>
    <col min="13575" max="13575" width="9.375" style="1630" bestFit="1" customWidth="1"/>
    <col min="13576" max="13577" width="8.875" style="1630"/>
    <col min="13578" max="13578" width="9.375" style="1630" bestFit="1" customWidth="1"/>
    <col min="13579" max="13579" width="4" style="1630" customWidth="1"/>
    <col min="13580" max="13580" width="5.125" style="1630" customWidth="1"/>
    <col min="13581" max="13581" width="13.625" style="1630" customWidth="1"/>
    <col min="13582" max="13824" width="8.875" style="1630"/>
    <col min="13825" max="13825" width="4.875" style="1630" customWidth="1"/>
    <col min="13826" max="13826" width="13.125" style="1630" customWidth="1"/>
    <col min="13827" max="13827" width="15.625" style="1630" customWidth="1"/>
    <col min="13828" max="13828" width="9.375" style="1630" bestFit="1" customWidth="1"/>
    <col min="13829" max="13829" width="13.5" style="1630" customWidth="1"/>
    <col min="13830" max="13830" width="8.875" style="1630"/>
    <col min="13831" max="13831" width="9.375" style="1630" bestFit="1" customWidth="1"/>
    <col min="13832" max="13833" width="8.875" style="1630"/>
    <col min="13834" max="13834" width="9.375" style="1630" bestFit="1" customWidth="1"/>
    <col min="13835" max="13835" width="4" style="1630" customWidth="1"/>
    <col min="13836" max="13836" width="5.125" style="1630" customWidth="1"/>
    <col min="13837" max="13837" width="13.625" style="1630" customWidth="1"/>
    <col min="13838" max="14080" width="8.875" style="1630"/>
    <col min="14081" max="14081" width="4.875" style="1630" customWidth="1"/>
    <col min="14082" max="14082" width="13.125" style="1630" customWidth="1"/>
    <col min="14083" max="14083" width="15.625" style="1630" customWidth="1"/>
    <col min="14084" max="14084" width="9.375" style="1630" bestFit="1" customWidth="1"/>
    <col min="14085" max="14085" width="13.5" style="1630" customWidth="1"/>
    <col min="14086" max="14086" width="8.875" style="1630"/>
    <col min="14087" max="14087" width="9.375" style="1630" bestFit="1" customWidth="1"/>
    <col min="14088" max="14089" width="8.875" style="1630"/>
    <col min="14090" max="14090" width="9.375" style="1630" bestFit="1" customWidth="1"/>
    <col min="14091" max="14091" width="4" style="1630" customWidth="1"/>
    <col min="14092" max="14092" width="5.125" style="1630" customWidth="1"/>
    <col min="14093" max="14093" width="13.625" style="1630" customWidth="1"/>
    <col min="14094" max="14336" width="8.875" style="1630"/>
    <col min="14337" max="14337" width="4.875" style="1630" customWidth="1"/>
    <col min="14338" max="14338" width="13.125" style="1630" customWidth="1"/>
    <col min="14339" max="14339" width="15.625" style="1630" customWidth="1"/>
    <col min="14340" max="14340" width="9.375" style="1630" bestFit="1" customWidth="1"/>
    <col min="14341" max="14341" width="13.5" style="1630" customWidth="1"/>
    <col min="14342" max="14342" width="8.875" style="1630"/>
    <col min="14343" max="14343" width="9.375" style="1630" bestFit="1" customWidth="1"/>
    <col min="14344" max="14345" width="8.875" style="1630"/>
    <col min="14346" max="14346" width="9.375" style="1630" bestFit="1" customWidth="1"/>
    <col min="14347" max="14347" width="4" style="1630" customWidth="1"/>
    <col min="14348" max="14348" width="5.125" style="1630" customWidth="1"/>
    <col min="14349" max="14349" width="13.625" style="1630" customWidth="1"/>
    <col min="14350" max="14592" width="8.875" style="1630"/>
    <col min="14593" max="14593" width="4.875" style="1630" customWidth="1"/>
    <col min="14594" max="14594" width="13.125" style="1630" customWidth="1"/>
    <col min="14595" max="14595" width="15.625" style="1630" customWidth="1"/>
    <col min="14596" max="14596" width="9.375" style="1630" bestFit="1" customWidth="1"/>
    <col min="14597" max="14597" width="13.5" style="1630" customWidth="1"/>
    <col min="14598" max="14598" width="8.875" style="1630"/>
    <col min="14599" max="14599" width="9.375" style="1630" bestFit="1" customWidth="1"/>
    <col min="14600" max="14601" width="8.875" style="1630"/>
    <col min="14602" max="14602" width="9.375" style="1630" bestFit="1" customWidth="1"/>
    <col min="14603" max="14603" width="4" style="1630" customWidth="1"/>
    <col min="14604" max="14604" width="5.125" style="1630" customWidth="1"/>
    <col min="14605" max="14605" width="13.625" style="1630" customWidth="1"/>
    <col min="14606" max="14848" width="8.875" style="1630"/>
    <col min="14849" max="14849" width="4.875" style="1630" customWidth="1"/>
    <col min="14850" max="14850" width="13.125" style="1630" customWidth="1"/>
    <col min="14851" max="14851" width="15.625" style="1630" customWidth="1"/>
    <col min="14852" max="14852" width="9.375" style="1630" bestFit="1" customWidth="1"/>
    <col min="14853" max="14853" width="13.5" style="1630" customWidth="1"/>
    <col min="14854" max="14854" width="8.875" style="1630"/>
    <col min="14855" max="14855" width="9.375" style="1630" bestFit="1" customWidth="1"/>
    <col min="14856" max="14857" width="8.875" style="1630"/>
    <col min="14858" max="14858" width="9.375" style="1630" bestFit="1" customWidth="1"/>
    <col min="14859" max="14859" width="4" style="1630" customWidth="1"/>
    <col min="14860" max="14860" width="5.125" style="1630" customWidth="1"/>
    <col min="14861" max="14861" width="13.625" style="1630" customWidth="1"/>
    <col min="14862" max="15104" width="8.875" style="1630"/>
    <col min="15105" max="15105" width="4.875" style="1630" customWidth="1"/>
    <col min="15106" max="15106" width="13.125" style="1630" customWidth="1"/>
    <col min="15107" max="15107" width="15.625" style="1630" customWidth="1"/>
    <col min="15108" max="15108" width="9.375" style="1630" bestFit="1" customWidth="1"/>
    <col min="15109" max="15109" width="13.5" style="1630" customWidth="1"/>
    <col min="15110" max="15110" width="8.875" style="1630"/>
    <col min="15111" max="15111" width="9.375" style="1630" bestFit="1" customWidth="1"/>
    <col min="15112" max="15113" width="8.875" style="1630"/>
    <col min="15114" max="15114" width="9.375" style="1630" bestFit="1" customWidth="1"/>
    <col min="15115" max="15115" width="4" style="1630" customWidth="1"/>
    <col min="15116" max="15116" width="5.125" style="1630" customWidth="1"/>
    <col min="15117" max="15117" width="13.625" style="1630" customWidth="1"/>
    <col min="15118" max="15360" width="8.875" style="1630"/>
    <col min="15361" max="15361" width="4.875" style="1630" customWidth="1"/>
    <col min="15362" max="15362" width="13.125" style="1630" customWidth="1"/>
    <col min="15363" max="15363" width="15.625" style="1630" customWidth="1"/>
    <col min="15364" max="15364" width="9.375" style="1630" bestFit="1" customWidth="1"/>
    <col min="15365" max="15365" width="13.5" style="1630" customWidth="1"/>
    <col min="15366" max="15366" width="8.875" style="1630"/>
    <col min="15367" max="15367" width="9.375" style="1630" bestFit="1" customWidth="1"/>
    <col min="15368" max="15369" width="8.875" style="1630"/>
    <col min="15370" max="15370" width="9.375" style="1630" bestFit="1" customWidth="1"/>
    <col min="15371" max="15371" width="4" style="1630" customWidth="1"/>
    <col min="15372" max="15372" width="5.125" style="1630" customWidth="1"/>
    <col min="15373" max="15373" width="13.625" style="1630" customWidth="1"/>
    <col min="15374" max="15616" width="8.875" style="1630"/>
    <col min="15617" max="15617" width="4.875" style="1630" customWidth="1"/>
    <col min="15618" max="15618" width="13.125" style="1630" customWidth="1"/>
    <col min="15619" max="15619" width="15.625" style="1630" customWidth="1"/>
    <col min="15620" max="15620" width="9.375" style="1630" bestFit="1" customWidth="1"/>
    <col min="15621" max="15621" width="13.5" style="1630" customWidth="1"/>
    <col min="15622" max="15622" width="8.875" style="1630"/>
    <col min="15623" max="15623" width="9.375" style="1630" bestFit="1" customWidth="1"/>
    <col min="15624" max="15625" width="8.875" style="1630"/>
    <col min="15626" max="15626" width="9.375" style="1630" bestFit="1" customWidth="1"/>
    <col min="15627" max="15627" width="4" style="1630" customWidth="1"/>
    <col min="15628" max="15628" width="5.125" style="1630" customWidth="1"/>
    <col min="15629" max="15629" width="13.625" style="1630" customWidth="1"/>
    <col min="15630" max="15872" width="8.875" style="1630"/>
    <col min="15873" max="15873" width="4.875" style="1630" customWidth="1"/>
    <col min="15874" max="15874" width="13.125" style="1630" customWidth="1"/>
    <col min="15875" max="15875" width="15.625" style="1630" customWidth="1"/>
    <col min="15876" max="15876" width="9.375" style="1630" bestFit="1" customWidth="1"/>
    <col min="15877" max="15877" width="13.5" style="1630" customWidth="1"/>
    <col min="15878" max="15878" width="8.875" style="1630"/>
    <col min="15879" max="15879" width="9.375" style="1630" bestFit="1" customWidth="1"/>
    <col min="15880" max="15881" width="8.875" style="1630"/>
    <col min="15882" max="15882" width="9.375" style="1630" bestFit="1" customWidth="1"/>
    <col min="15883" max="15883" width="4" style="1630" customWidth="1"/>
    <col min="15884" max="15884" width="5.125" style="1630" customWidth="1"/>
    <col min="15885" max="15885" width="13.625" style="1630" customWidth="1"/>
    <col min="15886" max="16128" width="8.875" style="1630"/>
    <col min="16129" max="16129" width="4.875" style="1630" customWidth="1"/>
    <col min="16130" max="16130" width="13.125" style="1630" customWidth="1"/>
    <col min="16131" max="16131" width="15.625" style="1630" customWidth="1"/>
    <col min="16132" max="16132" width="9.375" style="1630" bestFit="1" customWidth="1"/>
    <col min="16133" max="16133" width="13.5" style="1630" customWidth="1"/>
    <col min="16134" max="16134" width="8.875" style="1630"/>
    <col min="16135" max="16135" width="9.375" style="1630" bestFit="1" customWidth="1"/>
    <col min="16136" max="16137" width="8.875" style="1630"/>
    <col min="16138" max="16138" width="9.375" style="1630" bestFit="1" customWidth="1"/>
    <col min="16139" max="16139" width="4" style="1630" customWidth="1"/>
    <col min="16140" max="16140" width="5.125" style="1630" customWidth="1"/>
    <col min="16141" max="16141" width="13.625" style="1630" customWidth="1"/>
    <col min="16142" max="16384" width="8.875" style="1630"/>
  </cols>
  <sheetData>
    <row r="1" spans="1:257" s="1694" customFormat="1" ht="14.25" thickBot="1">
      <c r="A1" s="1688"/>
      <c r="B1" s="1695" t="s">
        <v>1300</v>
      </c>
      <c r="C1" s="1689">
        <f>项目基本情况!D3</f>
        <v>43185</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7" customWidth="1"/>
    <col min="2" max="2" width="13.5" style="2990" customWidth="1"/>
    <col min="3" max="18" width="13" style="2957" customWidth="1"/>
    <col min="19" max="23" width="13.5" style="2957" hidden="1" customWidth="1"/>
    <col min="24" max="16384" width="9" style="2957"/>
  </cols>
  <sheetData>
    <row r="1" spans="1:23" ht="42.75">
      <c r="A1" s="2954" t="s">
        <v>3117</v>
      </c>
      <c r="B1" s="2955"/>
      <c r="C1" s="2956"/>
      <c r="D1" s="2956"/>
      <c r="E1" s="2956"/>
      <c r="F1" s="2956"/>
      <c r="G1" s="2956"/>
      <c r="H1" s="2956"/>
      <c r="I1" s="2956"/>
      <c r="J1" s="2956"/>
      <c r="K1" s="2956"/>
      <c r="L1" s="2956"/>
      <c r="M1" s="2956"/>
      <c r="N1" s="2956"/>
      <c r="O1" s="2956"/>
      <c r="P1" s="2956"/>
      <c r="Q1" s="2956"/>
      <c r="R1" s="2956"/>
    </row>
    <row r="2" spans="1:23">
      <c r="A2" s="2958"/>
      <c r="B2" s="2959"/>
      <c r="C2" s="2960"/>
      <c r="D2" s="2960"/>
      <c r="E2" s="2960"/>
      <c r="F2" s="2960">
        <f>21333333.33/1.12</f>
        <v>19047619.044642854</v>
      </c>
      <c r="G2" s="2960"/>
      <c r="H2" s="2960"/>
      <c r="I2" s="2960"/>
      <c r="J2" s="2960"/>
      <c r="K2" s="2960"/>
      <c r="L2" s="2960"/>
      <c r="M2" s="2960"/>
      <c r="N2" s="2960"/>
      <c r="O2" s="2960"/>
      <c r="P2" s="2960"/>
      <c r="Q2" s="2960"/>
      <c r="R2" s="2960"/>
    </row>
    <row r="3" spans="1:23" ht="14.25">
      <c r="A3" s="2958"/>
      <c r="B3" s="2961" t="s">
        <v>3118</v>
      </c>
      <c r="C3" s="2962" t="s">
        <v>3119</v>
      </c>
      <c r="D3" s="2962" t="s">
        <v>3120</v>
      </c>
      <c r="E3" s="2962" t="s">
        <v>3121</v>
      </c>
      <c r="F3" s="2962" t="s">
        <v>3122</v>
      </c>
      <c r="G3" s="2962" t="s">
        <v>3123</v>
      </c>
      <c r="H3" s="2962" t="s">
        <v>3124</v>
      </c>
      <c r="I3" s="2962" t="s">
        <v>3125</v>
      </c>
      <c r="J3" s="2962" t="s">
        <v>3126</v>
      </c>
      <c r="K3" s="2962" t="s">
        <v>3127</v>
      </c>
      <c r="L3" s="2962" t="s">
        <v>3128</v>
      </c>
      <c r="M3" s="2962" t="s">
        <v>3129</v>
      </c>
      <c r="N3" s="2962" t="s">
        <v>3130</v>
      </c>
      <c r="O3" s="2962" t="s">
        <v>3131</v>
      </c>
      <c r="P3" s="2962" t="s">
        <v>3132</v>
      </c>
      <c r="Q3" s="2962" t="s">
        <v>3133</v>
      </c>
      <c r="R3" s="2962" t="s">
        <v>3134</v>
      </c>
    </row>
    <row r="4" spans="1:23" ht="14.25">
      <c r="A4" s="2963" t="s">
        <v>3135</v>
      </c>
      <c r="B4" s="2961" t="s">
        <v>3136</v>
      </c>
      <c r="C4" s="2964" t="s">
        <v>3137</v>
      </c>
      <c r="D4" s="2964" t="s">
        <v>3137</v>
      </c>
      <c r="E4" s="2964" t="s">
        <v>3138</v>
      </c>
      <c r="F4" s="2964" t="s">
        <v>3139</v>
      </c>
      <c r="G4" s="2964" t="s">
        <v>3137</v>
      </c>
      <c r="H4" s="2964" t="s">
        <v>3140</v>
      </c>
      <c r="I4" s="2964" t="s">
        <v>3139</v>
      </c>
      <c r="J4" s="2964" t="s">
        <v>3137</v>
      </c>
      <c r="K4" s="2964" t="s">
        <v>3140</v>
      </c>
      <c r="L4" s="2964" t="s">
        <v>3139</v>
      </c>
      <c r="M4" s="2964" t="s">
        <v>3137</v>
      </c>
      <c r="N4" s="2964" t="s">
        <v>3140</v>
      </c>
      <c r="O4" s="2964" t="s">
        <v>3141</v>
      </c>
      <c r="P4" s="2964" t="s">
        <v>3137</v>
      </c>
      <c r="Q4" s="2964" t="s">
        <v>3141</v>
      </c>
      <c r="R4" s="2964" t="s">
        <v>3141</v>
      </c>
    </row>
    <row r="5" spans="1:23" ht="14.25">
      <c r="A5" s="2965" t="s">
        <v>3142</v>
      </c>
      <c r="B5" s="2966"/>
      <c r="C5" s="2961" t="s">
        <v>3143</v>
      </c>
      <c r="D5" s="2961" t="s">
        <v>3144</v>
      </c>
      <c r="E5" s="2961" t="s">
        <v>3145</v>
      </c>
      <c r="F5" s="2961" t="s">
        <v>3146</v>
      </c>
      <c r="G5" s="2961" t="s">
        <v>3143</v>
      </c>
      <c r="H5" s="2961" t="s">
        <v>3147</v>
      </c>
      <c r="I5" s="2961" t="s">
        <v>3148</v>
      </c>
      <c r="J5" s="2961" t="s">
        <v>3143</v>
      </c>
      <c r="K5" s="2961" t="s">
        <v>3149</v>
      </c>
      <c r="L5" s="2961" t="s">
        <v>3150</v>
      </c>
      <c r="M5" s="2961" t="s">
        <v>3151</v>
      </c>
      <c r="N5" s="2961" t="s">
        <v>3152</v>
      </c>
      <c r="O5" s="2961" t="s">
        <v>3152</v>
      </c>
      <c r="P5" s="2961" t="s">
        <v>3152</v>
      </c>
      <c r="Q5" s="2961" t="s">
        <v>3152</v>
      </c>
      <c r="R5" s="2961" t="s">
        <v>3152</v>
      </c>
    </row>
    <row r="6" spans="1:23" ht="14.25">
      <c r="A6" s="2967" t="s">
        <v>3153</v>
      </c>
      <c r="B6" s="2968"/>
      <c r="C6" s="2969">
        <f>SUM(C7,C23,C28,C57)</f>
        <v>23442268.905000001</v>
      </c>
      <c r="D6" s="2969">
        <f t="shared" ref="D6:R6" si="0">SUM(D7,D23,D28,D57)</f>
        <v>26397700.88711974</v>
      </c>
      <c r="E6" s="2969">
        <f t="shared" si="0"/>
        <v>27965036.668647375</v>
      </c>
      <c r="F6" s="2969">
        <f t="shared" si="0"/>
        <v>29820141.633737646</v>
      </c>
      <c r="G6" s="2969">
        <f t="shared" si="0"/>
        <v>31178282.656600181</v>
      </c>
      <c r="H6" s="2969">
        <f t="shared" si="0"/>
        <v>32506469.272854269</v>
      </c>
      <c r="I6" s="2969">
        <f>SUM(I7,I23,I28,I57)</f>
        <v>34083108.698117711</v>
      </c>
      <c r="J6" s="2969">
        <f t="shared" ref="J6:L6" si="1">SUM(J7,J23,J28,J57)</f>
        <v>35831694.445716813</v>
      </c>
      <c r="K6" s="2969">
        <f t="shared" si="1"/>
        <v>37125466.698344544</v>
      </c>
      <c r="L6" s="2969">
        <f t="shared" si="1"/>
        <v>38569925.366278321</v>
      </c>
      <c r="M6" s="2969">
        <f t="shared" si="0"/>
        <v>39696603.127266675</v>
      </c>
      <c r="N6" s="2969">
        <f>SUM(N7,N23,N28,N57)</f>
        <v>40958910.249974221</v>
      </c>
      <c r="O6" s="2969">
        <f t="shared" ref="O6" si="2">SUM(O7,O23,O28,O57)</f>
        <v>42052373.657717213</v>
      </c>
      <c r="P6" s="2969">
        <f t="shared" si="0"/>
        <v>43283524.867448732</v>
      </c>
      <c r="Q6" s="2969">
        <f t="shared" si="0"/>
        <v>44551610.613472208</v>
      </c>
      <c r="R6" s="2969">
        <f t="shared" si="0"/>
        <v>45972348.401005298</v>
      </c>
      <c r="S6" s="2970">
        <v>40958910.249974221</v>
      </c>
      <c r="T6" s="2970">
        <v>42052373.657717213</v>
      </c>
      <c r="U6" s="2970">
        <v>43283524.867448732</v>
      </c>
      <c r="V6" s="2970">
        <v>44551610.613472208</v>
      </c>
      <c r="W6" s="2970">
        <v>45972348.401005298</v>
      </c>
    </row>
    <row r="7" spans="1:23" ht="14.25">
      <c r="A7" s="2971" t="s">
        <v>3154</v>
      </c>
      <c r="B7" s="2968"/>
      <c r="C7" s="2972">
        <v>15905359.405000001</v>
      </c>
      <c r="D7" s="2972">
        <v>18493291.38711974</v>
      </c>
      <c r="E7" s="2972">
        <v>19976716.628222242</v>
      </c>
      <c r="F7" s="2972">
        <v>21394360.560144871</v>
      </c>
      <c r="G7" s="2972">
        <v>22403109.414579876</v>
      </c>
      <c r="H7" s="2972">
        <v>23350960.676704876</v>
      </c>
      <c r="I7" s="2972">
        <v>24505103.409621224</v>
      </c>
      <c r="J7" s="2972">
        <v>25800852.713198461</v>
      </c>
      <c r="K7" s="2972">
        <v>26759572.923306383</v>
      </c>
      <c r="L7" s="2972">
        <v>27829955.840238631</v>
      </c>
      <c r="M7" s="2972">
        <v>28664854.515445791</v>
      </c>
      <c r="N7" s="2972">
        <v>29598359.916592754</v>
      </c>
      <c r="O7" s="2972">
        <v>30410544.155436441</v>
      </c>
      <c r="P7" s="2972">
        <v>31322860.480099536</v>
      </c>
      <c r="Q7" s="2972">
        <v>32262546.294502527</v>
      </c>
      <c r="R7" s="2972">
        <v>33313214.847676013</v>
      </c>
    </row>
    <row r="8" spans="1:23" ht="14.25" hidden="1" outlineLevel="1">
      <c r="A8" s="2973" t="s">
        <v>3155</v>
      </c>
      <c r="B8" s="2968"/>
      <c r="C8" s="2972">
        <v>5352435.92</v>
      </c>
      <c r="D8" s="2972">
        <v>5466422.2483543744</v>
      </c>
      <c r="E8" s="2972">
        <v>6324658.6892550699</v>
      </c>
      <c r="F8" s="2972">
        <v>6659085.8473444488</v>
      </c>
      <c r="G8" s="2972">
        <v>6972936.2049037144</v>
      </c>
      <c r="H8" s="2972">
        <v>7321583.0151489004</v>
      </c>
      <c r="I8" s="2972">
        <v>7687662.1659063464</v>
      </c>
      <c r="J8" s="2972">
        <v>8094160.4667337239</v>
      </c>
      <c r="K8" s="2972">
        <v>8394927.0851697326</v>
      </c>
      <c r="L8" s="2972">
        <v>8730724.1685765181</v>
      </c>
      <c r="M8" s="2972">
        <v>8992645.8936338164</v>
      </c>
      <c r="N8" s="2972">
        <v>9287801.7780330852</v>
      </c>
      <c r="O8" s="2972">
        <v>9540298.0285561159</v>
      </c>
      <c r="P8" s="2972">
        <v>9826506.9694127999</v>
      </c>
      <c r="Q8" s="2972">
        <v>10121302.178495184</v>
      </c>
      <c r="R8" s="2972">
        <v>10453502.726709902</v>
      </c>
    </row>
    <row r="9" spans="1:23" ht="14.25" hidden="1" outlineLevel="1">
      <c r="A9" s="2973" t="s">
        <v>3156</v>
      </c>
      <c r="B9" s="2968"/>
      <c r="C9" s="2972">
        <v>1836903.38</v>
      </c>
      <c r="D9" s="2972">
        <v>1876022.367122398</v>
      </c>
      <c r="E9" s="2972">
        <v>2170560.6750428891</v>
      </c>
      <c r="F9" s="2972">
        <v>2285332.7874492668</v>
      </c>
      <c r="G9" s="2972">
        <v>2393043.1442347853</v>
      </c>
      <c r="H9" s="2972">
        <v>2512695.3014465249</v>
      </c>
      <c r="I9" s="2972">
        <v>2638330.0665188511</v>
      </c>
      <c r="J9" s="2972">
        <v>2777836.2864745059</v>
      </c>
      <c r="K9" s="2972">
        <v>2881056.432638586</v>
      </c>
      <c r="L9" s="2972">
        <v>2996298.6899441285</v>
      </c>
      <c r="M9" s="2972">
        <v>3086187.6506424532</v>
      </c>
      <c r="N9" s="2972">
        <v>3187482.2480525807</v>
      </c>
      <c r="O9" s="2972">
        <v>3274136.4785665786</v>
      </c>
      <c r="P9" s="2972">
        <v>3372360.572923576</v>
      </c>
      <c r="Q9" s="2972">
        <v>3473531.3901112834</v>
      </c>
      <c r="R9" s="2972">
        <v>3587539.351901785</v>
      </c>
    </row>
    <row r="10" spans="1:23" ht="14.25" hidden="1" outlineLevel="1">
      <c r="A10" s="2973" t="s">
        <v>3157</v>
      </c>
      <c r="B10" s="2968"/>
      <c r="C10" s="2972">
        <v>1746748.38</v>
      </c>
      <c r="D10" s="2972">
        <v>1783947.4118746594</v>
      </c>
      <c r="E10" s="2972">
        <v>2064029.8145800533</v>
      </c>
      <c r="F10" s="2972">
        <v>2173168.9253236013</v>
      </c>
      <c r="G10" s="2972">
        <v>2275592.8705745088</v>
      </c>
      <c r="H10" s="2972">
        <v>2389372.5141032343</v>
      </c>
      <c r="I10" s="2972">
        <v>2508841.1398083963</v>
      </c>
      <c r="J10" s="2972">
        <v>2641500.4110366213</v>
      </c>
      <c r="K10" s="2972">
        <v>2739654.524670769</v>
      </c>
      <c r="L10" s="2972">
        <v>2849240.705657599</v>
      </c>
      <c r="M10" s="2972">
        <v>2934717.9268273278</v>
      </c>
      <c r="N10" s="2972">
        <v>3031040.9974119617</v>
      </c>
      <c r="O10" s="2972">
        <v>3113442.2485711123</v>
      </c>
      <c r="P10" s="2972">
        <v>3206845.5160282454</v>
      </c>
      <c r="Q10" s="2972">
        <v>3303050.8815090926</v>
      </c>
      <c r="R10" s="2972">
        <v>3411463.3460583501</v>
      </c>
    </row>
    <row r="11" spans="1:23" ht="14.25" hidden="1" outlineLevel="1">
      <c r="A11" s="2973" t="s">
        <v>3158</v>
      </c>
      <c r="B11" s="2968"/>
      <c r="C11" s="2972">
        <v>1768784.16</v>
      </c>
      <c r="D11" s="2972">
        <v>1806452.4693573173</v>
      </c>
      <c r="E11" s="2972">
        <v>2090068.1996321275</v>
      </c>
      <c r="F11" s="2972">
        <v>2200584.1345715798</v>
      </c>
      <c r="G11" s="2972">
        <v>2304300.1900944207</v>
      </c>
      <c r="H11" s="2972">
        <v>2419515.1995991417</v>
      </c>
      <c r="I11" s="2972">
        <v>2540490.959579099</v>
      </c>
      <c r="J11" s="2972">
        <v>2674823.7692225967</v>
      </c>
      <c r="K11" s="2972">
        <v>2774216.1278603766</v>
      </c>
      <c r="L11" s="2972">
        <v>2885184.772974791</v>
      </c>
      <c r="M11" s="2972">
        <v>2971740.3161640354</v>
      </c>
      <c r="N11" s="2972">
        <v>3069278.5325685423</v>
      </c>
      <c r="O11" s="2972">
        <v>3152719.301418425</v>
      </c>
      <c r="P11" s="2972">
        <v>3247300.880460978</v>
      </c>
      <c r="Q11" s="2972">
        <v>3344719.9068748071</v>
      </c>
      <c r="R11" s="2972">
        <v>3454500.0287497668</v>
      </c>
    </row>
    <row r="12" spans="1:23" ht="14.25" hidden="1" outlineLevel="1">
      <c r="A12" s="2973"/>
      <c r="B12" s="2968"/>
      <c r="C12" s="2972"/>
      <c r="D12" s="2972"/>
      <c r="E12" s="2972"/>
      <c r="F12" s="2972"/>
      <c r="G12" s="2972"/>
      <c r="H12" s="2972"/>
      <c r="I12" s="2972"/>
      <c r="J12" s="2972"/>
      <c r="K12" s="2972"/>
      <c r="L12" s="2972"/>
      <c r="M12" s="2972"/>
      <c r="N12" s="2972"/>
      <c r="O12" s="2972"/>
      <c r="P12" s="2972"/>
      <c r="Q12" s="2972"/>
      <c r="R12" s="2972"/>
    </row>
    <row r="13" spans="1:23" ht="14.25" hidden="1" outlineLevel="1">
      <c r="A13" s="2973" t="s">
        <v>3159</v>
      </c>
      <c r="B13" s="2968"/>
      <c r="C13" s="2972">
        <v>6224692.8449999997</v>
      </c>
      <c r="D13" s="2972">
        <v>6224692.8449999997</v>
      </c>
      <c r="E13" s="2972">
        <v>6256580.5234958269</v>
      </c>
      <c r="F13" s="2972">
        <v>6949138.4877692256</v>
      </c>
      <c r="G13" s="2972">
        <v>7276659.3591190064</v>
      </c>
      <c r="H13" s="2972">
        <v>7640492.3270749561</v>
      </c>
      <c r="I13" s="2972">
        <v>8022516.9434287045</v>
      </c>
      <c r="J13" s="2972">
        <v>8446721.2639990449</v>
      </c>
      <c r="K13" s="2972">
        <v>8760588.5022241455</v>
      </c>
      <c r="L13" s="2972">
        <v>9111012.0423131119</v>
      </c>
      <c r="M13" s="2972">
        <v>9384342.4035825022</v>
      </c>
      <c r="N13" s="2972">
        <v>9692354.518637076</v>
      </c>
      <c r="O13" s="2972">
        <v>9955848.8559606783</v>
      </c>
      <c r="P13" s="2972">
        <v>10254524.321639497</v>
      </c>
      <c r="Q13" s="2972">
        <v>10562160.051288685</v>
      </c>
      <c r="R13" s="2972">
        <v>10908830.400369337</v>
      </c>
    </row>
    <row r="14" spans="1:23" ht="14.25" hidden="1" outlineLevel="1">
      <c r="A14" s="2973" t="s">
        <v>3160</v>
      </c>
      <c r="B14" s="2968"/>
      <c r="C14" s="2972">
        <v>2074897.615</v>
      </c>
      <c r="D14" s="2972">
        <v>2074897.615</v>
      </c>
      <c r="E14" s="2972">
        <v>2085526.8411652755</v>
      </c>
      <c r="F14" s="2972">
        <v>2316379.4959230754</v>
      </c>
      <c r="G14" s="2972">
        <v>2425553.1197063355</v>
      </c>
      <c r="H14" s="2972">
        <v>2546830.7756916522</v>
      </c>
      <c r="I14" s="2972">
        <v>2674172.3144762348</v>
      </c>
      <c r="J14" s="2972">
        <v>2815573.754666348</v>
      </c>
      <c r="K14" s="2972">
        <v>2920196.1674080486</v>
      </c>
      <c r="L14" s="2972">
        <v>3037004.0141043705</v>
      </c>
      <c r="M14" s="2972">
        <v>3128114.1345275007</v>
      </c>
      <c r="N14" s="2972">
        <v>3230784.8395456919</v>
      </c>
      <c r="O14" s="2972">
        <v>3318616.2853202261</v>
      </c>
      <c r="P14" s="2972">
        <v>3418174.7738798321</v>
      </c>
      <c r="Q14" s="2972">
        <v>3520720.0170962284</v>
      </c>
      <c r="R14" s="2972">
        <v>3636276.8001231123</v>
      </c>
    </row>
    <row r="15" spans="1:23" ht="14.25" hidden="1" outlineLevel="1">
      <c r="A15" s="2973" t="s">
        <v>3161</v>
      </c>
      <c r="B15" s="2968"/>
      <c r="C15" s="2972">
        <v>2074897.615</v>
      </c>
      <c r="D15" s="2972">
        <v>2074897.615</v>
      </c>
      <c r="E15" s="2972">
        <v>2085526.8411652755</v>
      </c>
      <c r="F15" s="2972">
        <v>2316379.4959230754</v>
      </c>
      <c r="G15" s="2972">
        <v>2425553.1197063355</v>
      </c>
      <c r="H15" s="2972">
        <v>2546830.7756916522</v>
      </c>
      <c r="I15" s="2972">
        <v>2674172.3144762348</v>
      </c>
      <c r="J15" s="2972">
        <v>2815573.754666348</v>
      </c>
      <c r="K15" s="2972">
        <v>2920196.1674080486</v>
      </c>
      <c r="L15" s="2972">
        <v>3037004.0141043705</v>
      </c>
      <c r="M15" s="2972">
        <v>3128114.1345275007</v>
      </c>
      <c r="N15" s="2972">
        <v>3230784.8395456919</v>
      </c>
      <c r="O15" s="2972">
        <v>3318616.2853202261</v>
      </c>
      <c r="P15" s="2972">
        <v>3418174.7738798321</v>
      </c>
      <c r="Q15" s="2972">
        <v>3520720.0170962284</v>
      </c>
      <c r="R15" s="2972">
        <v>3636276.8001231123</v>
      </c>
    </row>
    <row r="16" spans="1:23" ht="14.25" hidden="1" outlineLevel="1">
      <c r="A16" s="2973" t="s">
        <v>3162</v>
      </c>
      <c r="B16" s="2968"/>
      <c r="C16" s="2972">
        <v>2074897.615</v>
      </c>
      <c r="D16" s="2972">
        <v>2074897.615</v>
      </c>
      <c r="E16" s="2972">
        <v>2085526.8411652755</v>
      </c>
      <c r="F16" s="2972">
        <v>2316379.4959230754</v>
      </c>
      <c r="G16" s="2972">
        <v>2425553.1197063355</v>
      </c>
      <c r="H16" s="2972">
        <v>2546830.7756916522</v>
      </c>
      <c r="I16" s="2972">
        <v>2674172.3144762348</v>
      </c>
      <c r="J16" s="2972">
        <v>2815573.754666348</v>
      </c>
      <c r="K16" s="2972">
        <v>2920196.1674080486</v>
      </c>
      <c r="L16" s="2972">
        <v>3037004.0141043705</v>
      </c>
      <c r="M16" s="2972">
        <v>3128114.1345275007</v>
      </c>
      <c r="N16" s="2972">
        <v>3230784.8395456919</v>
      </c>
      <c r="O16" s="2972">
        <v>3318616.2853202261</v>
      </c>
      <c r="P16" s="2972">
        <v>3418174.7738798321</v>
      </c>
      <c r="Q16" s="2972">
        <v>3520720.0170962284</v>
      </c>
      <c r="R16" s="2972">
        <v>3636276.8001231123</v>
      </c>
    </row>
    <row r="17" spans="1:18" ht="14.25" hidden="1" outlineLevel="1">
      <c r="A17" s="2973"/>
      <c r="B17" s="2968"/>
      <c r="C17" s="2972"/>
      <c r="D17" s="2972"/>
      <c r="E17" s="2972"/>
      <c r="F17" s="2972"/>
      <c r="G17" s="2972"/>
      <c r="H17" s="2972"/>
      <c r="I17" s="2972"/>
      <c r="J17" s="2972"/>
      <c r="K17" s="2972"/>
      <c r="L17" s="2972"/>
      <c r="M17" s="2972"/>
      <c r="N17" s="2972"/>
      <c r="O17" s="2972"/>
      <c r="P17" s="2972"/>
      <c r="Q17" s="2972"/>
      <c r="R17" s="2972"/>
    </row>
    <row r="18" spans="1:18" ht="14.25" hidden="1" outlineLevel="1">
      <c r="A18" s="2973" t="s">
        <v>3163</v>
      </c>
      <c r="B18" s="2968"/>
      <c r="C18" s="2972">
        <v>4328230.6399999997</v>
      </c>
      <c r="D18" s="2972">
        <v>6802176.2937653679</v>
      </c>
      <c r="E18" s="2972">
        <v>7395477.4154713443</v>
      </c>
      <c r="F18" s="2972">
        <v>7786136.2250311989</v>
      </c>
      <c r="G18" s="2972">
        <v>8153513.8505571578</v>
      </c>
      <c r="H18" s="2972">
        <v>8388885.3344810195</v>
      </c>
      <c r="I18" s="2972">
        <v>8794924.3002861738</v>
      </c>
      <c r="J18" s="2972">
        <v>9259970.98246569</v>
      </c>
      <c r="K18" s="2972">
        <v>9604057.3359125014</v>
      </c>
      <c r="L18" s="2972">
        <v>9988219.6293490008</v>
      </c>
      <c r="M18" s="2972">
        <v>10287866.218229473</v>
      </c>
      <c r="N18" s="2972">
        <v>10618203.619922591</v>
      </c>
      <c r="O18" s="2972">
        <v>10914397.270919647</v>
      </c>
      <c r="P18" s="2972">
        <v>11241829.189047238</v>
      </c>
      <c r="Q18" s="2972">
        <v>11579084.064718656</v>
      </c>
      <c r="R18" s="2972">
        <v>11950881.720596772</v>
      </c>
    </row>
    <row r="19" spans="1:18" ht="14.25" hidden="1" outlineLevel="1">
      <c r="A19" s="2973" t="s">
        <v>3164</v>
      </c>
      <c r="B19" s="2968"/>
      <c r="C19" s="2972">
        <v>1747756.64</v>
      </c>
      <c r="D19" s="2972">
        <v>1963787.5437653672</v>
      </c>
      <c r="E19" s="2972">
        <v>2315169.2279713424</v>
      </c>
      <c r="F19" s="2972">
        <v>2437587.7652311968</v>
      </c>
      <c r="G19" s="2972">
        <v>2552474.0738384048</v>
      </c>
      <c r="H19" s="2972">
        <v>2680097.7775303251</v>
      </c>
      <c r="I19" s="2972">
        <v>2814102.6664068415</v>
      </c>
      <c r="J19" s="2972">
        <v>2962903.1635620529</v>
      </c>
      <c r="K19" s="2972">
        <v>3073000.1117162709</v>
      </c>
      <c r="L19" s="2972">
        <v>3195920.116184921</v>
      </c>
      <c r="M19" s="2972">
        <v>3291797.7196704689</v>
      </c>
      <c r="N19" s="2972">
        <v>3399840.833866776</v>
      </c>
      <c r="O19" s="2972">
        <v>3492268.2007984007</v>
      </c>
      <c r="P19" s="2972">
        <v>3597036.2468223535</v>
      </c>
      <c r="Q19" s="2972">
        <v>3704947.3342270241</v>
      </c>
      <c r="R19" s="2972">
        <v>3826550.8111148039</v>
      </c>
    </row>
    <row r="20" spans="1:18" ht="14.25" hidden="1" outlineLevel="1">
      <c r="A20" s="2973" t="s">
        <v>3165</v>
      </c>
      <c r="B20" s="2968"/>
      <c r="C20" s="2972">
        <v>1287975</v>
      </c>
      <c r="D20" s="2972">
        <v>2414953.125</v>
      </c>
      <c r="E20" s="2972">
        <v>2535700.7812500009</v>
      </c>
      <c r="F20" s="2972">
        <v>2669585.7825000011</v>
      </c>
      <c r="G20" s="2972">
        <v>2795610.1113281264</v>
      </c>
      <c r="H20" s="2972">
        <v>2849389.5515566403</v>
      </c>
      <c r="I20" s="2972">
        <v>2985168.1295357873</v>
      </c>
      <c r="J20" s="2972">
        <v>3143014.0059742555</v>
      </c>
      <c r="K20" s="2972">
        <v>3259803.5974530801</v>
      </c>
      <c r="L20" s="2972">
        <v>3390195.741351204</v>
      </c>
      <c r="M20" s="2972">
        <v>3491901.6135917404</v>
      </c>
      <c r="N20" s="2972">
        <v>3602166.1811657036</v>
      </c>
      <c r="O20" s="2972">
        <v>3704558.4218594776</v>
      </c>
      <c r="P20" s="2972">
        <v>3815695.1745152622</v>
      </c>
      <c r="Q20" s="2972">
        <v>3930166.0297507197</v>
      </c>
      <c r="R20" s="2972">
        <v>4054269.7719860561</v>
      </c>
    </row>
    <row r="21" spans="1:18" ht="14.25" hidden="1" outlineLevel="1">
      <c r="A21" s="2973" t="s">
        <v>3166</v>
      </c>
      <c r="B21" s="2968"/>
      <c r="C21" s="2972">
        <v>1292499.0000000005</v>
      </c>
      <c r="D21" s="2972">
        <v>2423435.6250000009</v>
      </c>
      <c r="E21" s="2972">
        <v>2544607.4062500009</v>
      </c>
      <c r="F21" s="2972">
        <v>2678962.6773000015</v>
      </c>
      <c r="G21" s="2972">
        <v>2805429.6653906265</v>
      </c>
      <c r="H21" s="2972">
        <v>2859398.0053940541</v>
      </c>
      <c r="I21" s="2972">
        <v>2995653.5043435441</v>
      </c>
      <c r="J21" s="2972">
        <v>3154053.8129293812</v>
      </c>
      <c r="K21" s="2972">
        <v>3271253.6267431499</v>
      </c>
      <c r="L21" s="2972">
        <v>3402103.7718128767</v>
      </c>
      <c r="M21" s="2972">
        <v>3504166.8849672638</v>
      </c>
      <c r="N21" s="2972">
        <v>3616196.6048901118</v>
      </c>
      <c r="O21" s="2972">
        <v>3717570.6482617701</v>
      </c>
      <c r="P21" s="2972">
        <v>3829097.7677096236</v>
      </c>
      <c r="Q21" s="2972">
        <v>3943970.7007409111</v>
      </c>
      <c r="R21" s="2972">
        <v>4070061.1374959107</v>
      </c>
    </row>
    <row r="22" spans="1:18" ht="14.25" hidden="1" outlineLevel="1">
      <c r="A22" s="2973"/>
      <c r="B22" s="2968"/>
      <c r="C22" s="2972"/>
      <c r="D22" s="2972"/>
      <c r="E22" s="2972"/>
      <c r="F22" s="2972"/>
      <c r="G22" s="2972"/>
      <c r="H22" s="2972"/>
      <c r="I22" s="2972"/>
      <c r="J22" s="2972"/>
      <c r="K22" s="2972"/>
      <c r="L22" s="2972"/>
      <c r="M22" s="2972"/>
      <c r="N22" s="2972"/>
      <c r="O22" s="2972"/>
      <c r="P22" s="2972"/>
      <c r="Q22" s="2972"/>
      <c r="R22" s="2972"/>
    </row>
    <row r="23" spans="1:18" ht="14.25" collapsed="1">
      <c r="A23" s="2971" t="s">
        <v>3167</v>
      </c>
      <c r="B23" s="2968"/>
      <c r="C23" s="2972">
        <v>264000</v>
      </c>
      <c r="D23" s="2972">
        <v>264000</v>
      </c>
      <c r="E23" s="2972">
        <v>264000</v>
      </c>
      <c r="F23" s="2972">
        <v>264000</v>
      </c>
      <c r="G23" s="2972">
        <v>264000</v>
      </c>
      <c r="H23" s="2972">
        <v>264000</v>
      </c>
      <c r="I23" s="2972">
        <v>264000</v>
      </c>
      <c r="J23" s="2972">
        <v>264000</v>
      </c>
      <c r="K23" s="2972">
        <v>264000</v>
      </c>
      <c r="L23" s="2972">
        <v>264000</v>
      </c>
      <c r="M23" s="2972">
        <v>264000</v>
      </c>
      <c r="N23" s="2972">
        <v>264000</v>
      </c>
      <c r="O23" s="2972">
        <v>264000</v>
      </c>
      <c r="P23" s="2972">
        <v>264000</v>
      </c>
      <c r="Q23" s="2972">
        <v>264000</v>
      </c>
      <c r="R23" s="2972">
        <v>264000</v>
      </c>
    </row>
    <row r="24" spans="1:18" ht="14.25" hidden="1" outlineLevel="1">
      <c r="A24" s="2971" t="s">
        <v>3168</v>
      </c>
      <c r="B24" s="2968"/>
      <c r="C24" s="2972">
        <v>0</v>
      </c>
      <c r="D24" s="2972">
        <v>0</v>
      </c>
      <c r="E24" s="2972">
        <v>0</v>
      </c>
      <c r="F24" s="2972">
        <v>0</v>
      </c>
      <c r="G24" s="2972">
        <v>0</v>
      </c>
      <c r="H24" s="2972">
        <v>0</v>
      </c>
      <c r="I24" s="2972">
        <v>0</v>
      </c>
      <c r="J24" s="2972">
        <v>0</v>
      </c>
      <c r="K24" s="2972">
        <v>0</v>
      </c>
      <c r="L24" s="2972">
        <v>0</v>
      </c>
      <c r="M24" s="2972">
        <v>0</v>
      </c>
      <c r="N24" s="2972">
        <v>0</v>
      </c>
      <c r="O24" s="2972">
        <v>0</v>
      </c>
      <c r="P24" s="2972">
        <v>0</v>
      </c>
      <c r="Q24" s="2972">
        <v>0</v>
      </c>
      <c r="R24" s="2972">
        <v>0</v>
      </c>
    </row>
    <row r="25" spans="1:18" ht="14.25" hidden="1" outlineLevel="1">
      <c r="A25" s="2974" t="s">
        <v>3169</v>
      </c>
      <c r="B25" s="2968"/>
      <c r="C25" s="2972">
        <v>0</v>
      </c>
      <c r="D25" s="2972">
        <v>0</v>
      </c>
      <c r="E25" s="2972">
        <v>0</v>
      </c>
      <c r="F25" s="2972">
        <v>0</v>
      </c>
      <c r="G25" s="2972">
        <v>0</v>
      </c>
      <c r="H25" s="2972">
        <v>0</v>
      </c>
      <c r="I25" s="2972">
        <v>0</v>
      </c>
      <c r="J25" s="2972">
        <v>0</v>
      </c>
      <c r="K25" s="2972">
        <v>0</v>
      </c>
      <c r="L25" s="2972">
        <v>0</v>
      </c>
      <c r="M25" s="2972">
        <v>0</v>
      </c>
      <c r="N25" s="2972">
        <v>0</v>
      </c>
      <c r="O25" s="2972">
        <v>0</v>
      </c>
      <c r="P25" s="2972">
        <v>0</v>
      </c>
      <c r="Q25" s="2972">
        <v>0</v>
      </c>
      <c r="R25" s="2972">
        <v>0</v>
      </c>
    </row>
    <row r="26" spans="1:18" ht="14.25" hidden="1" outlineLevel="1">
      <c r="A26" s="2974" t="s">
        <v>3170</v>
      </c>
      <c r="B26" s="2968"/>
      <c r="C26" s="2972">
        <v>0</v>
      </c>
      <c r="D26" s="2972">
        <v>0</v>
      </c>
      <c r="E26" s="2972">
        <v>0</v>
      </c>
      <c r="F26" s="2972">
        <v>0</v>
      </c>
      <c r="G26" s="2972">
        <v>0</v>
      </c>
      <c r="H26" s="2972">
        <v>0</v>
      </c>
      <c r="I26" s="2972">
        <v>0</v>
      </c>
      <c r="J26" s="2972">
        <v>0</v>
      </c>
      <c r="K26" s="2972">
        <v>0</v>
      </c>
      <c r="L26" s="2972">
        <v>0</v>
      </c>
      <c r="M26" s="2972">
        <v>0</v>
      </c>
      <c r="N26" s="2972">
        <v>0</v>
      </c>
      <c r="O26" s="2972">
        <v>0</v>
      </c>
      <c r="P26" s="2972">
        <v>0</v>
      </c>
      <c r="Q26" s="2972">
        <v>0</v>
      </c>
      <c r="R26" s="2972">
        <v>0</v>
      </c>
    </row>
    <row r="27" spans="1:18" ht="14.25" hidden="1" outlineLevel="1">
      <c r="A27" s="2974" t="s">
        <v>3171</v>
      </c>
      <c r="B27" s="2968"/>
      <c r="C27" s="2972">
        <v>0</v>
      </c>
      <c r="D27" s="2972">
        <v>0</v>
      </c>
      <c r="E27" s="2972">
        <v>0</v>
      </c>
      <c r="F27" s="2972">
        <v>0</v>
      </c>
      <c r="G27" s="2972">
        <v>0</v>
      </c>
      <c r="H27" s="2972">
        <v>0</v>
      </c>
      <c r="I27" s="2972">
        <v>0</v>
      </c>
      <c r="J27" s="2972">
        <v>0</v>
      </c>
      <c r="K27" s="2972">
        <v>0</v>
      </c>
      <c r="L27" s="2972">
        <v>0</v>
      </c>
      <c r="M27" s="2972">
        <v>0</v>
      </c>
      <c r="N27" s="2972">
        <v>0</v>
      </c>
      <c r="O27" s="2972">
        <v>0</v>
      </c>
      <c r="P27" s="2972">
        <v>0</v>
      </c>
      <c r="Q27" s="2972">
        <v>0</v>
      </c>
      <c r="R27" s="2972">
        <v>0</v>
      </c>
    </row>
    <row r="28" spans="1:18" ht="14.25" collapsed="1">
      <c r="A28" s="2971" t="s">
        <v>3172</v>
      </c>
      <c r="B28" s="2968"/>
      <c r="C28" s="2972">
        <v>6522909.5</v>
      </c>
      <c r="D28" s="2972">
        <v>6890409.5</v>
      </c>
      <c r="E28" s="2972">
        <v>6974320.0404251339</v>
      </c>
      <c r="F28" s="2972">
        <v>7411781.0735927764</v>
      </c>
      <c r="G28" s="2972">
        <v>7761173.2420203043</v>
      </c>
      <c r="H28" s="2972">
        <v>8141508.5961493906</v>
      </c>
      <c r="I28" s="2972">
        <v>8564005.2884964868</v>
      </c>
      <c r="J28" s="2972">
        <v>9016841.7325183563</v>
      </c>
      <c r="K28" s="2972">
        <v>9351893.7750381641</v>
      </c>
      <c r="L28" s="2972">
        <v>9725969.5260396916</v>
      </c>
      <c r="M28" s="2972">
        <v>10017748.611820884</v>
      </c>
      <c r="N28" s="2972">
        <v>10346550.33338147</v>
      </c>
      <c r="O28" s="2972">
        <v>10627829.502280775</v>
      </c>
      <c r="P28" s="2972">
        <v>10946664.3873492</v>
      </c>
      <c r="Q28" s="2972">
        <v>11275064.318969678</v>
      </c>
      <c r="R28" s="2972">
        <v>11645133.553329285</v>
      </c>
    </row>
    <row r="29" spans="1:18" ht="14.25" hidden="1" outlineLevel="1">
      <c r="A29" s="2974" t="s">
        <v>3173</v>
      </c>
      <c r="B29" s="2968"/>
      <c r="C29" s="2972">
        <v>0</v>
      </c>
      <c r="D29" s="2972">
        <v>0</v>
      </c>
      <c r="E29" s="2972">
        <v>0</v>
      </c>
      <c r="F29" s="2972">
        <v>0</v>
      </c>
      <c r="G29" s="2972">
        <v>0</v>
      </c>
      <c r="H29" s="2972">
        <v>0</v>
      </c>
      <c r="I29" s="2972">
        <v>0</v>
      </c>
      <c r="J29" s="2972">
        <v>0</v>
      </c>
      <c r="K29" s="2972">
        <v>0</v>
      </c>
      <c r="L29" s="2972">
        <v>0</v>
      </c>
      <c r="M29" s="2972">
        <v>0</v>
      </c>
      <c r="N29" s="2972">
        <v>0</v>
      </c>
      <c r="O29" s="2972">
        <v>0</v>
      </c>
      <c r="P29" s="2972">
        <v>0</v>
      </c>
      <c r="Q29" s="2972">
        <v>0</v>
      </c>
      <c r="R29" s="2972">
        <v>0</v>
      </c>
    </row>
    <row r="30" spans="1:18" ht="14.25" hidden="1" outlineLevel="1">
      <c r="A30" s="2974" t="s">
        <v>3174</v>
      </c>
      <c r="B30" s="2968"/>
      <c r="C30" s="2972">
        <v>0</v>
      </c>
      <c r="D30" s="2972">
        <v>0</v>
      </c>
      <c r="E30" s="2972">
        <v>0</v>
      </c>
      <c r="F30" s="2972">
        <v>0</v>
      </c>
      <c r="G30" s="2972">
        <v>0</v>
      </c>
      <c r="H30" s="2972">
        <v>0</v>
      </c>
      <c r="I30" s="2972">
        <v>0</v>
      </c>
      <c r="J30" s="2972">
        <v>0</v>
      </c>
      <c r="K30" s="2972">
        <v>0</v>
      </c>
      <c r="L30" s="2972">
        <v>0</v>
      </c>
      <c r="M30" s="2972">
        <v>0</v>
      </c>
      <c r="N30" s="2972">
        <v>0</v>
      </c>
      <c r="O30" s="2972">
        <v>0</v>
      </c>
      <c r="P30" s="2972">
        <v>0</v>
      </c>
      <c r="Q30" s="2972">
        <v>0</v>
      </c>
      <c r="R30" s="2972">
        <v>0</v>
      </c>
    </row>
    <row r="31" spans="1:18" ht="14.25" hidden="1" outlineLevel="1">
      <c r="A31" s="2974" t="s">
        <v>3175</v>
      </c>
      <c r="B31" s="2968"/>
      <c r="C31" s="2972">
        <v>0</v>
      </c>
      <c r="D31" s="2972">
        <v>0</v>
      </c>
      <c r="E31" s="2972">
        <v>0</v>
      </c>
      <c r="F31" s="2972">
        <v>0</v>
      </c>
      <c r="G31" s="2972">
        <v>0</v>
      </c>
      <c r="H31" s="2972">
        <v>0</v>
      </c>
      <c r="I31" s="2972">
        <v>0</v>
      </c>
      <c r="J31" s="2972">
        <v>0</v>
      </c>
      <c r="K31" s="2972">
        <v>0</v>
      </c>
      <c r="L31" s="2972">
        <v>0</v>
      </c>
      <c r="M31" s="2972">
        <v>0</v>
      </c>
      <c r="N31" s="2972">
        <v>0</v>
      </c>
      <c r="O31" s="2972">
        <v>0</v>
      </c>
      <c r="P31" s="2972">
        <v>0</v>
      </c>
      <c r="Q31" s="2972">
        <v>0</v>
      </c>
      <c r="R31" s="2972">
        <v>0</v>
      </c>
    </row>
    <row r="32" spans="1:18" ht="14.25" hidden="1" outlineLevel="1">
      <c r="A32" s="2974" t="s">
        <v>3176</v>
      </c>
      <c r="B32" s="2968"/>
      <c r="C32" s="2972">
        <v>0</v>
      </c>
      <c r="D32" s="2972">
        <v>0</v>
      </c>
      <c r="E32" s="2972">
        <v>0</v>
      </c>
      <c r="F32" s="2972">
        <v>0</v>
      </c>
      <c r="G32" s="2972">
        <v>0</v>
      </c>
      <c r="H32" s="2972">
        <v>0</v>
      </c>
      <c r="I32" s="2972">
        <v>0</v>
      </c>
      <c r="J32" s="2972">
        <v>0</v>
      </c>
      <c r="K32" s="2972">
        <v>0</v>
      </c>
      <c r="L32" s="2972">
        <v>0</v>
      </c>
      <c r="M32" s="2972">
        <v>0</v>
      </c>
      <c r="N32" s="2972">
        <v>0</v>
      </c>
      <c r="O32" s="2972">
        <v>0</v>
      </c>
      <c r="P32" s="2972">
        <v>0</v>
      </c>
      <c r="Q32" s="2972">
        <v>0</v>
      </c>
      <c r="R32" s="2972">
        <v>0</v>
      </c>
    </row>
    <row r="33" spans="1:18" ht="14.25" hidden="1" outlineLevel="1">
      <c r="A33" s="2974" t="s">
        <v>3177</v>
      </c>
      <c r="B33" s="2968"/>
      <c r="C33" s="2972">
        <v>2676430</v>
      </c>
      <c r="D33" s="2972">
        <v>3043930</v>
      </c>
      <c r="E33" s="2972">
        <v>3125646.2230113074</v>
      </c>
      <c r="F33" s="2972">
        <v>3334709.9261045954</v>
      </c>
      <c r="G33" s="2972">
        <v>3491945.0527447704</v>
      </c>
      <c r="H33" s="2972">
        <v>3658818.997410079</v>
      </c>
      <c r="I33" s="2972">
        <v>3857181.2098202109</v>
      </c>
      <c r="J33" s="2972">
        <v>4061136.2710517989</v>
      </c>
      <c r="K33" s="2972">
        <v>4212041.8811236694</v>
      </c>
      <c r="L33" s="2972">
        <v>4380523.5563686173</v>
      </c>
      <c r="M33" s="2972">
        <v>4511939.2630596757</v>
      </c>
      <c r="N33" s="2972">
        <v>4660029.7627074979</v>
      </c>
      <c r="O33" s="2972">
        <v>4786716.3641800098</v>
      </c>
      <c r="P33" s="2972">
        <v>4930317.8551054113</v>
      </c>
      <c r="Q33" s="2972">
        <v>5078227.390758574</v>
      </c>
      <c r="R33" s="2972">
        <v>5244904.5527894991</v>
      </c>
    </row>
    <row r="34" spans="1:18" ht="14.25" hidden="1" outlineLevel="1">
      <c r="A34" s="2974" t="s">
        <v>3178</v>
      </c>
      <c r="B34" s="2968"/>
      <c r="C34" s="2972">
        <v>3846479.5</v>
      </c>
      <c r="D34" s="2972">
        <v>3846479.5</v>
      </c>
      <c r="E34" s="2972">
        <v>3848673.8174138265</v>
      </c>
      <c r="F34" s="2972">
        <v>4077071.1474881815</v>
      </c>
      <c r="G34" s="2972">
        <v>4269228.1892755339</v>
      </c>
      <c r="H34" s="2972">
        <v>4482689.5987393111</v>
      </c>
      <c r="I34" s="2972">
        <v>4706824.0786762768</v>
      </c>
      <c r="J34" s="2972">
        <v>4955705.4614665573</v>
      </c>
      <c r="K34" s="2972">
        <v>5139851.8939144947</v>
      </c>
      <c r="L34" s="2972">
        <v>5345445.9696710743</v>
      </c>
      <c r="M34" s="2972">
        <v>5505809.3487612084</v>
      </c>
      <c r="N34" s="2972">
        <v>5686520.5706739733</v>
      </c>
      <c r="O34" s="2972">
        <v>5841113.1381007647</v>
      </c>
      <c r="P34" s="2972">
        <v>6016346.5322437892</v>
      </c>
      <c r="Q34" s="2972">
        <v>6196836.9282111032</v>
      </c>
      <c r="R34" s="2972">
        <v>6400229.0005397853</v>
      </c>
    </row>
    <row r="35" spans="1:18" ht="14.25" hidden="1" outlineLevel="1">
      <c r="A35" s="2974" t="s">
        <v>3179</v>
      </c>
      <c r="B35" s="2968"/>
      <c r="C35" s="2972">
        <v>0</v>
      </c>
      <c r="D35" s="2972">
        <v>0</v>
      </c>
      <c r="E35" s="2972">
        <v>0</v>
      </c>
      <c r="F35" s="2972">
        <v>0</v>
      </c>
      <c r="G35" s="2972">
        <v>0</v>
      </c>
      <c r="H35" s="2972">
        <v>0</v>
      </c>
      <c r="I35" s="2972">
        <v>0</v>
      </c>
      <c r="J35" s="2972">
        <v>0</v>
      </c>
      <c r="K35" s="2972">
        <v>0</v>
      </c>
      <c r="L35" s="2972">
        <v>0</v>
      </c>
      <c r="M35" s="2972">
        <v>0</v>
      </c>
      <c r="N35" s="2972">
        <v>0</v>
      </c>
      <c r="O35" s="2972">
        <v>0</v>
      </c>
      <c r="P35" s="2972">
        <v>0</v>
      </c>
      <c r="Q35" s="2972">
        <v>0</v>
      </c>
      <c r="R35" s="2972">
        <v>0</v>
      </c>
    </row>
    <row r="36" spans="1:18" ht="14.25" hidden="1" outlineLevel="1">
      <c r="A36" s="2974" t="s">
        <v>3180</v>
      </c>
      <c r="B36" s="2968"/>
      <c r="C36" s="2972">
        <v>0</v>
      </c>
      <c r="D36" s="2972">
        <v>0</v>
      </c>
      <c r="E36" s="2972">
        <v>0</v>
      </c>
      <c r="F36" s="2972">
        <v>0</v>
      </c>
      <c r="G36" s="2972">
        <v>0</v>
      </c>
      <c r="H36" s="2972">
        <v>0</v>
      </c>
      <c r="I36" s="2972">
        <v>0</v>
      </c>
      <c r="J36" s="2972">
        <v>0</v>
      </c>
      <c r="K36" s="2972">
        <v>0</v>
      </c>
      <c r="L36" s="2972">
        <v>0</v>
      </c>
      <c r="M36" s="2972">
        <v>0</v>
      </c>
      <c r="N36" s="2972">
        <v>0</v>
      </c>
      <c r="O36" s="2972">
        <v>0</v>
      </c>
      <c r="P36" s="2972">
        <v>0</v>
      </c>
      <c r="Q36" s="2972">
        <v>0</v>
      </c>
      <c r="R36" s="2972">
        <v>0</v>
      </c>
    </row>
    <row r="37" spans="1:18" ht="14.25" hidden="1" outlineLevel="1">
      <c r="A37" s="2974" t="s">
        <v>3181</v>
      </c>
      <c r="B37" s="2968"/>
      <c r="C37" s="2972">
        <v>0</v>
      </c>
      <c r="D37" s="2972">
        <v>0</v>
      </c>
      <c r="E37" s="2972">
        <v>0</v>
      </c>
      <c r="F37" s="2972">
        <v>0</v>
      </c>
      <c r="G37" s="2972">
        <v>0</v>
      </c>
      <c r="H37" s="2972">
        <v>0</v>
      </c>
      <c r="I37" s="2972">
        <v>0</v>
      </c>
      <c r="J37" s="2972">
        <v>0</v>
      </c>
      <c r="K37" s="2972">
        <v>0</v>
      </c>
      <c r="L37" s="2972">
        <v>0</v>
      </c>
      <c r="M37" s="2972">
        <v>0</v>
      </c>
      <c r="N37" s="2972">
        <v>0</v>
      </c>
      <c r="O37" s="2972">
        <v>0</v>
      </c>
      <c r="P37" s="2972">
        <v>0</v>
      </c>
      <c r="Q37" s="2972">
        <v>0</v>
      </c>
      <c r="R37" s="2972">
        <v>0</v>
      </c>
    </row>
    <row r="38" spans="1:18" ht="14.25" hidden="1" outlineLevel="1">
      <c r="A38" s="2974" t="s">
        <v>3182</v>
      </c>
      <c r="B38" s="2968"/>
      <c r="C38" s="2972">
        <v>0</v>
      </c>
      <c r="D38" s="2972">
        <v>0</v>
      </c>
      <c r="E38" s="2972">
        <v>0</v>
      </c>
      <c r="F38" s="2972">
        <v>0</v>
      </c>
      <c r="G38" s="2972">
        <v>0</v>
      </c>
      <c r="H38" s="2972">
        <v>0</v>
      </c>
      <c r="I38" s="2972">
        <v>0</v>
      </c>
      <c r="J38" s="2972">
        <v>0</v>
      </c>
      <c r="K38" s="2972">
        <v>0</v>
      </c>
      <c r="L38" s="2972">
        <v>0</v>
      </c>
      <c r="M38" s="2972">
        <v>0</v>
      </c>
      <c r="N38" s="2972">
        <v>0</v>
      </c>
      <c r="O38" s="2972">
        <v>0</v>
      </c>
      <c r="P38" s="2972">
        <v>0</v>
      </c>
      <c r="Q38" s="2972">
        <v>0</v>
      </c>
      <c r="R38" s="2972">
        <v>0</v>
      </c>
    </row>
    <row r="39" spans="1:18" ht="14.25" hidden="1" outlineLevel="1">
      <c r="A39" s="2974" t="s">
        <v>3183</v>
      </c>
      <c r="B39" s="2968"/>
      <c r="C39" s="2972">
        <v>0</v>
      </c>
      <c r="D39" s="2972">
        <v>0</v>
      </c>
      <c r="E39" s="2972">
        <v>0</v>
      </c>
      <c r="F39" s="2972">
        <v>0</v>
      </c>
      <c r="G39" s="2972">
        <v>0</v>
      </c>
      <c r="H39" s="2972">
        <v>0</v>
      </c>
      <c r="I39" s="2972">
        <v>0</v>
      </c>
      <c r="J39" s="2972">
        <v>0</v>
      </c>
      <c r="K39" s="2972">
        <v>0</v>
      </c>
      <c r="L39" s="2972">
        <v>0</v>
      </c>
      <c r="M39" s="2972">
        <v>0</v>
      </c>
      <c r="N39" s="2972">
        <v>0</v>
      </c>
      <c r="O39" s="2972">
        <v>0</v>
      </c>
      <c r="P39" s="2972">
        <v>0</v>
      </c>
      <c r="Q39" s="2972">
        <v>0</v>
      </c>
      <c r="R39" s="2972">
        <v>0</v>
      </c>
    </row>
    <row r="40" spans="1:18" ht="14.25" hidden="1" outlineLevel="1">
      <c r="A40" s="2974" t="s">
        <v>3184</v>
      </c>
      <c r="B40" s="2968"/>
      <c r="C40" s="2972">
        <v>0</v>
      </c>
      <c r="D40" s="2972">
        <v>0</v>
      </c>
      <c r="E40" s="2972">
        <v>0</v>
      </c>
      <c r="F40" s="2972">
        <v>0</v>
      </c>
      <c r="G40" s="2972">
        <v>0</v>
      </c>
      <c r="H40" s="2972">
        <v>0</v>
      </c>
      <c r="I40" s="2972">
        <v>0</v>
      </c>
      <c r="J40" s="2972">
        <v>0</v>
      </c>
      <c r="K40" s="2972">
        <v>0</v>
      </c>
      <c r="L40" s="2972">
        <v>0</v>
      </c>
      <c r="M40" s="2972">
        <v>0</v>
      </c>
      <c r="N40" s="2972">
        <v>0</v>
      </c>
      <c r="O40" s="2972">
        <v>0</v>
      </c>
      <c r="P40" s="2972">
        <v>0</v>
      </c>
      <c r="Q40" s="2972">
        <v>0</v>
      </c>
      <c r="R40" s="2972">
        <v>0</v>
      </c>
    </row>
    <row r="41" spans="1:18" ht="14.25" hidden="1" outlineLevel="1">
      <c r="A41" s="2973" t="s">
        <v>3185</v>
      </c>
      <c r="B41" s="2968"/>
      <c r="C41" s="2975">
        <v>0.95</v>
      </c>
      <c r="D41" s="2975">
        <v>0.95</v>
      </c>
      <c r="E41" s="2975">
        <v>0.95</v>
      </c>
      <c r="F41" s="2975">
        <v>0.95</v>
      </c>
      <c r="G41" s="2975">
        <v>0.95</v>
      </c>
      <c r="H41" s="2975">
        <v>0.95</v>
      </c>
      <c r="I41" s="2975">
        <v>0.95</v>
      </c>
      <c r="J41" s="2975">
        <v>0.95</v>
      </c>
      <c r="K41" s="2975">
        <v>0.95</v>
      </c>
      <c r="L41" s="2975">
        <v>0.95</v>
      </c>
      <c r="M41" s="2975">
        <v>0.95</v>
      </c>
      <c r="N41" s="2975">
        <v>0.95</v>
      </c>
      <c r="O41" s="2975">
        <v>0.95</v>
      </c>
      <c r="P41" s="2975">
        <v>0.95</v>
      </c>
      <c r="Q41" s="2975">
        <v>0.95</v>
      </c>
      <c r="R41" s="2975">
        <v>0.95</v>
      </c>
    </row>
    <row r="42" spans="1:18" ht="14.25" hidden="1" outlineLevel="1">
      <c r="A42" s="2976"/>
      <c r="B42" s="2968"/>
      <c r="C42" s="2972"/>
      <c r="D42" s="2972"/>
      <c r="E42" s="2972"/>
      <c r="F42" s="2972"/>
      <c r="G42" s="2972"/>
      <c r="H42" s="2972"/>
      <c r="I42" s="2972"/>
      <c r="J42" s="2972"/>
      <c r="K42" s="2972"/>
      <c r="L42" s="2972"/>
      <c r="M42" s="2972"/>
      <c r="N42" s="2972"/>
      <c r="O42" s="2972"/>
      <c r="P42" s="2972"/>
      <c r="Q42" s="2972"/>
      <c r="R42" s="2972"/>
    </row>
    <row r="43" spans="1:18" ht="14.25" hidden="1" outlineLevel="1">
      <c r="A43" s="2971" t="s">
        <v>3186</v>
      </c>
      <c r="B43" s="2968"/>
      <c r="C43" s="2972">
        <v>0</v>
      </c>
      <c r="D43" s="2972">
        <v>0</v>
      </c>
      <c r="E43" s="2972">
        <v>0</v>
      </c>
      <c r="F43" s="2972">
        <v>0</v>
      </c>
      <c r="G43" s="2972">
        <v>0</v>
      </c>
      <c r="H43" s="2972">
        <v>0</v>
      </c>
      <c r="I43" s="2972">
        <v>0</v>
      </c>
      <c r="J43" s="2972">
        <v>0</v>
      </c>
      <c r="K43" s="2972">
        <v>0</v>
      </c>
      <c r="L43" s="2972">
        <v>0</v>
      </c>
      <c r="M43" s="2972">
        <v>0</v>
      </c>
      <c r="N43" s="2972">
        <v>0</v>
      </c>
      <c r="O43" s="2972">
        <v>0</v>
      </c>
      <c r="P43" s="2972">
        <v>0</v>
      </c>
      <c r="Q43" s="2972">
        <v>0</v>
      </c>
      <c r="R43" s="2972">
        <v>0</v>
      </c>
    </row>
    <row r="44" spans="1:18" ht="14.25" hidden="1" outlineLevel="1">
      <c r="A44" s="2973" t="s">
        <v>3155</v>
      </c>
      <c r="B44" s="2968"/>
      <c r="C44" s="2972">
        <v>0</v>
      </c>
      <c r="D44" s="2972">
        <v>0</v>
      </c>
      <c r="E44" s="2972">
        <v>0</v>
      </c>
      <c r="F44" s="2972">
        <v>0</v>
      </c>
      <c r="G44" s="2972">
        <v>0</v>
      </c>
      <c r="H44" s="2972">
        <v>0</v>
      </c>
      <c r="I44" s="2972">
        <v>0</v>
      </c>
      <c r="J44" s="2972">
        <v>0</v>
      </c>
      <c r="K44" s="2972">
        <v>0</v>
      </c>
      <c r="L44" s="2972">
        <v>0</v>
      </c>
      <c r="M44" s="2972">
        <v>0</v>
      </c>
      <c r="N44" s="2972">
        <v>0</v>
      </c>
      <c r="O44" s="2972">
        <v>0</v>
      </c>
      <c r="P44" s="2972">
        <v>0</v>
      </c>
      <c r="Q44" s="2972">
        <v>0</v>
      </c>
      <c r="R44" s="2972">
        <v>0</v>
      </c>
    </row>
    <row r="45" spans="1:18" ht="14.25" hidden="1" outlineLevel="1">
      <c r="A45" s="2973" t="s">
        <v>3187</v>
      </c>
      <c r="B45" s="2968"/>
      <c r="C45" s="2972">
        <v>0</v>
      </c>
      <c r="D45" s="2972">
        <v>0</v>
      </c>
      <c r="E45" s="2972">
        <v>0</v>
      </c>
      <c r="F45" s="2972">
        <v>0</v>
      </c>
      <c r="G45" s="2972">
        <v>0</v>
      </c>
      <c r="H45" s="2972">
        <v>0</v>
      </c>
      <c r="I45" s="2972">
        <v>0</v>
      </c>
      <c r="J45" s="2972">
        <v>0</v>
      </c>
      <c r="K45" s="2972">
        <v>0</v>
      </c>
      <c r="L45" s="2972">
        <v>0</v>
      </c>
      <c r="M45" s="2972">
        <v>0</v>
      </c>
      <c r="N45" s="2972">
        <v>0</v>
      </c>
      <c r="O45" s="2972">
        <v>0</v>
      </c>
      <c r="P45" s="2972">
        <v>0</v>
      </c>
      <c r="Q45" s="2972">
        <v>0</v>
      </c>
      <c r="R45" s="2972">
        <v>0</v>
      </c>
    </row>
    <row r="46" spans="1:18" ht="14.25" hidden="1" outlineLevel="1">
      <c r="A46" s="2973" t="s">
        <v>3163</v>
      </c>
      <c r="B46" s="2968"/>
      <c r="C46" s="2972">
        <v>0</v>
      </c>
      <c r="D46" s="2972">
        <v>0</v>
      </c>
      <c r="E46" s="2972">
        <v>0</v>
      </c>
      <c r="F46" s="2972">
        <v>0</v>
      </c>
      <c r="G46" s="2972">
        <v>0</v>
      </c>
      <c r="H46" s="2972">
        <v>0</v>
      </c>
      <c r="I46" s="2972">
        <v>0</v>
      </c>
      <c r="J46" s="2972">
        <v>0</v>
      </c>
      <c r="K46" s="2972">
        <v>0</v>
      </c>
      <c r="L46" s="2972">
        <v>0</v>
      </c>
      <c r="M46" s="2972">
        <v>0</v>
      </c>
      <c r="N46" s="2972">
        <v>0</v>
      </c>
      <c r="O46" s="2972">
        <v>0</v>
      </c>
      <c r="P46" s="2972">
        <v>0</v>
      </c>
      <c r="Q46" s="2972">
        <v>0</v>
      </c>
      <c r="R46" s="2972">
        <v>0</v>
      </c>
    </row>
    <row r="47" spans="1:18" ht="14.25" hidden="1" outlineLevel="1">
      <c r="A47" s="2973" t="s">
        <v>3188</v>
      </c>
      <c r="B47" s="2968"/>
      <c r="C47" s="2972">
        <v>0</v>
      </c>
      <c r="D47" s="2972">
        <v>0</v>
      </c>
      <c r="E47" s="2972">
        <v>0</v>
      </c>
      <c r="F47" s="2972">
        <v>0</v>
      </c>
      <c r="G47" s="2972">
        <v>0</v>
      </c>
      <c r="H47" s="2972">
        <v>0</v>
      </c>
      <c r="I47" s="2972">
        <v>0</v>
      </c>
      <c r="J47" s="2972">
        <v>0</v>
      </c>
      <c r="K47" s="2972">
        <v>0</v>
      </c>
      <c r="L47" s="2972">
        <v>0</v>
      </c>
      <c r="M47" s="2972">
        <v>0</v>
      </c>
      <c r="N47" s="2972">
        <v>0</v>
      </c>
      <c r="O47" s="2972">
        <v>0</v>
      </c>
      <c r="P47" s="2972">
        <v>0</v>
      </c>
      <c r="Q47" s="2972">
        <v>0</v>
      </c>
      <c r="R47" s="2972">
        <v>0</v>
      </c>
    </row>
    <row r="48" spans="1:18" ht="14.25" hidden="1" outlineLevel="1">
      <c r="A48" s="2976"/>
      <c r="B48" s="2968"/>
      <c r="C48" s="2972"/>
      <c r="D48" s="2972"/>
      <c r="E48" s="2972"/>
      <c r="F48" s="2972"/>
      <c r="G48" s="2972"/>
      <c r="H48" s="2972"/>
      <c r="I48" s="2972"/>
      <c r="J48" s="2972"/>
      <c r="K48" s="2972"/>
      <c r="L48" s="2972"/>
      <c r="M48" s="2972"/>
      <c r="N48" s="2972"/>
      <c r="O48" s="2972"/>
      <c r="P48" s="2972"/>
      <c r="Q48" s="2972"/>
      <c r="R48" s="2972"/>
    </row>
    <row r="49" spans="1:21" ht="14.25" hidden="1" outlineLevel="1">
      <c r="A49" s="2971" t="s">
        <v>3189</v>
      </c>
      <c r="B49" s="2968"/>
      <c r="C49" s="2972">
        <v>0</v>
      </c>
      <c r="D49" s="2972">
        <v>0</v>
      </c>
      <c r="E49" s="2972">
        <v>0</v>
      </c>
      <c r="F49" s="2972">
        <v>0</v>
      </c>
      <c r="G49" s="2972">
        <v>0</v>
      </c>
      <c r="H49" s="2972">
        <v>0</v>
      </c>
      <c r="I49" s="2972">
        <v>0</v>
      </c>
      <c r="J49" s="2972">
        <v>0</v>
      </c>
      <c r="K49" s="2972">
        <v>0</v>
      </c>
      <c r="L49" s="2972">
        <v>0</v>
      </c>
      <c r="M49" s="2972">
        <v>0</v>
      </c>
      <c r="N49" s="2972">
        <v>0</v>
      </c>
      <c r="O49" s="2972">
        <v>0</v>
      </c>
      <c r="P49" s="2972">
        <v>0</v>
      </c>
      <c r="Q49" s="2972">
        <v>0</v>
      </c>
      <c r="R49" s="2972">
        <v>0</v>
      </c>
    </row>
    <row r="50" spans="1:21" ht="14.25" hidden="1" outlineLevel="1">
      <c r="A50" s="2976"/>
      <c r="B50" s="2968"/>
      <c r="C50" s="2972"/>
      <c r="D50" s="2972"/>
      <c r="E50" s="2972"/>
      <c r="F50" s="2972"/>
      <c r="G50" s="2972"/>
      <c r="H50" s="2972"/>
      <c r="I50" s="2972"/>
      <c r="J50" s="2972"/>
      <c r="K50" s="2972"/>
      <c r="L50" s="2972"/>
      <c r="M50" s="2972"/>
      <c r="N50" s="2972"/>
      <c r="O50" s="2972"/>
      <c r="P50" s="2972"/>
      <c r="Q50" s="2972"/>
      <c r="R50" s="2972"/>
    </row>
    <row r="51" spans="1:21" ht="14.25" hidden="1" outlineLevel="1">
      <c r="A51" s="2971" t="s">
        <v>3190</v>
      </c>
      <c r="B51" s="2968"/>
      <c r="C51" s="2972">
        <v>0</v>
      </c>
      <c r="D51" s="2972">
        <v>0</v>
      </c>
      <c r="E51" s="2972">
        <v>0</v>
      </c>
      <c r="F51" s="2972">
        <v>0</v>
      </c>
      <c r="G51" s="2972">
        <v>0</v>
      </c>
      <c r="H51" s="2972">
        <v>0</v>
      </c>
      <c r="I51" s="2972">
        <v>0</v>
      </c>
      <c r="J51" s="2972">
        <v>0</v>
      </c>
      <c r="K51" s="2972">
        <v>0</v>
      </c>
      <c r="L51" s="2972">
        <v>0</v>
      </c>
      <c r="M51" s="2972">
        <v>0</v>
      </c>
      <c r="N51" s="2972">
        <v>0</v>
      </c>
      <c r="O51" s="2972">
        <v>0</v>
      </c>
      <c r="P51" s="2972">
        <v>0</v>
      </c>
      <c r="Q51" s="2972">
        <v>0</v>
      </c>
      <c r="R51" s="2972">
        <v>0</v>
      </c>
    </row>
    <row r="52" spans="1:21" ht="14.25" hidden="1" outlineLevel="1">
      <c r="A52" s="2976"/>
      <c r="B52" s="2968"/>
      <c r="C52" s="2972"/>
      <c r="D52" s="2972"/>
      <c r="E52" s="2972"/>
      <c r="F52" s="2972"/>
      <c r="G52" s="2972"/>
      <c r="H52" s="2972"/>
      <c r="I52" s="2972"/>
      <c r="J52" s="2972"/>
      <c r="K52" s="2972"/>
      <c r="L52" s="2972"/>
      <c r="M52" s="2972"/>
      <c r="N52" s="2972"/>
      <c r="O52" s="2972"/>
      <c r="P52" s="2972"/>
      <c r="Q52" s="2972"/>
      <c r="R52" s="2972"/>
    </row>
    <row r="53" spans="1:21" ht="14.25" hidden="1" outlineLevel="1">
      <c r="A53" s="2971" t="s">
        <v>3191</v>
      </c>
      <c r="B53" s="2968"/>
      <c r="C53" s="2972">
        <v>0</v>
      </c>
      <c r="D53" s="2972">
        <v>0</v>
      </c>
      <c r="E53" s="2972">
        <v>0</v>
      </c>
      <c r="F53" s="2972">
        <v>0</v>
      </c>
      <c r="G53" s="2972">
        <v>0</v>
      </c>
      <c r="H53" s="2972">
        <v>0</v>
      </c>
      <c r="I53" s="2972">
        <v>0</v>
      </c>
      <c r="J53" s="2972">
        <v>0</v>
      </c>
      <c r="K53" s="2972">
        <v>0</v>
      </c>
      <c r="L53" s="2972">
        <v>0</v>
      </c>
      <c r="M53" s="2972">
        <v>0</v>
      </c>
      <c r="N53" s="2972">
        <v>0</v>
      </c>
      <c r="O53" s="2972">
        <v>0</v>
      </c>
      <c r="P53" s="2972">
        <v>0</v>
      </c>
      <c r="Q53" s="2972">
        <v>0</v>
      </c>
      <c r="R53" s="2972">
        <v>0</v>
      </c>
    </row>
    <row r="54" spans="1:21" ht="14.25" hidden="1" outlineLevel="1">
      <c r="A54" s="2974" t="s">
        <v>3192</v>
      </c>
      <c r="B54" s="2968"/>
      <c r="C54" s="2972">
        <v>0</v>
      </c>
      <c r="D54" s="2972">
        <v>0</v>
      </c>
      <c r="E54" s="2972">
        <v>0</v>
      </c>
      <c r="F54" s="2972">
        <v>0</v>
      </c>
      <c r="G54" s="2972">
        <v>0</v>
      </c>
      <c r="H54" s="2972">
        <v>0</v>
      </c>
      <c r="I54" s="2972">
        <v>0</v>
      </c>
      <c r="J54" s="2972">
        <v>0</v>
      </c>
      <c r="K54" s="2972">
        <v>0</v>
      </c>
      <c r="L54" s="2972">
        <v>0</v>
      </c>
      <c r="M54" s="2972">
        <v>0</v>
      </c>
      <c r="N54" s="2972">
        <v>0</v>
      </c>
      <c r="O54" s="2972">
        <v>0</v>
      </c>
      <c r="P54" s="2972">
        <v>0</v>
      </c>
      <c r="Q54" s="2972">
        <v>0</v>
      </c>
      <c r="R54" s="2972">
        <v>0</v>
      </c>
    </row>
    <row r="55" spans="1:21" ht="14.25" hidden="1" outlineLevel="1">
      <c r="A55" s="2974" t="s">
        <v>3193</v>
      </c>
      <c r="B55" s="2968"/>
      <c r="C55" s="2972">
        <v>0</v>
      </c>
      <c r="D55" s="2972">
        <v>0</v>
      </c>
      <c r="E55" s="2972">
        <v>0</v>
      </c>
      <c r="F55" s="2972">
        <v>0</v>
      </c>
      <c r="G55" s="2972">
        <v>0</v>
      </c>
      <c r="H55" s="2972">
        <v>0</v>
      </c>
      <c r="I55" s="2972">
        <v>0</v>
      </c>
      <c r="J55" s="2972">
        <v>0</v>
      </c>
      <c r="K55" s="2972">
        <v>0</v>
      </c>
      <c r="L55" s="2972">
        <v>0</v>
      </c>
      <c r="M55" s="2972">
        <v>0</v>
      </c>
      <c r="N55" s="2972">
        <v>0</v>
      </c>
      <c r="O55" s="2972">
        <v>0</v>
      </c>
      <c r="P55" s="2972">
        <v>0</v>
      </c>
      <c r="Q55" s="2972">
        <v>0</v>
      </c>
      <c r="R55" s="2972">
        <v>0</v>
      </c>
    </row>
    <row r="56" spans="1:21" ht="14.25" hidden="1" outlineLevel="1">
      <c r="A56" s="2974" t="s">
        <v>3194</v>
      </c>
      <c r="B56" s="2968"/>
      <c r="C56" s="2972">
        <v>0</v>
      </c>
      <c r="D56" s="2972">
        <v>0</v>
      </c>
      <c r="E56" s="2972">
        <v>0</v>
      </c>
      <c r="F56" s="2972">
        <v>0</v>
      </c>
      <c r="G56" s="2972">
        <v>0</v>
      </c>
      <c r="H56" s="2972">
        <v>0</v>
      </c>
      <c r="I56" s="2972">
        <v>0</v>
      </c>
      <c r="J56" s="2972">
        <v>0</v>
      </c>
      <c r="K56" s="2972">
        <v>0</v>
      </c>
      <c r="L56" s="2972">
        <v>0</v>
      </c>
      <c r="M56" s="2972">
        <v>0</v>
      </c>
      <c r="N56" s="2972">
        <v>0</v>
      </c>
      <c r="O56" s="2972">
        <v>0</v>
      </c>
      <c r="P56" s="2972">
        <v>0</v>
      </c>
      <c r="Q56" s="2972">
        <v>0</v>
      </c>
      <c r="R56" s="2972">
        <v>0</v>
      </c>
    </row>
    <row r="57" spans="1:21" ht="14.25" collapsed="1">
      <c r="A57" s="2971" t="s">
        <v>3195</v>
      </c>
      <c r="B57" s="2968"/>
      <c r="C57" s="2972">
        <v>750000</v>
      </c>
      <c r="D57" s="2972">
        <v>750000</v>
      </c>
      <c r="E57" s="2972">
        <v>750000</v>
      </c>
      <c r="F57" s="2972">
        <v>750000</v>
      </c>
      <c r="G57" s="2972">
        <v>750000</v>
      </c>
      <c r="H57" s="2972">
        <v>750000</v>
      </c>
      <c r="I57" s="2972">
        <v>750000</v>
      </c>
      <c r="J57" s="2972">
        <v>750000</v>
      </c>
      <c r="K57" s="2972">
        <v>750000</v>
      </c>
      <c r="L57" s="2972">
        <v>750000</v>
      </c>
      <c r="M57" s="2972">
        <v>750000</v>
      </c>
      <c r="N57" s="2972">
        <v>750000</v>
      </c>
      <c r="O57" s="2972">
        <v>750000</v>
      </c>
      <c r="P57" s="2972">
        <v>750000</v>
      </c>
      <c r="Q57" s="2972">
        <v>750000</v>
      </c>
      <c r="R57" s="2972">
        <v>750000</v>
      </c>
    </row>
    <row r="58" spans="1:21" ht="14.25">
      <c r="A58" s="2967"/>
      <c r="B58" s="2968"/>
      <c r="C58" s="2977"/>
      <c r="D58" s="2977"/>
      <c r="E58" s="2977"/>
      <c r="F58" s="2977"/>
      <c r="G58" s="2977"/>
      <c r="H58" s="2977"/>
      <c r="I58" s="2977"/>
      <c r="J58" s="2977"/>
      <c r="K58" s="2977"/>
      <c r="L58" s="2977"/>
      <c r="M58" s="2977"/>
      <c r="N58" s="2977"/>
      <c r="O58" s="2977"/>
      <c r="P58" s="2977"/>
      <c r="Q58" s="2977"/>
      <c r="R58" s="2977"/>
    </row>
    <row r="59" spans="1:21" s="2978" customFormat="1" ht="14.25">
      <c r="A59" s="2967" t="s">
        <v>3196</v>
      </c>
      <c r="B59" s="2968"/>
      <c r="C59" s="2969">
        <f>SUM(C60,C64,C70)</f>
        <v>2967213.4252211303</v>
      </c>
      <c r="D59" s="2969">
        <f t="shared" ref="D59:M59" si="3">SUM(D60,D64,D70)</f>
        <v>3333732.5354362498</v>
      </c>
      <c r="E59" s="2969">
        <f t="shared" si="3"/>
        <v>3528100.6122067934</v>
      </c>
      <c r="F59" s="2969">
        <f t="shared" si="3"/>
        <v>3758172.8610518388</v>
      </c>
      <c r="G59" s="2969">
        <f t="shared" si="3"/>
        <v>3994612.5701183197</v>
      </c>
      <c r="H59" s="2969">
        <f t="shared" si="3"/>
        <v>5702985.0521645797</v>
      </c>
      <c r="I59" s="2969">
        <f t="shared" si="3"/>
        <v>8102600.4357313802</v>
      </c>
      <c r="J59" s="2969">
        <f t="shared" si="3"/>
        <v>8468541.3984606192</v>
      </c>
      <c r="K59" s="2969">
        <f t="shared" si="3"/>
        <v>8772595.1263245344</v>
      </c>
      <c r="L59" s="2969">
        <f t="shared" si="3"/>
        <v>9112062.17072789</v>
      </c>
      <c r="M59" s="2969">
        <f t="shared" si="3"/>
        <v>9353846.4653625097</v>
      </c>
      <c r="N59" s="2969">
        <f>SUM(N60,N64,N70)</f>
        <v>9654678.5557680335</v>
      </c>
      <c r="O59" s="2969">
        <f t="shared" ref="O59:R59" si="4">SUM(O60,O64,O70)</f>
        <v>9911656.9368537329</v>
      </c>
      <c r="P59" s="2969">
        <f t="shared" si="4"/>
        <v>10200993.884776939</v>
      </c>
      <c r="Q59" s="2969">
        <f t="shared" si="4"/>
        <v>10499010.941137839</v>
      </c>
      <c r="R59" s="2969">
        <f t="shared" si="4"/>
        <v>10832903.372391351</v>
      </c>
    </row>
    <row r="60" spans="1:21" s="2978" customFormat="1" ht="14.25">
      <c r="A60" s="2971" t="s">
        <v>3197</v>
      </c>
      <c r="B60" s="2968"/>
      <c r="C60" s="2972">
        <f>SUM(C61:C63)</f>
        <v>21486.832386671038</v>
      </c>
      <c r="D60" s="2972">
        <f t="shared" ref="D60:R60" si="5">SUM(D61:D63)</f>
        <v>24168.302640832964</v>
      </c>
      <c r="E60" s="2972">
        <f t="shared" si="5"/>
        <v>25584.636577366236</v>
      </c>
      <c r="F60" s="2972">
        <f t="shared" si="5"/>
        <v>27278.422828189781</v>
      </c>
      <c r="G60" s="2972">
        <f t="shared" si="5"/>
        <v>28519.960026054487</v>
      </c>
      <c r="H60" s="2972">
        <f t="shared" si="5"/>
        <v>1572881.9005307639</v>
      </c>
      <c r="I60" s="2972">
        <f t="shared" si="5"/>
        <v>3778400.1872847266</v>
      </c>
      <c r="J60" s="2972">
        <f t="shared" si="5"/>
        <v>3974076.0667622392</v>
      </c>
      <c r="K60" s="2972">
        <f t="shared" si="5"/>
        <v>4118855.9402823877</v>
      </c>
      <c r="L60" s="2972">
        <f t="shared" si="5"/>
        <v>4280498.4108360596</v>
      </c>
      <c r="M60" s="2972">
        <f t="shared" si="5"/>
        <v>4406579.5378679233</v>
      </c>
      <c r="N60" s="2972">
        <f t="shared" si="5"/>
        <v>4547838.3967058342</v>
      </c>
      <c r="O60" s="2972">
        <f t="shared" si="5"/>
        <v>4670202.5663788486</v>
      </c>
      <c r="P60" s="2972">
        <f t="shared" si="5"/>
        <v>4807974.8180769971</v>
      </c>
      <c r="Q60" s="2972">
        <f t="shared" si="5"/>
        <v>4949880.2373260893</v>
      </c>
      <c r="R60" s="2972">
        <f t="shared" si="5"/>
        <v>5108868.3274387047</v>
      </c>
      <c r="S60" s="2979">
        <v>4547838.3967058351</v>
      </c>
      <c r="T60" s="2979">
        <v>4670202.5663788486</v>
      </c>
      <c r="U60" s="2979">
        <v>4807974.8180769971</v>
      </c>
    </row>
    <row r="61" spans="1:21" s="2978" customFormat="1" ht="14.25" outlineLevel="1">
      <c r="A61" s="2980" t="s">
        <v>3198</v>
      </c>
      <c r="B61" s="2968"/>
      <c r="C61" s="2977"/>
      <c r="D61" s="2977"/>
      <c r="E61" s="2977"/>
      <c r="F61" s="2977"/>
      <c r="G61" s="2977"/>
      <c r="H61" s="2977">
        <v>1377808.7466981709</v>
      </c>
      <c r="I61" s="2977">
        <v>3345733.8723444878</v>
      </c>
      <c r="J61" s="2977">
        <v>3519017.144629084</v>
      </c>
      <c r="K61" s="2977">
        <v>3647228.809303904</v>
      </c>
      <c r="L61" s="2977">
        <v>3790373.3619820257</v>
      </c>
      <c r="M61" s="2977">
        <v>3902026.1130709616</v>
      </c>
      <c r="N61" s="2977">
        <v>4027119.6117176558</v>
      </c>
      <c r="O61" s="2977">
        <v>4135480.850322817</v>
      </c>
      <c r="P61" s="2977">
        <v>4257486.8260619771</v>
      </c>
      <c r="Q61" s="2977">
        <v>4383152.9810733115</v>
      </c>
      <c r="R61" s="2977">
        <v>4523946.8158738883</v>
      </c>
    </row>
    <row r="62" spans="1:21" s="2978" customFormat="1" ht="14.25" outlineLevel="1">
      <c r="A62" s="2980" t="s">
        <v>3199</v>
      </c>
      <c r="B62" s="2968" t="s">
        <v>3200</v>
      </c>
      <c r="C62" s="2977"/>
      <c r="D62" s="2977"/>
      <c r="E62" s="2977"/>
      <c r="F62" s="2977"/>
      <c r="G62" s="2977"/>
      <c r="H62" s="2977">
        <f>H61*12%</f>
        <v>165337.0496037805</v>
      </c>
      <c r="I62" s="2977">
        <f>I61*12%</f>
        <v>401488.0646813385</v>
      </c>
      <c r="J62" s="2977">
        <v>422282.05735549011</v>
      </c>
      <c r="K62" s="2977">
        <v>437667.45711646846</v>
      </c>
      <c r="L62" s="2977">
        <v>454844.80343784305</v>
      </c>
      <c r="M62" s="2977">
        <v>468243.13356851542</v>
      </c>
      <c r="N62" s="2977">
        <v>483254.35340611869</v>
      </c>
      <c r="O62" s="2977">
        <v>496257.70203873806</v>
      </c>
      <c r="P62" s="2977">
        <v>510898.41912743723</v>
      </c>
      <c r="Q62" s="2977">
        <v>525978.35772879748</v>
      </c>
      <c r="R62" s="2977">
        <v>542873.61790486658</v>
      </c>
    </row>
    <row r="63" spans="1:21" s="2978" customFormat="1" ht="14.25" outlineLevel="1">
      <c r="A63" s="2980" t="s">
        <v>3201</v>
      </c>
      <c r="B63" s="2968"/>
      <c r="C63" s="2977">
        <v>21486.832386671038</v>
      </c>
      <c r="D63" s="2977">
        <v>24168.302640832964</v>
      </c>
      <c r="E63" s="2977">
        <v>25584.636577366236</v>
      </c>
      <c r="F63" s="2977">
        <v>27278.422828189781</v>
      </c>
      <c r="G63" s="2977">
        <v>28519.960026054487</v>
      </c>
      <c r="H63" s="2977">
        <v>29736.104228812561</v>
      </c>
      <c r="I63" s="2977">
        <v>31178.250258900458</v>
      </c>
      <c r="J63" s="2977">
        <v>32776.864777665251</v>
      </c>
      <c r="K63" s="2977">
        <v>33959.673862015574</v>
      </c>
      <c r="L63" s="2977">
        <v>35280.245416190228</v>
      </c>
      <c r="M63" s="2977">
        <v>36310.291228446462</v>
      </c>
      <c r="N63" s="2977">
        <v>37464.431582059988</v>
      </c>
      <c r="O63" s="2977">
        <v>38464.014017293019</v>
      </c>
      <c r="P63" s="2977">
        <v>39589.572887582341</v>
      </c>
      <c r="Q63" s="2977">
        <v>40748.898523980337</v>
      </c>
      <c r="R63" s="2977">
        <v>42047.893659948866</v>
      </c>
    </row>
    <row r="64" spans="1:21" s="2978" customFormat="1" ht="14.25">
      <c r="A64" s="2971" t="s">
        <v>3202</v>
      </c>
      <c r="B64" s="2968"/>
      <c r="C64" s="2972">
        <f>SUM(C65:C69)</f>
        <v>340384.03357500001</v>
      </c>
      <c r="D64" s="2972">
        <f t="shared" ref="D64:M64" si="6">SUM(D65:D69)</f>
        <v>384715.51330679609</v>
      </c>
      <c r="E64" s="2972">
        <f t="shared" si="6"/>
        <v>408225.55002971063</v>
      </c>
      <c r="F64" s="2972">
        <f t="shared" si="6"/>
        <v>436052.12450606469</v>
      </c>
      <c r="G64" s="2972">
        <f t="shared" si="6"/>
        <v>456424.23984900268</v>
      </c>
      <c r="H64" s="2972">
        <f t="shared" si="6"/>
        <v>476347.03909281397</v>
      </c>
      <c r="I64" s="2972">
        <f t="shared" si="6"/>
        <v>499996.63047176565</v>
      </c>
      <c r="J64" s="2972">
        <f t="shared" si="6"/>
        <v>526225.41668575222</v>
      </c>
      <c r="K64" s="2972">
        <f t="shared" si="6"/>
        <v>545632.00047516823</v>
      </c>
      <c r="L64" s="2972">
        <f t="shared" si="6"/>
        <v>567298.8804941749</v>
      </c>
      <c r="M64" s="2972">
        <f t="shared" si="6"/>
        <v>584199.04690900014</v>
      </c>
      <c r="N64" s="2972">
        <f>SUM(N65:N69)</f>
        <v>603133.65374961344</v>
      </c>
      <c r="O64" s="2972">
        <f t="shared" ref="O64:R64" si="7">SUM(O65:O69)</f>
        <v>619535.60486575821</v>
      </c>
      <c r="P64" s="2972">
        <f t="shared" si="7"/>
        <v>638002.87301173108</v>
      </c>
      <c r="Q64" s="2972">
        <f t="shared" si="7"/>
        <v>657024.15920208313</v>
      </c>
      <c r="R64" s="2972">
        <f t="shared" si="7"/>
        <v>678335.22601507942</v>
      </c>
      <c r="S64" s="2979">
        <v>603133.65374961332</v>
      </c>
      <c r="T64" s="2979">
        <v>619535.60486575821</v>
      </c>
      <c r="U64" s="2979">
        <v>638002.87301173108</v>
      </c>
    </row>
    <row r="65" spans="1:23" s="2978" customFormat="1" ht="14.25" outlineLevel="1">
      <c r="A65" s="2974" t="s">
        <v>3203</v>
      </c>
      <c r="B65" s="2968"/>
      <c r="C65" s="2977">
        <v>113461.34452500001</v>
      </c>
      <c r="D65" s="2977">
        <v>128238.5044355987</v>
      </c>
      <c r="E65" s="2977">
        <v>136075.18334323689</v>
      </c>
      <c r="F65" s="2977">
        <v>145350.70816868823</v>
      </c>
      <c r="G65" s="2977">
        <v>152141.4132830009</v>
      </c>
      <c r="H65" s="2977">
        <v>158782.34636427133</v>
      </c>
      <c r="I65" s="2977">
        <v>166665.54349058855</v>
      </c>
      <c r="J65" s="2977">
        <v>175408.47222858408</v>
      </c>
      <c r="K65" s="2977">
        <v>181877.33349172273</v>
      </c>
      <c r="L65" s="2977">
        <v>189099.62683139162</v>
      </c>
      <c r="M65" s="2977">
        <v>194733.01563633338</v>
      </c>
      <c r="N65" s="2977">
        <v>201044.55124987115</v>
      </c>
      <c r="O65" s="2977">
        <v>206511.86828858609</v>
      </c>
      <c r="P65" s="2977">
        <v>212667.62433724367</v>
      </c>
      <c r="Q65" s="2977">
        <v>219008.05306736103</v>
      </c>
      <c r="R65" s="2977">
        <v>226111.74200502646</v>
      </c>
    </row>
    <row r="66" spans="1:23" s="2978" customFormat="1" ht="14.25" outlineLevel="1">
      <c r="A66" s="2974" t="s">
        <v>3204</v>
      </c>
      <c r="B66" s="2968"/>
      <c r="C66" s="2977">
        <v>113461.34452500001</v>
      </c>
      <c r="D66" s="2977">
        <v>128238.5044355987</v>
      </c>
      <c r="E66" s="2977">
        <v>136075.18334323689</v>
      </c>
      <c r="F66" s="2977">
        <v>145350.70816868823</v>
      </c>
      <c r="G66" s="2977">
        <v>152141.4132830009</v>
      </c>
      <c r="H66" s="2977">
        <v>158782.34636427133</v>
      </c>
      <c r="I66" s="2977">
        <v>166665.54349058855</v>
      </c>
      <c r="J66" s="2977">
        <v>175408.47222858408</v>
      </c>
      <c r="K66" s="2977">
        <v>181877.33349172273</v>
      </c>
      <c r="L66" s="2977">
        <v>189099.62683139162</v>
      </c>
      <c r="M66" s="2977">
        <v>194733.01563633338</v>
      </c>
      <c r="N66" s="2977">
        <v>201044.55124987115</v>
      </c>
      <c r="O66" s="2977">
        <v>206511.86828858609</v>
      </c>
      <c r="P66" s="2977">
        <v>212667.62433724367</v>
      </c>
      <c r="Q66" s="2977">
        <v>219008.05306736103</v>
      </c>
      <c r="R66" s="2977">
        <v>226111.74200502646</v>
      </c>
    </row>
    <row r="67" spans="1:23" s="2978" customFormat="1" ht="14.25" outlineLevel="1">
      <c r="A67" s="2974" t="s">
        <v>3205</v>
      </c>
      <c r="B67" s="2968"/>
      <c r="C67" s="2977">
        <v>0</v>
      </c>
      <c r="D67" s="2977">
        <v>0</v>
      </c>
      <c r="E67" s="2977">
        <v>0</v>
      </c>
      <c r="F67" s="2977">
        <v>0</v>
      </c>
      <c r="G67" s="2977">
        <v>0</v>
      </c>
      <c r="H67" s="2977">
        <v>0</v>
      </c>
      <c r="I67" s="2977">
        <v>0</v>
      </c>
      <c r="J67" s="2977">
        <v>0</v>
      </c>
      <c r="K67" s="2977">
        <v>0</v>
      </c>
      <c r="L67" s="2977">
        <v>0</v>
      </c>
      <c r="M67" s="2977">
        <v>0</v>
      </c>
      <c r="N67" s="2977">
        <v>0</v>
      </c>
      <c r="O67" s="2977">
        <v>0</v>
      </c>
      <c r="P67" s="2977">
        <v>0</v>
      </c>
      <c r="Q67" s="2977">
        <v>0</v>
      </c>
      <c r="R67" s="2977">
        <v>0</v>
      </c>
    </row>
    <row r="68" spans="1:23" s="2978" customFormat="1" ht="14.25" outlineLevel="1">
      <c r="A68" s="2974" t="s">
        <v>3206</v>
      </c>
      <c r="B68" s="2968"/>
      <c r="C68" s="2977">
        <v>113461.34452500001</v>
      </c>
      <c r="D68" s="2977">
        <v>128238.5044355987</v>
      </c>
      <c r="E68" s="2977">
        <v>136075.18334323689</v>
      </c>
      <c r="F68" s="2977">
        <v>145350.70816868823</v>
      </c>
      <c r="G68" s="2977">
        <v>152141.4132830009</v>
      </c>
      <c r="H68" s="2977">
        <v>158782.34636427133</v>
      </c>
      <c r="I68" s="2977">
        <v>166665.54349058855</v>
      </c>
      <c r="J68" s="2977">
        <v>175408.47222858408</v>
      </c>
      <c r="K68" s="2977">
        <v>181877.33349172273</v>
      </c>
      <c r="L68" s="2977">
        <v>189099.62683139162</v>
      </c>
      <c r="M68" s="2977">
        <v>194733.01563633338</v>
      </c>
      <c r="N68" s="2977">
        <v>201044.55124987115</v>
      </c>
      <c r="O68" s="2977">
        <v>206511.86828858609</v>
      </c>
      <c r="P68" s="2977">
        <v>212667.62433724367</v>
      </c>
      <c r="Q68" s="2977">
        <v>219008.05306736103</v>
      </c>
      <c r="R68" s="2977">
        <v>226111.74200502646</v>
      </c>
    </row>
    <row r="69" spans="1:23" s="2978" customFormat="1" ht="14.25" outlineLevel="1">
      <c r="A69" s="2974" t="s">
        <v>3207</v>
      </c>
      <c r="B69" s="2968"/>
      <c r="C69" s="2977">
        <v>0</v>
      </c>
      <c r="D69" s="2977">
        <v>0</v>
      </c>
      <c r="E69" s="2977">
        <v>0</v>
      </c>
      <c r="F69" s="2977">
        <v>0</v>
      </c>
      <c r="G69" s="2977">
        <v>0</v>
      </c>
      <c r="H69" s="2977">
        <v>0</v>
      </c>
      <c r="I69" s="2977">
        <v>0</v>
      </c>
      <c r="J69" s="2977">
        <v>0</v>
      </c>
      <c r="K69" s="2977">
        <v>0</v>
      </c>
      <c r="L69" s="2977">
        <v>0</v>
      </c>
      <c r="M69" s="2977">
        <v>0</v>
      </c>
      <c r="N69" s="2977">
        <v>0</v>
      </c>
      <c r="O69" s="2977">
        <v>0</v>
      </c>
      <c r="P69" s="2977">
        <v>0</v>
      </c>
      <c r="Q69" s="2977">
        <v>0</v>
      </c>
      <c r="R69" s="2977">
        <v>0</v>
      </c>
    </row>
    <row r="70" spans="1:23" s="2978" customFormat="1" ht="14.25">
      <c r="A70" s="2971" t="s">
        <v>3208</v>
      </c>
      <c r="B70" s="2968"/>
      <c r="C70" s="2972">
        <f>SUM(C71:C74)</f>
        <v>2605342.5592594594</v>
      </c>
      <c r="D70" s="2972">
        <f t="shared" ref="D70:O70" si="8">SUM(D71:D74)</f>
        <v>2924848.7194886208</v>
      </c>
      <c r="E70" s="2972">
        <f t="shared" si="8"/>
        <v>3094290.4255997166</v>
      </c>
      <c r="F70" s="2972">
        <f t="shared" si="8"/>
        <v>3294842.3137175841</v>
      </c>
      <c r="G70" s="2972">
        <f t="shared" si="8"/>
        <v>3509668.3702432625</v>
      </c>
      <c r="H70" s="2972">
        <f t="shared" si="8"/>
        <v>3653756.1125410018</v>
      </c>
      <c r="I70" s="2972">
        <f t="shared" si="8"/>
        <v>3824203.6179748876</v>
      </c>
      <c r="J70" s="2972">
        <f t="shared" si="8"/>
        <v>3968239.9150126288</v>
      </c>
      <c r="K70" s="2972">
        <f t="shared" si="8"/>
        <v>4108107.1855669785</v>
      </c>
      <c r="L70" s="2972">
        <f t="shared" si="8"/>
        <v>4264264.8793976568</v>
      </c>
      <c r="M70" s="2972">
        <f t="shared" si="8"/>
        <v>4363067.8805855867</v>
      </c>
      <c r="N70" s="2972">
        <f t="shared" si="8"/>
        <v>4503706.5053125862</v>
      </c>
      <c r="O70" s="2972">
        <f t="shared" si="8"/>
        <v>4621918.7656091265</v>
      </c>
      <c r="P70" s="2972">
        <f>SUM(P71:P74)</f>
        <v>4755016.1936882101</v>
      </c>
      <c r="Q70" s="2972">
        <f t="shared" ref="Q70:R70" si="9">SUM(Q71:Q74)</f>
        <v>4892106.5446096659</v>
      </c>
      <c r="R70" s="2972">
        <f t="shared" si="9"/>
        <v>5045699.8189375671</v>
      </c>
      <c r="S70" s="2979">
        <v>4503706.5053125871</v>
      </c>
      <c r="T70" s="2979">
        <v>4621918.7656091265</v>
      </c>
      <c r="U70" s="2979">
        <v>4755016.1936882101</v>
      </c>
    </row>
    <row r="71" spans="1:23" s="2978" customFormat="1" ht="14.25" outlineLevel="1">
      <c r="A71" s="2974" t="s">
        <v>3209</v>
      </c>
      <c r="B71" s="2981" t="s">
        <v>3210</v>
      </c>
      <c r="C71" s="2972">
        <v>76318</v>
      </c>
      <c r="D71" s="2972">
        <v>76318</v>
      </c>
      <c r="E71" s="2972">
        <v>76318</v>
      </c>
      <c r="F71" s="2972">
        <v>76318</v>
      </c>
      <c r="G71" s="2972">
        <v>144318.00000000003</v>
      </c>
      <c r="H71" s="2972">
        <v>144818.00000000003</v>
      </c>
      <c r="I71" s="2972">
        <v>144818.00000000003</v>
      </c>
      <c r="J71" s="2972">
        <v>99818</v>
      </c>
      <c r="K71" s="2972">
        <v>99818</v>
      </c>
      <c r="L71" s="2972">
        <v>99818</v>
      </c>
      <c r="M71" s="2972">
        <v>76818</v>
      </c>
      <c r="N71" s="2972">
        <v>80990.989839697606</v>
      </c>
      <c r="O71" s="2972">
        <v>80990.989839697606</v>
      </c>
      <c r="P71" s="2972">
        <v>80990.989839697606</v>
      </c>
      <c r="Q71" s="2972">
        <v>80990.989839697606</v>
      </c>
      <c r="R71" s="2972">
        <v>80990.989839697606</v>
      </c>
    </row>
    <row r="72" spans="1:23" s="2978" customFormat="1" ht="14.25" outlineLevel="1">
      <c r="A72" s="2974" t="s">
        <v>3211</v>
      </c>
      <c r="B72" s="2982" t="s">
        <v>3212</v>
      </c>
      <c r="C72" s="2972">
        <v>86941.379799999995</v>
      </c>
      <c r="D72" s="2972">
        <v>86941.379799999995</v>
      </c>
      <c r="E72" s="2972">
        <v>86941.379799999995</v>
      </c>
      <c r="F72" s="2972">
        <v>86941.379799999995</v>
      </c>
      <c r="G72" s="2972">
        <v>86941.379799999995</v>
      </c>
      <c r="H72" s="2972">
        <v>86941.379799999995</v>
      </c>
      <c r="I72" s="2972">
        <v>86941.379799999995</v>
      </c>
      <c r="J72" s="2972">
        <v>86941.379799999995</v>
      </c>
      <c r="K72" s="2972">
        <v>86941.379799999995</v>
      </c>
      <c r="L72" s="2972">
        <v>86941.379799999995</v>
      </c>
      <c r="M72" s="2972">
        <v>86941.379799999995</v>
      </c>
      <c r="N72" s="2972">
        <v>86941.379799999995</v>
      </c>
      <c r="O72" s="2972">
        <v>86941.379799999995</v>
      </c>
      <c r="P72" s="2972">
        <v>86941.379799999995</v>
      </c>
      <c r="Q72" s="2972">
        <v>86941.379799999995</v>
      </c>
      <c r="R72" s="2972">
        <v>86941.379799999995</v>
      </c>
    </row>
    <row r="73" spans="1:23" s="2978" customFormat="1" ht="14.25" outlineLevel="1">
      <c r="A73" s="2974" t="s">
        <v>3213</v>
      </c>
      <c r="B73" s="2981">
        <v>0.12</v>
      </c>
      <c r="C73" s="2972">
        <v>2424677.7194594597</v>
      </c>
      <c r="D73" s="2972">
        <v>2744183.8796886206</v>
      </c>
      <c r="E73" s="2972">
        <v>2913625.5857997164</v>
      </c>
      <c r="F73" s="2972">
        <v>3114177.4739175839</v>
      </c>
      <c r="G73" s="2972">
        <v>3261003.5304432623</v>
      </c>
      <c r="H73" s="2972">
        <v>3404591.2727410016</v>
      </c>
      <c r="I73" s="2972">
        <v>3575038.7781748874</v>
      </c>
      <c r="J73" s="2972">
        <v>3764075.0752126286</v>
      </c>
      <c r="K73" s="2972">
        <v>3903942.3457669783</v>
      </c>
      <c r="L73" s="2972">
        <v>4060100.0395976566</v>
      </c>
      <c r="M73" s="2972">
        <v>4181903.0407855865</v>
      </c>
      <c r="N73" s="2972">
        <v>4318368.6756728888</v>
      </c>
      <c r="O73" s="2972">
        <v>4436580.9359694291</v>
      </c>
      <c r="P73" s="2972">
        <v>4569678.3640485127</v>
      </c>
      <c r="Q73" s="2972">
        <v>4706768.7149699684</v>
      </c>
      <c r="R73" s="2972">
        <v>4860361.9892978696</v>
      </c>
    </row>
    <row r="74" spans="1:23" s="2978" customFormat="1" ht="14.25" outlineLevel="1">
      <c r="A74" s="2974" t="s">
        <v>3214</v>
      </c>
      <c r="B74" s="2968">
        <v>18</v>
      </c>
      <c r="C74" s="2972">
        <v>17405.46</v>
      </c>
      <c r="D74" s="2972">
        <v>17405.46</v>
      </c>
      <c r="E74" s="2972">
        <v>17405.46</v>
      </c>
      <c r="F74" s="2972">
        <v>17405.46</v>
      </c>
      <c r="G74" s="2972">
        <v>17405.46</v>
      </c>
      <c r="H74" s="2972">
        <v>17405.46</v>
      </c>
      <c r="I74" s="2972">
        <v>17405.46</v>
      </c>
      <c r="J74" s="2972">
        <v>17405.46</v>
      </c>
      <c r="K74" s="2972">
        <v>17405.46</v>
      </c>
      <c r="L74" s="2972">
        <v>17405.46</v>
      </c>
      <c r="M74" s="2972">
        <v>17405.46</v>
      </c>
      <c r="N74" s="2972">
        <v>17405.46</v>
      </c>
      <c r="O74" s="2972">
        <v>17405.46</v>
      </c>
      <c r="P74" s="2972">
        <v>17405.46</v>
      </c>
      <c r="Q74" s="2972">
        <v>17405.46</v>
      </c>
      <c r="R74" s="2972">
        <v>17405.46</v>
      </c>
    </row>
    <row r="75" spans="1:23" ht="14.25">
      <c r="A75" s="2971"/>
      <c r="B75" s="2983"/>
      <c r="C75" s="2977"/>
      <c r="D75" s="2977"/>
      <c r="E75" s="2977"/>
      <c r="F75" s="2977"/>
      <c r="G75" s="2977"/>
      <c r="H75" s="2977"/>
      <c r="I75" s="2977"/>
      <c r="J75" s="2977"/>
      <c r="K75" s="2977"/>
      <c r="L75" s="2977"/>
      <c r="M75" s="2977"/>
      <c r="N75" s="2977"/>
      <c r="O75" s="2977"/>
      <c r="P75" s="2977"/>
      <c r="Q75" s="2977"/>
      <c r="R75" s="2977"/>
    </row>
    <row r="76" spans="1:23" ht="14.25">
      <c r="A76" s="2967" t="s">
        <v>3215</v>
      </c>
      <c r="B76" s="2983"/>
      <c r="C76" s="2984">
        <f>C6-C59</f>
        <v>20475055.479778871</v>
      </c>
      <c r="D76" s="2984">
        <f t="shared" ref="D76:R76" si="10">D6-D59</f>
        <v>23063968.35168349</v>
      </c>
      <c r="E76" s="2984">
        <f t="shared" si="10"/>
        <v>24436936.056440581</v>
      </c>
      <c r="F76" s="2984">
        <f t="shared" si="10"/>
        <v>26061968.772685807</v>
      </c>
      <c r="G76" s="2984">
        <f t="shared" si="10"/>
        <v>27183670.086481862</v>
      </c>
      <c r="H76" s="2984">
        <f t="shared" si="10"/>
        <v>26803484.220689688</v>
      </c>
      <c r="I76" s="2984">
        <f t="shared" si="10"/>
        <v>25980508.262386329</v>
      </c>
      <c r="J76" s="2984">
        <f t="shared" si="10"/>
        <v>27363153.047256194</v>
      </c>
      <c r="K76" s="2984">
        <f t="shared" si="10"/>
        <v>28352871.572020009</v>
      </c>
      <c r="L76" s="2984">
        <f t="shared" si="10"/>
        <v>29457863.195550431</v>
      </c>
      <c r="M76" s="2984">
        <f t="shared" si="10"/>
        <v>30342756.661904164</v>
      </c>
      <c r="N76" s="2984">
        <f>N6-N59</f>
        <v>31304231.694206186</v>
      </c>
      <c r="O76" s="2984">
        <f t="shared" ref="O76" si="11">O6-O59</f>
        <v>32140716.72086348</v>
      </c>
      <c r="P76" s="2984">
        <f t="shared" si="10"/>
        <v>33082530.982671794</v>
      </c>
      <c r="Q76" s="2984">
        <f t="shared" si="10"/>
        <v>34052599.672334373</v>
      </c>
      <c r="R76" s="2984">
        <f t="shared" si="10"/>
        <v>35139445.028613947</v>
      </c>
      <c r="S76" s="2970">
        <v>31304231.694206193</v>
      </c>
      <c r="T76" s="2970">
        <v>32140716.72086348</v>
      </c>
      <c r="U76" s="2970">
        <v>33082530.982671801</v>
      </c>
      <c r="V76" s="2970">
        <v>34052599.672334366</v>
      </c>
      <c r="W76" s="2970">
        <v>35139445.02861394</v>
      </c>
    </row>
    <row r="77" spans="1:23" ht="14.25">
      <c r="A77" s="2985"/>
      <c r="B77" s="2983"/>
      <c r="C77" s="2986"/>
      <c r="D77" s="2986"/>
      <c r="E77" s="2986"/>
      <c r="F77" s="2986"/>
      <c r="G77" s="2986"/>
      <c r="H77" s="2986"/>
      <c r="I77" s="2986"/>
      <c r="J77" s="2986"/>
      <c r="K77" s="2986"/>
      <c r="L77" s="2986"/>
      <c r="M77" s="2986"/>
      <c r="N77" s="2986"/>
      <c r="O77" s="2986"/>
      <c r="P77" s="2986"/>
      <c r="Q77" s="2986"/>
      <c r="R77" s="2986"/>
    </row>
    <row r="79" spans="1:23">
      <c r="A79" s="2987" t="s">
        <v>3216</v>
      </c>
      <c r="B79" s="2988">
        <v>0.06</v>
      </c>
    </row>
    <row r="80" spans="1:23">
      <c r="A80" s="2987" t="s">
        <v>3217</v>
      </c>
      <c r="B80" s="2988"/>
      <c r="D80" s="2957">
        <v>0.5</v>
      </c>
      <c r="E80" s="2957">
        <v>1</v>
      </c>
      <c r="F80" s="2957">
        <v>1</v>
      </c>
      <c r="G80" s="2957">
        <v>1</v>
      </c>
      <c r="H80" s="2957">
        <v>1</v>
      </c>
      <c r="I80" s="2957">
        <v>1</v>
      </c>
      <c r="J80" s="2957">
        <v>1</v>
      </c>
      <c r="K80" s="2957">
        <v>1</v>
      </c>
      <c r="L80" s="2957">
        <v>1</v>
      </c>
      <c r="M80" s="2957">
        <v>1</v>
      </c>
      <c r="N80" s="2957">
        <v>1</v>
      </c>
      <c r="O80" s="2957">
        <v>1</v>
      </c>
      <c r="P80" s="2957">
        <v>1</v>
      </c>
      <c r="Q80" s="2957">
        <v>1</v>
      </c>
      <c r="R80" s="2957">
        <v>1</v>
      </c>
    </row>
    <row r="81" spans="4:18">
      <c r="D81" s="2989">
        <f>D76/10000/(1+$B$79)^SUM($D$80:D80)</f>
        <v>2240.1706389845549</v>
      </c>
      <c r="E81" s="2989">
        <f>E76/10000/(1+$B$79)^SUM($D$80:E80)</f>
        <v>2239.1745765046426</v>
      </c>
      <c r="F81" s="2989">
        <f>F76/10000/(1+$B$79)^SUM($D$80:F80)</f>
        <v>2252.9033298421341</v>
      </c>
      <c r="G81" s="2989">
        <f>G76/10000/(1+$B$79)^SUM($D$80:G80)</f>
        <v>2216.8564017598333</v>
      </c>
      <c r="H81" s="2989">
        <f>H76/10000/(1+$B$79)^SUM($D$80:H80)</f>
        <v>2062.1243880341308</v>
      </c>
      <c r="I81" s="2989">
        <f>I76/10000/(1+$B$79)^SUM($D$80:I80)</f>
        <v>1885.6686641252197</v>
      </c>
      <c r="J81" s="2989">
        <f>J76/10000/(1+$B$79)^SUM($D$80:J80)</f>
        <v>1873.6049077301116</v>
      </c>
      <c r="K81" s="2989">
        <f>K76/10000/(1+$B$79)^SUM($D$80:K80)</f>
        <v>1831.4837141949563</v>
      </c>
      <c r="L81" s="2989">
        <f>L76/10000/(1+$B$79)^SUM($D$80:L80)</f>
        <v>1795.1526569127118</v>
      </c>
      <c r="M81" s="2989">
        <f>M76/10000/(1+$B$79)^SUM($D$80:M80)</f>
        <v>1744.4129986709845</v>
      </c>
      <c r="N81" s="2989">
        <f>N76/10000/(1+$B$79)^SUM($D$80:N80)</f>
        <v>1697.8192916815171</v>
      </c>
      <c r="O81" s="2989">
        <f>O76/10000/(1+$B$79)^SUM($D$80:O80)</f>
        <v>1644.5160125064106</v>
      </c>
      <c r="P81" s="2989">
        <f>P76/10000/(1+$B$79)^SUM($D$80:P80)</f>
        <v>1596.8915105567953</v>
      </c>
      <c r="Q81" s="2989">
        <f>Q76/10000/(1+$B$79)^SUM($D$80:Q80)</f>
        <v>1550.6760942813371</v>
      </c>
      <c r="R81" s="2989">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0" customWidth="1"/>
    <col min="2" max="9" width="12.125" style="1940" customWidth="1"/>
    <col min="10" max="16384" width="8.875" style="1940"/>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1642</v>
      </c>
      <c r="B2" s="3046" t="s">
        <v>1643</v>
      </c>
      <c r="C2" s="3046" t="s">
        <v>1644</v>
      </c>
      <c r="D2" s="3046" t="str">
        <f>结果表!D116</f>
        <v>出让国有建设用地使用权价值</v>
      </c>
      <c r="E2" s="3046"/>
      <c r="F2" s="3046" t="str">
        <f>结果表!F116</f>
        <v>建筑物价值</v>
      </c>
      <c r="G2" s="3046"/>
      <c r="H2" s="3046" t="str">
        <f>IF(项目基本情况!B9="房地产市场价值","房地产市场价值","房地产价值")</f>
        <v>房地产价值</v>
      </c>
      <c r="I2" s="3046"/>
    </row>
    <row r="3" spans="1:9" ht="15">
      <c r="A3" s="3047"/>
      <c r="B3" s="3047"/>
      <c r="C3" s="3047"/>
      <c r="D3" s="1039" t="s">
        <v>1639</v>
      </c>
      <c r="E3" s="1039" t="s">
        <v>1645</v>
      </c>
      <c r="F3" s="1039" t="s">
        <v>1639</v>
      </c>
      <c r="G3" s="1039" t="s">
        <v>1640</v>
      </c>
      <c r="H3" s="1039" t="s">
        <v>1639</v>
      </c>
      <c r="I3" s="1039" t="s">
        <v>1640</v>
      </c>
    </row>
    <row r="4" spans="1:9" ht="30">
      <c r="A4" s="1968" t="str">
        <f>项目基本情况!S2</f>
        <v>北京市海淀区西四环北路160号房地产</v>
      </c>
      <c r="B4" s="1039">
        <f>项目基本情况!C17</f>
        <v>11628.210000000001</v>
      </c>
      <c r="C4" s="1039">
        <f>项目基本情况!C18</f>
        <v>0</v>
      </c>
      <c r="D4" s="1039">
        <f ca="1">结果表!D118</f>
        <v>43077</v>
      </c>
      <c r="E4" s="1039">
        <f ca="1">结果表!E118</f>
        <v>37045</v>
      </c>
      <c r="F4" s="1039">
        <f ca="1">结果表!F118</f>
        <v>0</v>
      </c>
      <c r="G4" s="1039">
        <f ca="1">结果表!G118</f>
        <v>0</v>
      </c>
      <c r="H4" s="1039">
        <f ca="1">结果表!H118</f>
        <v>43077</v>
      </c>
      <c r="I4" s="1039">
        <f ca="1">结果表!I118</f>
        <v>37045</v>
      </c>
    </row>
    <row r="5" spans="1:9" ht="30" customHeight="1">
      <c r="A5" s="3047" t="s">
        <v>1641</v>
      </c>
      <c r="B5" s="3047"/>
      <c r="C5" s="3047"/>
      <c r="D5" s="3048" t="str">
        <f ca="1">结果表!D119</f>
        <v>肆亿叁仟零柒拾柒万元整</v>
      </c>
      <c r="E5" s="3048"/>
      <c r="F5" s="3048" t="str">
        <f ca="1">结果表!F119</f>
        <v>零元整</v>
      </c>
      <c r="G5" s="3048"/>
      <c r="H5" s="3048" t="str">
        <f ca="1">结果表!H119</f>
        <v>肆亿叁仟零柒拾柒万元整</v>
      </c>
      <c r="I5" s="3048"/>
    </row>
    <row r="6" spans="1:9" ht="15.75">
      <c r="A6" s="3049" t="str">
        <f>结果表!A120</f>
        <v>估价师知悉的法定优先受偿款</v>
      </c>
      <c r="B6" s="3049"/>
      <c r="C6" s="3049"/>
      <c r="D6" s="3049">
        <f>结果表!D120</f>
        <v>0</v>
      </c>
      <c r="E6" s="3049"/>
      <c r="F6" s="3049"/>
      <c r="G6" s="3049"/>
      <c r="H6" s="3049"/>
      <c r="I6" s="3049"/>
    </row>
    <row r="7" spans="1:9" ht="15">
      <c r="A7" s="3047" t="s">
        <v>1641</v>
      </c>
      <c r="B7" s="3047"/>
      <c r="C7" s="3047"/>
      <c r="D7" s="3050" t="str">
        <f>结果表!D121</f>
        <v>零元整</v>
      </c>
      <c r="E7" s="3051"/>
      <c r="F7" s="3051"/>
      <c r="G7" s="3051"/>
      <c r="H7" s="3051"/>
      <c r="I7" s="3052"/>
    </row>
    <row r="8" spans="1:9" ht="15.75">
      <c r="A8" s="3049" t="str">
        <f>结果表!A122</f>
        <v>房地产抵押价值</v>
      </c>
      <c r="B8" s="3049"/>
      <c r="C8" s="3049"/>
      <c r="D8" s="3049">
        <f ca="1">结果表!D122</f>
        <v>43077</v>
      </c>
      <c r="E8" s="3049"/>
      <c r="F8" s="3049"/>
      <c r="G8" s="3049"/>
      <c r="H8" s="3049"/>
      <c r="I8" s="3049"/>
    </row>
    <row r="9" spans="1:9" ht="15">
      <c r="A9" s="3047" t="s">
        <v>1641</v>
      </c>
      <c r="B9" s="3047"/>
      <c r="C9" s="3047"/>
      <c r="D9" s="3048" t="str">
        <f ca="1">结果表!D123</f>
        <v>肆亿叁仟零柒拾柒万元整</v>
      </c>
      <c r="E9" s="3048"/>
      <c r="F9" s="3048"/>
      <c r="G9" s="3048"/>
      <c r="H9" s="3048"/>
      <c r="I9" s="3048"/>
    </row>
    <row r="10" spans="1:9" ht="15.75">
      <c r="A10" s="3049" t="str">
        <f>结果表!A124</f>
        <v/>
      </c>
      <c r="B10" s="3049"/>
      <c r="C10" s="3049"/>
      <c r="D10" s="3049" t="str">
        <f>结果表!D124</f>
        <v>——</v>
      </c>
      <c r="E10" s="3049"/>
      <c r="F10" s="3049"/>
      <c r="G10" s="3049"/>
      <c r="H10" s="3049"/>
      <c r="I10" s="3049"/>
    </row>
    <row r="11" spans="1:9" ht="15">
      <c r="A11" s="3047" t="s">
        <v>1641</v>
      </c>
      <c r="B11" s="3047"/>
      <c r="C11" s="3047"/>
      <c r="D11" s="3048" t="e">
        <f>结果表!D125</f>
        <v>#VALUE!</v>
      </c>
      <c r="E11" s="3048"/>
      <c r="F11" s="3048"/>
      <c r="G11" s="3048"/>
      <c r="H11" s="3048"/>
      <c r="I11" s="3048"/>
    </row>
    <row r="12" spans="1:9" ht="15.75">
      <c r="A12" s="3049" t="str">
        <f>结果表!A126</f>
        <v/>
      </c>
      <c r="B12" s="3049"/>
      <c r="C12" s="3049"/>
      <c r="D12" s="3049" t="str">
        <f>结果表!D126</f>
        <v>——</v>
      </c>
      <c r="E12" s="3049"/>
      <c r="F12" s="3049"/>
      <c r="G12" s="3049"/>
      <c r="H12" s="3049"/>
      <c r="I12" s="3049"/>
    </row>
    <row r="13" spans="1:9" ht="15.75" thickBot="1">
      <c r="A13" s="3053" t="s">
        <v>1641</v>
      </c>
      <c r="B13" s="3053"/>
      <c r="C13" s="3053"/>
      <c r="D13" s="3054" t="e">
        <f>结果表!D127</f>
        <v>#VALUE!</v>
      </c>
      <c r="E13" s="3054"/>
      <c r="F13" s="3054"/>
      <c r="G13" s="3054"/>
      <c r="H13" s="3054"/>
      <c r="I13" s="3054"/>
    </row>
    <row r="14" spans="1:9" ht="15" thickTop="1">
      <c r="A14" s="3055" t="s">
        <v>1646</v>
      </c>
      <c r="B14" s="3055"/>
      <c r="C14" s="3055"/>
      <c r="D14" s="3055"/>
      <c r="E14" s="3055"/>
      <c r="F14" s="3055"/>
      <c r="G14" s="3055"/>
      <c r="H14" s="3055"/>
      <c r="I14" s="3055"/>
    </row>
    <row r="16" spans="1:9" ht="18.75">
      <c r="A16" s="1969" t="s">
        <v>1629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2995" customWidth="1"/>
    <col min="2" max="2" width="6.625" style="2995" customWidth="1"/>
    <col min="3" max="3" width="13.5" style="2995" customWidth="1"/>
    <col min="4" max="4" width="36.125" style="2995" customWidth="1"/>
    <col min="5" max="6" width="11.5" style="2995" customWidth="1"/>
    <col min="7" max="7" width="6" style="2995" customWidth="1"/>
    <col min="8" max="8" width="16.875" style="3005" customWidth="1"/>
    <col min="9" max="9" width="10.125" style="2991" bestFit="1" customWidth="1"/>
    <col min="10" max="34" width="8.875" style="2991"/>
  </cols>
  <sheetData>
    <row r="1" spans="1:34" ht="21" customHeight="1">
      <c r="A1" s="3371" t="s">
        <v>3218</v>
      </c>
      <c r="B1" s="3371" t="s">
        <v>3219</v>
      </c>
      <c r="C1" s="3371" t="s">
        <v>3228</v>
      </c>
      <c r="D1" s="3371" t="s">
        <v>3220</v>
      </c>
      <c r="E1" s="3368" t="s">
        <v>3221</v>
      </c>
      <c r="F1" s="3368"/>
      <c r="G1" s="3368" t="s">
        <v>1354</v>
      </c>
      <c r="H1" s="3369" t="s">
        <v>3646</v>
      </c>
      <c r="I1" s="2993"/>
    </row>
    <row r="2" spans="1:34" ht="21" customHeight="1">
      <c r="A2" s="3371"/>
      <c r="B2" s="3371"/>
      <c r="C2" s="3371"/>
      <c r="D2" s="3371"/>
      <c r="E2" s="3004" t="s">
        <v>3222</v>
      </c>
      <c r="F2" s="3004" t="s">
        <v>3223</v>
      </c>
      <c r="G2" s="3368"/>
      <c r="H2" s="3369"/>
    </row>
    <row r="3" spans="1:34" ht="30.75" customHeight="1">
      <c r="A3" s="2995">
        <v>1</v>
      </c>
      <c r="B3" s="2995">
        <v>1</v>
      </c>
      <c r="C3" s="2995">
        <v>562</v>
      </c>
      <c r="D3" s="2992" t="s">
        <v>3224</v>
      </c>
      <c r="E3" s="2997">
        <v>41456</v>
      </c>
      <c r="F3" s="2997">
        <v>43646</v>
      </c>
      <c r="G3" s="2995">
        <v>11</v>
      </c>
      <c r="H3" s="2992" t="s">
        <v>3653</v>
      </c>
      <c r="J3" s="2991">
        <f>G3*C3</f>
        <v>6182</v>
      </c>
    </row>
    <row r="4" spans="1:34" s="3007" customFormat="1" ht="30.75" customHeight="1">
      <c r="A4" s="3367">
        <v>2</v>
      </c>
      <c r="B4" s="3006">
        <v>1</v>
      </c>
      <c r="C4" s="3367">
        <v>226.9</v>
      </c>
      <c r="D4" s="3375" t="s">
        <v>3649</v>
      </c>
      <c r="E4" s="3376">
        <v>42901</v>
      </c>
      <c r="F4" s="3376">
        <v>44726</v>
      </c>
      <c r="G4" s="3367">
        <v>10.5</v>
      </c>
      <c r="H4" s="3378" t="s">
        <v>3652</v>
      </c>
      <c r="I4" s="3006"/>
      <c r="J4" s="3006">
        <f>G4*C4</f>
        <v>2382.4500000000003</v>
      </c>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row>
    <row r="5" spans="1:34" s="3007" customFormat="1" ht="30.75" customHeight="1">
      <c r="A5" s="3367"/>
      <c r="B5" s="3006">
        <v>2</v>
      </c>
      <c r="C5" s="3367"/>
      <c r="D5" s="3367"/>
      <c r="E5" s="3376"/>
      <c r="F5" s="3376"/>
      <c r="G5" s="3367"/>
      <c r="H5" s="3378"/>
      <c r="I5" s="3006"/>
      <c r="J5" s="3006"/>
      <c r="K5" s="3006"/>
      <c r="L5" s="3006"/>
      <c r="M5" s="3006"/>
      <c r="N5" s="3006"/>
      <c r="O5" s="3006"/>
      <c r="P5" s="3006"/>
      <c r="Q5" s="3006"/>
      <c r="R5" s="3006"/>
      <c r="S5" s="3006"/>
      <c r="T5" s="3006"/>
      <c r="U5" s="3006"/>
      <c r="V5" s="3006"/>
      <c r="W5" s="3006"/>
      <c r="X5" s="3006"/>
      <c r="Y5" s="3006"/>
      <c r="Z5" s="3006"/>
      <c r="AA5" s="3006"/>
      <c r="AB5" s="3006"/>
      <c r="AC5" s="3006"/>
      <c r="AD5" s="3006"/>
      <c r="AE5" s="3006"/>
      <c r="AF5" s="3006"/>
      <c r="AG5" s="3006"/>
      <c r="AH5" s="3006"/>
    </row>
    <row r="6" spans="1:34" ht="30.75" customHeight="1">
      <c r="A6" s="3372">
        <v>3</v>
      </c>
      <c r="B6" s="2996">
        <v>2</v>
      </c>
      <c r="C6" s="2995">
        <v>1239.8</v>
      </c>
      <c r="D6" s="3371" t="s">
        <v>3225</v>
      </c>
      <c r="E6" s="3374">
        <v>42705</v>
      </c>
      <c r="F6" s="3377">
        <v>43799</v>
      </c>
      <c r="G6" s="2995">
        <v>8.5</v>
      </c>
      <c r="H6" s="3370" t="s">
        <v>3654</v>
      </c>
      <c r="J6" s="2991">
        <f>G6*C6</f>
        <v>10538.3</v>
      </c>
      <c r="K6" s="2991">
        <f>(J6+J4+J3)/(抵押物清单!I2+抵押物清单!I3)</f>
        <v>9.0780025566818257</v>
      </c>
    </row>
    <row r="7" spans="1:34" ht="30.75" customHeight="1">
      <c r="A7" s="3372"/>
      <c r="B7" s="2995">
        <v>6</v>
      </c>
      <c r="C7" s="2995">
        <v>931.91</v>
      </c>
      <c r="D7" s="3371"/>
      <c r="E7" s="3374"/>
      <c r="F7" s="3377"/>
      <c r="G7" s="2995">
        <v>6.1</v>
      </c>
      <c r="H7" s="3370"/>
      <c r="J7" s="2991">
        <f>C7*G7</f>
        <v>5684.6509999999998</v>
      </c>
    </row>
    <row r="8" spans="1:34" ht="30.75" customHeight="1">
      <c r="A8" s="3372"/>
      <c r="B8" s="2995">
        <v>7</v>
      </c>
      <c r="C8" s="2995">
        <v>931.91</v>
      </c>
      <c r="D8" s="3371"/>
      <c r="E8" s="3374"/>
      <c r="F8" s="3377"/>
      <c r="G8" s="2995">
        <v>6.1</v>
      </c>
      <c r="H8" s="3370"/>
      <c r="J8" s="2995">
        <f t="shared" ref="J8:J9" si="0">C8*G8</f>
        <v>5684.6509999999998</v>
      </c>
      <c r="K8" s="2991">
        <f>SUM(J7:J14)/(抵押物清单!I104-SUM(抵押物清单!I71:I81))</f>
        <v>5.8705431700819002</v>
      </c>
    </row>
    <row r="9" spans="1:34" ht="30.75" customHeight="1">
      <c r="A9" s="3372"/>
      <c r="B9" s="2995">
        <v>8</v>
      </c>
      <c r="C9" s="2995">
        <v>931.91</v>
      </c>
      <c r="D9" s="3371"/>
      <c r="E9" s="3374"/>
      <c r="F9" s="3377"/>
      <c r="G9" s="2995">
        <v>6.1</v>
      </c>
      <c r="H9" s="3370"/>
      <c r="J9" s="2995">
        <f t="shared" si="0"/>
        <v>5684.6509999999998</v>
      </c>
    </row>
    <row r="10" spans="1:34" ht="30.75" customHeight="1">
      <c r="A10" s="3372">
        <v>4</v>
      </c>
      <c r="B10" s="2995">
        <v>3</v>
      </c>
      <c r="C10" s="3372">
        <v>2820.04</v>
      </c>
      <c r="D10" s="3371" t="s">
        <v>3226</v>
      </c>
      <c r="E10" s="3374">
        <v>41214</v>
      </c>
      <c r="F10" s="3374">
        <v>43404</v>
      </c>
      <c r="G10" s="2995">
        <v>5.2</v>
      </c>
      <c r="H10" s="3373" t="s">
        <v>3647</v>
      </c>
      <c r="J10" s="2991">
        <f>C10*G10</f>
        <v>14664.208000000001</v>
      </c>
    </row>
    <row r="11" spans="1:34" ht="30.75" customHeight="1">
      <c r="A11" s="3372"/>
      <c r="B11" s="2995">
        <v>4</v>
      </c>
      <c r="C11" s="3372"/>
      <c r="D11" s="3372"/>
      <c r="E11" s="3372"/>
      <c r="F11" s="3372"/>
      <c r="G11" s="2995">
        <v>5.2</v>
      </c>
      <c r="H11" s="3373"/>
    </row>
    <row r="12" spans="1:34" ht="30.75" customHeight="1">
      <c r="A12" s="3372"/>
      <c r="B12" s="2995">
        <v>5</v>
      </c>
      <c r="C12" s="3372"/>
      <c r="D12" s="3372"/>
      <c r="E12" s="3372"/>
      <c r="F12" s="3372"/>
      <c r="G12" s="2995">
        <v>5.2</v>
      </c>
      <c r="H12" s="3373"/>
    </row>
    <row r="13" spans="1:34" ht="30.75" customHeight="1">
      <c r="A13" s="2995">
        <v>5</v>
      </c>
      <c r="B13" s="2995">
        <v>9</v>
      </c>
    </row>
    <row r="14" spans="1:34" ht="30.75" customHeight="1">
      <c r="A14" s="3372">
        <v>6</v>
      </c>
      <c r="B14" s="2995">
        <v>10</v>
      </c>
      <c r="C14" s="3372">
        <v>1984.98</v>
      </c>
      <c r="D14" s="3371" t="s">
        <v>3649</v>
      </c>
      <c r="E14" s="3374">
        <v>42901</v>
      </c>
      <c r="F14" s="3374">
        <v>44726</v>
      </c>
      <c r="G14" s="3372">
        <v>6.5</v>
      </c>
      <c r="H14" s="3373" t="s">
        <v>3648</v>
      </c>
      <c r="J14" s="2991">
        <f>C14*G14</f>
        <v>12902.37</v>
      </c>
    </row>
    <row r="15" spans="1:34" ht="30.75" customHeight="1">
      <c r="A15" s="3372"/>
      <c r="B15" s="2995">
        <v>11</v>
      </c>
      <c r="C15" s="3372"/>
      <c r="D15" s="3372"/>
      <c r="E15" s="3372"/>
      <c r="F15" s="3372"/>
      <c r="G15" s="3372"/>
      <c r="H15" s="3373"/>
    </row>
    <row r="16" spans="1:34" ht="30.75" customHeight="1">
      <c r="A16" s="2995">
        <v>7</v>
      </c>
      <c r="B16" s="2995">
        <v>-1</v>
      </c>
    </row>
    <row r="17" spans="1:8" ht="30.75" customHeight="1">
      <c r="A17" s="2995">
        <v>8</v>
      </c>
      <c r="B17" s="2995">
        <v>-1</v>
      </c>
      <c r="C17" s="2996" t="s">
        <v>3227</v>
      </c>
      <c r="D17" s="2996" t="s">
        <v>3650</v>
      </c>
      <c r="E17" s="2997">
        <v>42901</v>
      </c>
      <c r="F17" s="2997">
        <v>44726</v>
      </c>
      <c r="G17" s="2995">
        <v>1000</v>
      </c>
      <c r="H17" s="2992" t="s">
        <v>3651</v>
      </c>
    </row>
  </sheetData>
  <mergeCells count="32">
    <mergeCell ref="A10:A12"/>
    <mergeCell ref="A14:A15"/>
    <mergeCell ref="C10:C12"/>
    <mergeCell ref="E10:E12"/>
    <mergeCell ref="F10:F12"/>
    <mergeCell ref="D10:D12"/>
    <mergeCell ref="H10:H12"/>
    <mergeCell ref="C4:C5"/>
    <mergeCell ref="D4:D5"/>
    <mergeCell ref="E4:E5"/>
    <mergeCell ref="F4:F5"/>
    <mergeCell ref="G4:G5"/>
    <mergeCell ref="D6:D9"/>
    <mergeCell ref="E6:E9"/>
    <mergeCell ref="F6:F9"/>
    <mergeCell ref="H4:H5"/>
    <mergeCell ref="G14:G15"/>
    <mergeCell ref="H14:H15"/>
    <mergeCell ref="C14:C15"/>
    <mergeCell ref="D14:D15"/>
    <mergeCell ref="E14:E15"/>
    <mergeCell ref="F14:F15"/>
    <mergeCell ref="A4:A5"/>
    <mergeCell ref="G1:G2"/>
    <mergeCell ref="H1:H2"/>
    <mergeCell ref="H6:H9"/>
    <mergeCell ref="B1:B2"/>
    <mergeCell ref="A1:A2"/>
    <mergeCell ref="A6:A9"/>
    <mergeCell ref="D1:D2"/>
    <mergeCell ref="C1:C2"/>
    <mergeCell ref="E1:F1"/>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0" customWidth="1"/>
    <col min="2" max="3" width="22.375" style="1940" customWidth="1"/>
    <col min="4" max="4" width="23" style="1940" customWidth="1"/>
    <col min="5" max="16384" width="8.875" style="1940"/>
  </cols>
  <sheetData>
    <row r="1" spans="1:4" ht="18.75">
      <c r="A1" s="3056" t="s">
        <v>1663</v>
      </c>
      <c r="B1" s="3056"/>
      <c r="C1" s="3056"/>
      <c r="D1" s="3056"/>
    </row>
    <row r="2" spans="1:4" ht="18">
      <c r="A2" s="3057" t="s">
        <v>1647</v>
      </c>
      <c r="B2" s="3057"/>
      <c r="C2" s="3057"/>
      <c r="D2" s="3057"/>
    </row>
    <row r="3" spans="1:4" ht="18.75">
      <c r="A3" s="1972" t="s">
        <v>1648</v>
      </c>
      <c r="B3" s="1972" t="s">
        <v>1649</v>
      </c>
      <c r="C3" s="1972" t="s">
        <v>1650</v>
      </c>
      <c r="D3" s="1972" t="s">
        <v>1651</v>
      </c>
    </row>
    <row r="4" spans="1:4" ht="56.25" customHeight="1">
      <c r="A4" s="1973">
        <f>项目基本情况!B4</f>
        <v>0</v>
      </c>
      <c r="B4" s="1974">
        <f>项目基本情况!C4</f>
        <v>0</v>
      </c>
      <c r="C4" s="1975"/>
      <c r="D4" s="1976" t="s">
        <v>1652</v>
      </c>
    </row>
    <row r="5" spans="1:4" ht="56.25" customHeight="1">
      <c r="A5" s="1973">
        <f>项目基本情况!D4</f>
        <v>0</v>
      </c>
      <c r="B5" s="1974">
        <f>项目基本情况!E4</f>
        <v>0</v>
      </c>
      <c r="C5" s="1977"/>
      <c r="D5" s="1976" t="s">
        <v>1652</v>
      </c>
    </row>
    <row r="6" spans="1:4" ht="18">
      <c r="A6" s="3057" t="s">
        <v>1653</v>
      </c>
      <c r="B6" s="3057"/>
      <c r="C6" s="3057"/>
      <c r="D6" s="3057"/>
    </row>
    <row r="7" spans="1:4" ht="18.75">
      <c r="A7" s="1972" t="s">
        <v>1648</v>
      </c>
      <c r="B7" s="1974" t="s">
        <v>1654</v>
      </c>
      <c r="C7" s="1972" t="s">
        <v>1650</v>
      </c>
      <c r="D7" s="1972" t="s">
        <v>1651</v>
      </c>
    </row>
    <row r="8" spans="1:4" ht="56.25" customHeight="1">
      <c r="A8" s="1978" t="s">
        <v>869</v>
      </c>
      <c r="B8" s="1978" t="s">
        <v>1</v>
      </c>
      <c r="C8" s="1975"/>
      <c r="D8" s="1976" t="s">
        <v>1652</v>
      </c>
    </row>
    <row r="9" spans="1:4">
      <c r="A9" s="725"/>
      <c r="B9" s="725"/>
      <c r="C9" s="725"/>
      <c r="D9" s="725"/>
    </row>
    <row r="10" spans="1:4" ht="18.75">
      <c r="A10" s="1979" t="s">
        <v>1655</v>
      </c>
      <c r="B10" s="725"/>
      <c r="C10" s="725"/>
      <c r="D10" s="725"/>
    </row>
    <row r="11" spans="1:4" ht="30" customHeight="1">
      <c r="A11" s="3058" t="s">
        <v>1656</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9" t="str">
        <f>IF(项目基本情况!B8="抵押","4.本次评估估价师所知悉的法定优先受偿款情况说明如下：","——")</f>
        <v>4.本次评估估价师所知悉的法定优先受偿款情况说明如下：</v>
      </c>
      <c r="B14" s="3060"/>
      <c r="C14" s="3060"/>
      <c r="D14" s="3060"/>
    </row>
    <row r="15" spans="1:4" ht="42" customHeight="1">
      <c r="A15" s="3059" t="str">
        <f>IF(项目基本情况!B8="抵押","（1）"&amp;CONCATENATE(项目基本情况!L20,项目基本情况!L21,项目基本情况!L22),"——")</f>
        <v>（1）根据估价对象《不动产权证书》复印件、，截至价值时点，估价对象抵押权未见登记。</v>
      </c>
      <c r="B15" s="3059"/>
      <c r="C15" s="3059"/>
      <c r="D15" s="3059"/>
    </row>
    <row r="16" spans="1:4" ht="30" customHeight="1">
      <c r="A16" s="3062" t="s">
        <v>1657</v>
      </c>
      <c r="B16" s="3062"/>
      <c r="C16" s="3062"/>
      <c r="D16" s="3062"/>
    </row>
    <row r="17" spans="1:4" ht="144" customHeight="1">
      <c r="A17" s="3062" t="s">
        <v>1658</v>
      </c>
      <c r="B17" s="3062"/>
      <c r="C17" s="3062"/>
      <c r="D17" s="3062"/>
    </row>
    <row r="18" spans="1:4" ht="15.75" customHeight="1">
      <c r="A18" s="3059" t="str">
        <f>IF(项目基本情况!B8="抵押",结果表!K120,"——")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9"/>
      <c r="C20" s="3059"/>
      <c r="D20" s="3059"/>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1659</v>
      </c>
      <c r="B22" s="3064"/>
      <c r="C22" s="3064"/>
      <c r="D22" s="3064"/>
    </row>
    <row r="23" spans="1:4">
      <c r="A23" s="1980"/>
      <c r="B23" s="1952"/>
      <c r="C23" s="1952"/>
      <c r="D23" s="1952"/>
    </row>
    <row r="24" spans="1:4">
      <c r="A24" s="1980"/>
      <c r="B24" s="1952"/>
      <c r="C24" s="1952"/>
      <c r="D24" s="1952"/>
    </row>
    <row r="25" spans="1:4" ht="18.75">
      <c r="A25" s="1981" t="s">
        <v>1660</v>
      </c>
    </row>
    <row r="26" spans="1:4" ht="18">
      <c r="A26" s="1950"/>
    </row>
    <row r="27" spans="1:4" ht="18.75">
      <c r="A27" s="1950" t="s">
        <v>1661</v>
      </c>
    </row>
    <row r="30" spans="1:4" ht="18.75">
      <c r="D30" s="1981" t="s">
        <v>1662</v>
      </c>
    </row>
    <row r="31" spans="1:4" ht="13.5" customHeight="1">
      <c r="C31" s="3061">
        <v>42551</v>
      </c>
      <c r="D31" s="30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8" customWidth="1"/>
    <col min="3" max="10" width="12.5" style="1938" customWidth="1"/>
    <col min="11" max="16384" width="8.875"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1664</v>
      </c>
    </row>
    <row r="3" spans="1:7">
      <c r="A3" s="1986" t="s">
        <v>82</v>
      </c>
      <c r="B3" s="1970" t="s">
        <v>1665</v>
      </c>
      <c r="G3" s="1987"/>
    </row>
    <row r="4" spans="1:7">
      <c r="G4" s="1987"/>
    </row>
    <row r="5" spans="1:7">
      <c r="A5" s="1989" t="s">
        <v>73</v>
      </c>
      <c r="B5" s="1970" t="s">
        <v>1666</v>
      </c>
      <c r="G5" s="1987"/>
    </row>
    <row r="6" spans="1:7">
      <c r="G6" s="1987"/>
    </row>
    <row r="7" spans="1:7">
      <c r="A7" s="1990" t="s">
        <v>135</v>
      </c>
      <c r="B7" s="1970" t="s">
        <v>1667</v>
      </c>
      <c r="G7" s="1987"/>
    </row>
    <row r="8" spans="1:7">
      <c r="G8" s="1987"/>
    </row>
    <row r="9" spans="1:7">
      <c r="A9" s="1991" t="s">
        <v>74</v>
      </c>
      <c r="B9" s="1970" t="s">
        <v>1668</v>
      </c>
    </row>
    <row r="11" spans="1:7">
      <c r="A11" s="1992" t="s">
        <v>75</v>
      </c>
      <c r="B11" s="1993" t="s">
        <v>72</v>
      </c>
    </row>
    <row r="13" spans="1:7">
      <c r="A13" s="1994" t="s">
        <v>1669</v>
      </c>
    </row>
    <row r="15" spans="1:7" ht="13.5">
      <c r="A15" s="3070" t="s">
        <v>1670</v>
      </c>
      <c r="B15" s="3065" t="s">
        <v>136</v>
      </c>
      <c r="C15" s="3066"/>
    </row>
    <row r="16" spans="1:7" ht="13.5">
      <c r="A16" s="3071"/>
      <c r="B16" s="3065" t="s">
        <v>69</v>
      </c>
      <c r="C16" s="3066"/>
    </row>
    <row r="17" spans="1:3" ht="13.5">
      <c r="A17" s="3071"/>
      <c r="B17" s="3068" t="s">
        <v>1671</v>
      </c>
      <c r="C17" s="1995" t="s">
        <v>1670</v>
      </c>
    </row>
    <row r="18" spans="1:3" ht="13.5">
      <c r="A18" s="3071"/>
      <c r="B18" s="3068"/>
      <c r="C18" s="1995" t="s">
        <v>1672</v>
      </c>
    </row>
    <row r="19" spans="1:3" ht="13.5">
      <c r="A19" s="3071"/>
      <c r="B19" s="3068"/>
      <c r="C19" s="1995" t="s">
        <v>1673</v>
      </c>
    </row>
    <row r="20" spans="1:3" ht="13.5">
      <c r="A20" s="3072"/>
      <c r="B20" s="3067" t="s">
        <v>1674</v>
      </c>
      <c r="C20" s="3066"/>
    </row>
    <row r="21" spans="1:3" ht="13.5">
      <c r="A21" s="1996" t="s">
        <v>1675</v>
      </c>
      <c r="B21" s="1997"/>
      <c r="C21" s="1998"/>
    </row>
    <row r="22" spans="1:3" ht="13.5">
      <c r="A22" s="3069" t="s">
        <v>1676</v>
      </c>
      <c r="B22" s="3067" t="s">
        <v>1677</v>
      </c>
      <c r="C22" s="3066"/>
    </row>
    <row r="23" spans="1:3" ht="13.5">
      <c r="A23" s="3069"/>
      <c r="B23" s="3067" t="s">
        <v>1678</v>
      </c>
      <c r="C23" s="3066"/>
    </row>
    <row r="24" spans="1:3" ht="13.5">
      <c r="A24" s="3069"/>
      <c r="B24" s="3067" t="s">
        <v>1679</v>
      </c>
      <c r="C24" s="3066"/>
    </row>
    <row r="25" spans="1:3" ht="13.5">
      <c r="A25" s="3069"/>
      <c r="B25" s="3068" t="s">
        <v>1680</v>
      </c>
      <c r="C25" s="1995" t="s">
        <v>1681</v>
      </c>
    </row>
    <row r="26" spans="1:3" ht="13.5">
      <c r="A26" s="3069"/>
      <c r="B26" s="3068"/>
      <c r="C26" s="1995" t="s">
        <v>1682</v>
      </c>
    </row>
    <row r="27" spans="1:3" ht="13.5">
      <c r="A27" s="3069"/>
      <c r="B27" s="3068"/>
      <c r="C27" s="1995" t="s">
        <v>1683</v>
      </c>
    </row>
    <row r="28" spans="1:3" ht="13.5">
      <c r="A28" s="3069"/>
      <c r="B28" s="3068"/>
      <c r="C28" s="1995" t="s">
        <v>1684</v>
      </c>
    </row>
    <row r="29" spans="1:3" ht="13.5">
      <c r="A29" s="3069"/>
      <c r="B29" s="3068"/>
      <c r="C29" s="1995" t="s">
        <v>1685</v>
      </c>
    </row>
    <row r="30" spans="1:3" ht="13.5">
      <c r="A30" s="3069"/>
      <c r="B30" s="3068"/>
      <c r="C30" s="1995" t="s">
        <v>1686</v>
      </c>
    </row>
    <row r="31" spans="1:3" ht="13.5">
      <c r="A31" s="3069"/>
      <c r="B31" s="3068"/>
      <c r="C31" s="1995" t="s">
        <v>1687</v>
      </c>
    </row>
    <row r="32" spans="1:3" ht="13.5">
      <c r="A32" s="3069"/>
      <c r="B32" s="3068"/>
      <c r="C32" s="1995" t="s">
        <v>1688</v>
      </c>
    </row>
    <row r="33" spans="1:3" ht="13.5">
      <c r="A33" s="3069"/>
      <c r="B33" s="3068"/>
      <c r="C33" s="1995" t="s">
        <v>1689</v>
      </c>
    </row>
    <row r="34" spans="1:3">
      <c r="A34" s="1999" t="s">
        <v>76</v>
      </c>
    </row>
    <row r="37" spans="1:3">
      <c r="A37" s="1999" t="s">
        <v>1690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43214</v>
      </c>
      <c r="C2" s="1014" t="s">
        <v>826</v>
      </c>
      <c r="D2" s="1014"/>
    </row>
    <row r="3" spans="1:6" ht="24" customHeight="1">
      <c r="A3" s="1015" t="s">
        <v>827</v>
      </c>
      <c r="B3" s="1016" t="s">
        <v>828</v>
      </c>
      <c r="C3" s="2339" t="s">
        <v>829</v>
      </c>
      <c r="D3" s="2342" t="s">
        <v>830</v>
      </c>
      <c r="E3" s="1017" t="s">
        <v>831</v>
      </c>
      <c r="F3" s="1016" t="s">
        <v>829</v>
      </c>
    </row>
    <row r="4" spans="1:6" ht="24" customHeight="1">
      <c r="A4" s="1697" t="s">
        <v>832</v>
      </c>
      <c r="B4" s="1017">
        <f ca="1">IF(C4&lt;B2,"已过期",1119970066)</f>
        <v>1119970066</v>
      </c>
      <c r="C4" s="2340">
        <v>43849</v>
      </c>
      <c r="D4" s="2343" t="s">
        <v>832</v>
      </c>
      <c r="E4" s="1017">
        <f ca="1">IF(F4&lt;B2,"已过期",96010014)</f>
        <v>96010014</v>
      </c>
      <c r="F4" s="1025">
        <v>47118</v>
      </c>
    </row>
    <row r="5" spans="1:6" ht="24" customHeight="1">
      <c r="A5" s="1697" t="s">
        <v>833</v>
      </c>
      <c r="B5" s="1017">
        <f ca="1">IF(C5&lt;B2,"已过期",1119970074)</f>
        <v>1119970074</v>
      </c>
      <c r="C5" s="2340">
        <v>43849</v>
      </c>
      <c r="D5" s="2343" t="s">
        <v>833</v>
      </c>
      <c r="E5" s="1017">
        <f ca="1">IF(F5&lt;B2,"已过期",2002110027)</f>
        <v>2002110027</v>
      </c>
      <c r="F5" s="1025">
        <v>46752</v>
      </c>
    </row>
    <row r="6" spans="1:6" ht="24" customHeight="1">
      <c r="A6" s="1697" t="s">
        <v>834</v>
      </c>
      <c r="B6" s="1017">
        <f ca="1">IF(C6&lt;B2,"已过期",1119970111)</f>
        <v>1119970111</v>
      </c>
      <c r="C6" s="2340">
        <v>43849</v>
      </c>
      <c r="D6" s="2343" t="s">
        <v>834</v>
      </c>
      <c r="E6" s="1017">
        <f ca="1">IF(F6&lt;B2,"已过期",94010078)</f>
        <v>94010078</v>
      </c>
      <c r="F6" s="1025">
        <v>46387</v>
      </c>
    </row>
    <row r="7" spans="1:6" ht="24" customHeight="1">
      <c r="A7" s="1697" t="s">
        <v>835</v>
      </c>
      <c r="B7" s="1017">
        <f ca="1">IF(C7&lt;B2,"已过期",1120050019)</f>
        <v>1120050019</v>
      </c>
      <c r="C7" s="2340">
        <v>43359</v>
      </c>
      <c r="D7" s="2343" t="s">
        <v>835</v>
      </c>
      <c r="E7" s="1017">
        <f ca="1">IF(F7&lt;B2,"已过期",2002110030)</f>
        <v>2002110030</v>
      </c>
      <c r="F7" s="1025">
        <v>46387</v>
      </c>
    </row>
    <row r="8" spans="1:6" ht="24" customHeight="1">
      <c r="A8" s="1697" t="s">
        <v>836</v>
      </c>
      <c r="B8" s="1017">
        <f ca="1">IF(C8&lt;B2,"已过期",1120000080)</f>
        <v>1120000080</v>
      </c>
      <c r="C8" s="2340">
        <v>43849</v>
      </c>
      <c r="D8" s="2343" t="s">
        <v>836</v>
      </c>
      <c r="E8" s="1017">
        <f ca="1">IF(F8&lt;B2,"已过期",2000110082)</f>
        <v>2000110082</v>
      </c>
      <c r="F8" s="1025">
        <v>46387</v>
      </c>
    </row>
    <row r="9" spans="1:6" ht="24" customHeight="1">
      <c r="A9" s="1697" t="s">
        <v>837</v>
      </c>
      <c r="B9" s="1017">
        <f ca="1">IF(C9&lt;B2,"已过期",1419970001)</f>
        <v>1419970001</v>
      </c>
      <c r="C9" s="2340">
        <v>43867</v>
      </c>
      <c r="D9" s="2343" t="s">
        <v>837</v>
      </c>
      <c r="E9" s="1017">
        <f ca="1">IF(F9&lt;B2,"已过期",2002110125)</f>
        <v>2002110125</v>
      </c>
      <c r="F9" s="1025">
        <v>47118</v>
      </c>
    </row>
    <row r="10" spans="1:6" ht="24" customHeight="1">
      <c r="A10" s="1697" t="s">
        <v>838</v>
      </c>
      <c r="B10" s="1017">
        <f ca="1">IF(C10&lt;B2,"已过期",1120060040)</f>
        <v>1120060040</v>
      </c>
      <c r="C10" s="2340">
        <v>43483</v>
      </c>
      <c r="D10" s="2343" t="s">
        <v>838</v>
      </c>
      <c r="E10" s="1017">
        <f ca="1">IF(F10&lt;B2,"已过期",2004110096)</f>
        <v>2004110096</v>
      </c>
      <c r="F10" s="1025">
        <v>47118</v>
      </c>
    </row>
    <row r="11" spans="1:6" ht="24" customHeight="1">
      <c r="A11" s="1697" t="s">
        <v>839</v>
      </c>
      <c r="B11" s="1017">
        <f ca="1">IF(C11&lt;B2,"已过期",1120100036)</f>
        <v>1120100036</v>
      </c>
      <c r="C11" s="2340">
        <v>43622</v>
      </c>
      <c r="D11" s="2343" t="s">
        <v>839</v>
      </c>
      <c r="E11" s="1017">
        <f ca="1">IF(F11&lt;B2,"已过期",2010110070)</f>
        <v>2010110070</v>
      </c>
      <c r="F11" s="1025">
        <v>47907</v>
      </c>
    </row>
    <row r="12" spans="1:6" ht="24" customHeight="1">
      <c r="A12" s="1697"/>
      <c r="B12" s="1017"/>
      <c r="C12" s="2340"/>
      <c r="D12" s="2343"/>
      <c r="E12" s="1017"/>
      <c r="F12" s="1017"/>
    </row>
    <row r="13" spans="1:6" ht="24" customHeight="1">
      <c r="A13" s="1697" t="s">
        <v>840</v>
      </c>
      <c r="B13" s="1017">
        <f ca="1">IF(C13&lt;B2,"已过期",1120070131)</f>
        <v>1120070131</v>
      </c>
      <c r="C13" s="2340">
        <v>43814</v>
      </c>
      <c r="D13" s="2343" t="s">
        <v>840</v>
      </c>
      <c r="E13" s="1017">
        <v>2014110011</v>
      </c>
      <c r="F13" s="1025">
        <v>49302</v>
      </c>
    </row>
    <row r="14" spans="1:6" ht="24" customHeight="1">
      <c r="A14" s="1697" t="s">
        <v>841</v>
      </c>
      <c r="B14" s="1017">
        <f ca="1">IF(C14&lt;B2,"已过期",1120130020)</f>
        <v>1120130020</v>
      </c>
      <c r="C14" s="2340">
        <v>43622</v>
      </c>
      <c r="D14" s="2343"/>
      <c r="E14" s="1017"/>
      <c r="F14" s="1017"/>
    </row>
    <row r="15" spans="1:6" ht="24" customHeight="1">
      <c r="A15" s="1698" t="s">
        <v>1149</v>
      </c>
      <c r="B15" s="1017">
        <v>1120070085</v>
      </c>
      <c r="C15" s="2340">
        <v>43814</v>
      </c>
      <c r="D15" s="2344" t="s">
        <v>1149</v>
      </c>
      <c r="E15" s="1017">
        <v>2004110128</v>
      </c>
      <c r="F15" s="1018">
        <v>47118</v>
      </c>
    </row>
    <row r="16" spans="1:6" ht="24" customHeight="1">
      <c r="A16" s="1697" t="s">
        <v>842</v>
      </c>
      <c r="B16" s="1017">
        <f ca="1">IF(C16&lt;B2,"已过期",1120140022)</f>
        <v>1120140022</v>
      </c>
      <c r="C16" s="2340">
        <v>44029</v>
      </c>
      <c r="D16" s="2343" t="s">
        <v>842</v>
      </c>
      <c r="E16" s="1017">
        <f ca="1">IF(F16&lt;B2,"已过期",2008110059)</f>
        <v>2008110059</v>
      </c>
      <c r="F16" s="1025">
        <v>47177</v>
      </c>
    </row>
    <row r="17" spans="1:7" ht="24" customHeight="1">
      <c r="A17" s="1697"/>
      <c r="B17" s="1017"/>
      <c r="C17" s="2340"/>
      <c r="D17" s="2343"/>
      <c r="E17" s="1017"/>
      <c r="F17" s="1025"/>
    </row>
    <row r="18" spans="1:7" ht="24" customHeight="1">
      <c r="A18" s="1697"/>
      <c r="B18" s="1017"/>
      <c r="C18" s="2340"/>
      <c r="D18" s="2343"/>
      <c r="E18" s="1017"/>
      <c r="F18" s="1025"/>
    </row>
    <row r="19" spans="1:7" ht="24" customHeight="1">
      <c r="A19" s="1697"/>
      <c r="B19" s="1017"/>
      <c r="C19" s="2340"/>
      <c r="D19" s="2343"/>
      <c r="E19" s="1017"/>
      <c r="F19" s="1017"/>
    </row>
    <row r="20" spans="1:7" ht="24" customHeight="1">
      <c r="A20" s="1697"/>
      <c r="B20" s="1017"/>
      <c r="C20" s="2340"/>
      <c r="D20" s="2343"/>
      <c r="E20" s="1017"/>
      <c r="F20" s="1017"/>
    </row>
    <row r="21" spans="1:7" ht="24" customHeight="1">
      <c r="A21" s="1697"/>
      <c r="B21" s="1017"/>
      <c r="C21" s="2340"/>
      <c r="D21" s="2343" t="s">
        <v>843</v>
      </c>
      <c r="E21" s="1017">
        <f ca="1">IF(F21&lt;B2,"已过期",2011110090)</f>
        <v>2011110090</v>
      </c>
      <c r="F21" s="1025">
        <v>48302</v>
      </c>
    </row>
    <row r="22" spans="1:7" ht="24" customHeight="1">
      <c r="A22" s="1697" t="s">
        <v>844</v>
      </c>
      <c r="B22" s="1017">
        <f ca="1">IF(C22&lt;B2,"已过期",1120020033)</f>
        <v>1120020033</v>
      </c>
      <c r="C22" s="2340">
        <v>43304</v>
      </c>
      <c r="D22" s="2343" t="s">
        <v>844</v>
      </c>
      <c r="E22" s="1017">
        <f ca="1">IF(F22&lt;B2,"已过期",2000110137)</f>
        <v>2000110137</v>
      </c>
      <c r="F22" s="1025">
        <v>46387</v>
      </c>
    </row>
    <row r="23" spans="1:7" ht="24" customHeight="1">
      <c r="A23" s="1697" t="s">
        <v>845</v>
      </c>
      <c r="B23" s="1017">
        <f ca="1">IF(C23&lt;B2,"已过期",1120130048)</f>
        <v>1120130048</v>
      </c>
      <c r="C23" s="2340">
        <v>43686</v>
      </c>
      <c r="D23" s="2343"/>
      <c r="E23" s="1017"/>
      <c r="F23" s="1017"/>
    </row>
    <row r="24" spans="1:7" s="1019" customFormat="1" ht="24" customHeight="1">
      <c r="A24" s="1698" t="s">
        <v>1333</v>
      </c>
      <c r="B24" s="1698" t="s">
        <v>1333</v>
      </c>
      <c r="C24" s="2341" t="s">
        <v>1333</v>
      </c>
      <c r="D24" s="2344" t="s">
        <v>1333</v>
      </c>
      <c r="E24" s="1698" t="s">
        <v>1333</v>
      </c>
      <c r="F24" s="1698" t="s">
        <v>1333</v>
      </c>
    </row>
    <row r="25" spans="1:7" ht="24" customHeight="1">
      <c r="A25" s="3073" t="s">
        <v>846</v>
      </c>
      <c r="B25" s="3073"/>
      <c r="C25" s="3073"/>
      <c r="D25" s="3073"/>
      <c r="E25" s="3073"/>
      <c r="F25" s="3073"/>
      <c r="G25" s="3073"/>
    </row>
    <row r="26" spans="1:7" s="1020" customFormat="1" ht="24" customHeight="1">
      <c r="A26" s="3074" t="s">
        <v>847</v>
      </c>
      <c r="B26" s="3074"/>
      <c r="C26" s="3075"/>
      <c r="D26" s="3076" t="s">
        <v>848</v>
      </c>
      <c r="E26" s="3074"/>
      <c r="F26" s="3074"/>
    </row>
    <row r="27" spans="1:7" s="1022" customFormat="1" ht="24" customHeight="1">
      <c r="A27" s="1021" t="s">
        <v>849</v>
      </c>
      <c r="B27" s="1016" t="s">
        <v>850</v>
      </c>
      <c r="C27" s="2339" t="s">
        <v>851</v>
      </c>
      <c r="D27" s="2347" t="s">
        <v>849</v>
      </c>
      <c r="E27" s="1016" t="s">
        <v>850</v>
      </c>
      <c r="F27" s="1016" t="s">
        <v>851</v>
      </c>
    </row>
    <row r="28" spans="1:7" s="1022" customFormat="1" ht="24" customHeight="1">
      <c r="A28" s="1023" t="s">
        <v>852</v>
      </c>
      <c r="B28" s="1024" t="s">
        <v>853</v>
      </c>
      <c r="C28" s="2345">
        <v>43725</v>
      </c>
      <c r="D28" s="2348" t="s">
        <v>854</v>
      </c>
      <c r="E28" s="1023" t="s">
        <v>855</v>
      </c>
      <c r="F28" s="1053">
        <v>44377</v>
      </c>
    </row>
    <row r="29" spans="1:7" s="1022" customFormat="1" ht="24" customHeight="1">
      <c r="A29" s="1023"/>
      <c r="B29" s="1023"/>
      <c r="C29" s="2346"/>
      <c r="D29" s="2348"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9" type="noConversion"/>
  <conditionalFormatting sqref="C28">
    <cfRule type="expression" dxfId="213" priority="55">
      <formula>AND($C28-TODAY()&lt;30,TODAY()&lt;$C28)</formula>
    </cfRule>
  </conditionalFormatting>
  <conditionalFormatting sqref="C28 F4">
    <cfRule type="cellIs" dxfId="212" priority="57" stopIfTrue="1" operator="lessThan">
      <formula>$B$2</formula>
    </cfRule>
  </conditionalFormatting>
  <conditionalFormatting sqref="C5">
    <cfRule type="expression" dxfId="211" priority="52">
      <formula>AND($C5-TODAY()&lt;30,TODAY()&lt;$C5)</formula>
    </cfRule>
  </conditionalFormatting>
  <conditionalFormatting sqref="C5 F5">
    <cfRule type="cellIs" dxfId="210" priority="53" stopIfTrue="1" operator="lessThan">
      <formula>$B$2</formula>
    </cfRule>
  </conditionalFormatting>
  <conditionalFormatting sqref="F6 F8 F10">
    <cfRule type="cellIs" dxfId="209" priority="51" stopIfTrue="1" operator="lessThan">
      <formula>$B$2</formula>
    </cfRule>
  </conditionalFormatting>
  <conditionalFormatting sqref="C4:C23">
    <cfRule type="expression" dxfId="208" priority="49">
      <formula>AND($C4-TODAY()&lt;30,TODAY()&lt;$C4)</formula>
    </cfRule>
  </conditionalFormatting>
  <conditionalFormatting sqref="F7 F9 F11 C4:C23">
    <cfRule type="cellIs" dxfId="207" priority="50" stopIfTrue="1" operator="lessThan">
      <formula>$B$2</formula>
    </cfRule>
  </conditionalFormatting>
  <conditionalFormatting sqref="C12">
    <cfRule type="expression" dxfId="206" priority="47">
      <formula>AND($C12-TODAY()&lt;30,TODAY()&lt;$C12)</formula>
    </cfRule>
  </conditionalFormatting>
  <conditionalFormatting sqref="C12">
    <cfRule type="cellIs" dxfId="205" priority="48" stopIfTrue="1" operator="lessThan">
      <formula>$B$2</formula>
    </cfRule>
  </conditionalFormatting>
  <conditionalFormatting sqref="C14">
    <cfRule type="expression" dxfId="204" priority="43">
      <formula>AND($C14-TODAY()&lt;30,TODAY()&lt;$C14)</formula>
    </cfRule>
  </conditionalFormatting>
  <conditionalFormatting sqref="C14">
    <cfRule type="cellIs" dxfId="203" priority="44" stopIfTrue="1" operator="lessThan">
      <formula>$B$2</formula>
    </cfRule>
  </conditionalFormatting>
  <conditionalFormatting sqref="C16">
    <cfRule type="expression" dxfId="202" priority="41">
      <formula>AND($C16-TODAY()&lt;30,TODAY()&lt;$C16)</formula>
    </cfRule>
  </conditionalFormatting>
  <conditionalFormatting sqref="C16">
    <cfRule type="cellIs" dxfId="201" priority="42" stopIfTrue="1" operator="lessThan">
      <formula>$B$2</formula>
    </cfRule>
  </conditionalFormatting>
  <conditionalFormatting sqref="C18">
    <cfRule type="expression" dxfId="200" priority="39">
      <formula>AND($C18-TODAY()&lt;30,TODAY()&lt;$C18)</formula>
    </cfRule>
  </conditionalFormatting>
  <conditionalFormatting sqref="C18">
    <cfRule type="cellIs" dxfId="199" priority="40" stopIfTrue="1" operator="lessThan">
      <formula>$B$2</formula>
    </cfRule>
  </conditionalFormatting>
  <conditionalFormatting sqref="C20">
    <cfRule type="expression" dxfId="198" priority="37">
      <formula>AND($C20-TODAY()&lt;30,TODAY()&lt;$C20)</formula>
    </cfRule>
  </conditionalFormatting>
  <conditionalFormatting sqref="C20">
    <cfRule type="cellIs" dxfId="197" priority="38" stopIfTrue="1" operator="lessThan">
      <formula>$B$2</formula>
    </cfRule>
  </conditionalFormatting>
  <conditionalFormatting sqref="C22">
    <cfRule type="expression" dxfId="196" priority="35">
      <formula>AND($C22-TODAY()&lt;30,TODAY()&lt;$C22)</formula>
    </cfRule>
  </conditionalFormatting>
  <conditionalFormatting sqref="C22">
    <cfRule type="cellIs" dxfId="195" priority="36" stopIfTrue="1" operator="lessThan">
      <formula>$B$2</formula>
    </cfRule>
  </conditionalFormatting>
  <conditionalFormatting sqref="C15">
    <cfRule type="expression" dxfId="194" priority="33">
      <formula>AND($C15-TODAY()&lt;30,TODAY()&lt;$C15)</formula>
    </cfRule>
  </conditionalFormatting>
  <conditionalFormatting sqref="C15">
    <cfRule type="cellIs" dxfId="193" priority="34" stopIfTrue="1" operator="lessThan">
      <formula>$B$2</formula>
    </cfRule>
  </conditionalFormatting>
  <conditionalFormatting sqref="C17">
    <cfRule type="expression" dxfId="192" priority="31">
      <formula>AND($C17-TODAY()&lt;30,TODAY()&lt;$C17)</formula>
    </cfRule>
  </conditionalFormatting>
  <conditionalFormatting sqref="C17">
    <cfRule type="cellIs" dxfId="191" priority="32" stopIfTrue="1" operator="lessThan">
      <formula>$B$2</formula>
    </cfRule>
  </conditionalFormatting>
  <conditionalFormatting sqref="C19">
    <cfRule type="expression" dxfId="190" priority="29">
      <formula>AND($C19-TODAY()&lt;30,TODAY()&lt;$C19)</formula>
    </cfRule>
  </conditionalFormatting>
  <conditionalFormatting sqref="C19">
    <cfRule type="cellIs" dxfId="189" priority="30" stopIfTrue="1" operator="lessThan">
      <formula>$B$2</formula>
    </cfRule>
  </conditionalFormatting>
  <conditionalFormatting sqref="C21">
    <cfRule type="expression" dxfId="188" priority="27">
      <formula>AND($C21-TODAY()&lt;30,TODAY()&lt;$C21)</formula>
    </cfRule>
  </conditionalFormatting>
  <conditionalFormatting sqref="C21">
    <cfRule type="cellIs" dxfId="187" priority="28" stopIfTrue="1" operator="lessThan">
      <formula>$B$2</formula>
    </cfRule>
  </conditionalFormatting>
  <conditionalFormatting sqref="C23">
    <cfRule type="expression" dxfId="186" priority="25">
      <formula>AND($C23-TODAY()&lt;30,TODAY()&lt;$C23)</formula>
    </cfRule>
  </conditionalFormatting>
  <conditionalFormatting sqref="C23">
    <cfRule type="cellIs" dxfId="185" priority="26" stopIfTrue="1" operator="lessThan">
      <formula>$B$2</formula>
    </cfRule>
  </conditionalFormatting>
  <conditionalFormatting sqref="F16">
    <cfRule type="cellIs" dxfId="184" priority="23" stopIfTrue="1" operator="lessThan">
      <formula>$B$2</formula>
    </cfRule>
  </conditionalFormatting>
  <conditionalFormatting sqref="F18">
    <cfRule type="cellIs" dxfId="183" priority="22" stopIfTrue="1" operator="lessThan">
      <formula>$B$2</formula>
    </cfRule>
  </conditionalFormatting>
  <conditionalFormatting sqref="F22">
    <cfRule type="cellIs" dxfId="182" priority="21" stopIfTrue="1" operator="lessThan">
      <formula>$B$2</formula>
    </cfRule>
  </conditionalFormatting>
  <conditionalFormatting sqref="F21">
    <cfRule type="cellIs" dxfId="181" priority="20" stopIfTrue="1" operator="lessThan">
      <formula>$B$2</formula>
    </cfRule>
  </conditionalFormatting>
  <conditionalFormatting sqref="F17">
    <cfRule type="cellIs" dxfId="180" priority="19" stopIfTrue="1" operator="lessThan">
      <formula>$B$2</formula>
    </cfRule>
  </conditionalFormatting>
  <conditionalFormatting sqref="B4:B14 E4:E14 B16:B23 E16:E23">
    <cfRule type="cellIs" dxfId="179" priority="18" stopIfTrue="1" operator="equal">
      <formula>"已过期"</formula>
    </cfRule>
  </conditionalFormatting>
  <conditionalFormatting sqref="A24:F24">
    <cfRule type="cellIs" dxfId="178" priority="14" stopIfTrue="1" operator="equal">
      <formula>"已过期"</formula>
    </cfRule>
  </conditionalFormatting>
  <conditionalFormatting sqref="F28">
    <cfRule type="expression" dxfId="177" priority="12">
      <formula>AND($E28-TODAY()&lt;30,TODAY()&lt;$E28)</formula>
    </cfRule>
  </conditionalFormatting>
  <conditionalFormatting sqref="F28">
    <cfRule type="cellIs" dxfId="176" priority="13" stopIfTrue="1" operator="lessThan">
      <formula>$B$2</formula>
    </cfRule>
  </conditionalFormatting>
  <conditionalFormatting sqref="F29">
    <cfRule type="expression" dxfId="175" priority="8" stopIfTrue="1">
      <formula>AND($E29-TODAY()&lt;30,TODAY()&lt;$E29)</formula>
    </cfRule>
  </conditionalFormatting>
  <conditionalFormatting sqref="F29">
    <cfRule type="cellIs" dxfId="174" priority="9" stopIfTrue="1" operator="lessThan">
      <formula>$B$2</formula>
    </cfRule>
  </conditionalFormatting>
  <conditionalFormatting sqref="B15">
    <cfRule type="cellIs" dxfId="173" priority="6" stopIfTrue="1" operator="equal">
      <formula>"已过期"</formula>
    </cfRule>
  </conditionalFormatting>
  <conditionalFormatting sqref="A15">
    <cfRule type="cellIs" dxfId="172" priority="5" stopIfTrue="1" operator="equal">
      <formula>"已过期"</formula>
    </cfRule>
  </conditionalFormatting>
  <conditionalFormatting sqref="C15">
    <cfRule type="expression" dxfId="171" priority="4">
      <formula>AND($C15-TODAY()&lt;30,TODAY()&lt;$C15)</formula>
    </cfRule>
  </conditionalFormatting>
  <conditionalFormatting sqref="E15">
    <cfRule type="cellIs" dxfId="170" priority="3" stopIfTrue="1" operator="equal">
      <formula>"已过期"</formula>
    </cfRule>
  </conditionalFormatting>
  <conditionalFormatting sqref="D15">
    <cfRule type="cellIs" dxfId="169" priority="2" stopIfTrue="1" operator="equal">
      <formula>"已过期"</formula>
    </cfRule>
  </conditionalFormatting>
  <conditionalFormatting sqref="F13">
    <cfRule type="cellIs" dxfId="16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2018-04-24T06:58:57Z</dcterms:modified>
</cp:coreProperties>
</file>