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烟台项目资料to刘总0716\"/>
    </mc:Choice>
  </mc:AlternateContent>
  <bookViews>
    <workbookView xWindow="45" yWindow="150" windowWidth="11565" windowHeight="949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3">'数据-汇总表'!$A$1:$I$32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7" i="4" l="1"/>
  <c r="M8" i="68" l="1"/>
  <c r="M7" i="68"/>
  <c r="F21" i="6"/>
  <c r="F20" i="6"/>
  <c r="M5" i="68"/>
  <c r="F24" i="6"/>
  <c r="L12" i="1"/>
  <c r="J12" i="1"/>
  <c r="H12" i="1"/>
  <c r="I12" i="1"/>
  <c r="L10" i="1" l="1"/>
  <c r="L11" i="1"/>
  <c r="L8" i="1"/>
  <c r="E8" i="12"/>
  <c r="J11" i="1"/>
  <c r="H11" i="1"/>
  <c r="I11" i="1"/>
  <c r="N3" i="68"/>
  <c r="N5" i="68"/>
  <c r="N6" i="68"/>
  <c r="N7" i="68"/>
  <c r="M10" i="12"/>
  <c r="M3" i="68"/>
  <c r="L14" i="1"/>
  <c r="D107" i="39"/>
  <c r="F33" i="39"/>
  <c r="AA33" i="39"/>
  <c r="F14" i="39"/>
  <c r="AA14" i="39"/>
  <c r="H33" i="39"/>
  <c r="AB33" i="39"/>
  <c r="H14" i="39"/>
  <c r="AB14" i="39"/>
  <c r="J33" i="39"/>
  <c r="AC33" i="39"/>
  <c r="J14" i="39"/>
  <c r="AC14" i="39"/>
  <c r="E20" i="6"/>
  <c r="K7" i="1" s="1"/>
  <c r="L22" i="1"/>
  <c r="F19" i="6"/>
  <c r="E19" i="6"/>
  <c r="K6" i="1"/>
  <c r="M6" i="1" s="1"/>
  <c r="E23" i="6"/>
  <c r="A10" i="1"/>
  <c r="K10" i="1"/>
  <c r="M10" i="1" s="1"/>
  <c r="O10" i="1" s="1"/>
  <c r="K9" i="1"/>
  <c r="M9" i="1" s="1"/>
  <c r="K14" i="1"/>
  <c r="M14" i="1" s="1"/>
  <c r="A11" i="1"/>
  <c r="K13" i="1"/>
  <c r="M13" i="1" s="1"/>
  <c r="O13" i="1" s="1"/>
  <c r="D16" i="12"/>
  <c r="C16" i="12" s="1"/>
  <c r="D21" i="12"/>
  <c r="C21" i="12" s="1"/>
  <c r="D22" i="12"/>
  <c r="E22" i="12"/>
  <c r="C22" i="12"/>
  <c r="B22" i="1"/>
  <c r="C2" i="65"/>
  <c r="I1" i="65"/>
  <c r="C8" i="12"/>
  <c r="C9" i="12"/>
  <c r="C10" i="12" s="1"/>
  <c r="F9" i="12"/>
  <c r="F10" i="12" s="1"/>
  <c r="B24" i="1"/>
  <c r="C17" i="9"/>
  <c r="D17" i="9"/>
  <c r="C18" i="9"/>
  <c r="D18" i="9"/>
  <c r="I10" i="1"/>
  <c r="J10" i="1"/>
  <c r="H10" i="1"/>
  <c r="E48" i="39"/>
  <c r="R48" i="39"/>
  <c r="E9" i="39"/>
  <c r="F9" i="39"/>
  <c r="AA9" i="39"/>
  <c r="G5" i="69"/>
  <c r="E13" i="39"/>
  <c r="F13" i="39"/>
  <c r="AA13" i="39"/>
  <c r="E40" i="39"/>
  <c r="F40" i="39"/>
  <c r="AA40" i="39"/>
  <c r="F27" i="39"/>
  <c r="AA27" i="39"/>
  <c r="F29" i="39"/>
  <c r="AA29" i="39"/>
  <c r="G48" i="39"/>
  <c r="T48" i="39"/>
  <c r="G9" i="39"/>
  <c r="H9" i="39"/>
  <c r="AB9" i="39"/>
  <c r="G8" i="69"/>
  <c r="G13" i="39"/>
  <c r="H13" i="39"/>
  <c r="AB13" i="39"/>
  <c r="G40" i="39"/>
  <c r="H40" i="39"/>
  <c r="AB40" i="39"/>
  <c r="H27" i="39"/>
  <c r="AB27" i="39"/>
  <c r="H29" i="39"/>
  <c r="AB29" i="39"/>
  <c r="I48" i="39"/>
  <c r="V48" i="39"/>
  <c r="I9" i="39"/>
  <c r="J9" i="39"/>
  <c r="AC9" i="39"/>
  <c r="G17" i="69"/>
  <c r="I13" i="39"/>
  <c r="J13" i="39"/>
  <c r="AC13" i="39"/>
  <c r="I40" i="39"/>
  <c r="J40" i="39"/>
  <c r="AC40" i="39"/>
  <c r="J27" i="39"/>
  <c r="AC27" i="39"/>
  <c r="J29" i="39"/>
  <c r="AC29" i="39"/>
  <c r="BQ14" i="3"/>
  <c r="BQ5" i="3"/>
  <c r="BS14" i="3"/>
  <c r="BS5" i="3"/>
  <c r="F28" i="6"/>
  <c r="BR14" i="3"/>
  <c r="BR5" i="3"/>
  <c r="BT14" i="3"/>
  <c r="BT5" i="3"/>
  <c r="G28" i="6"/>
  <c r="E28" i="6"/>
  <c r="BB14" i="3"/>
  <c r="BC14" i="3"/>
  <c r="BD14" i="3"/>
  <c r="BE14" i="3"/>
  <c r="BF14" i="3"/>
  <c r="BG14" i="3"/>
  <c r="BH14" i="3"/>
  <c r="BI14" i="3"/>
  <c r="BJ14" i="3"/>
  <c r="BK14" i="3"/>
  <c r="BA14" i="3"/>
  <c r="BM14" i="3"/>
  <c r="BN14" i="3"/>
  <c r="BO14" i="3"/>
  <c r="BP14" i="3"/>
  <c r="BL14" i="3"/>
  <c r="AZ14" i="3"/>
  <c r="AZ5" i="3"/>
  <c r="E3" i="6"/>
  <c r="E19" i="12"/>
  <c r="BB5" i="3"/>
  <c r="E5" i="6"/>
  <c r="E6" i="6"/>
  <c r="C13" i="39"/>
  <c r="M26" i="69"/>
  <c r="G26" i="69"/>
  <c r="M25" i="69"/>
  <c r="G25" i="69"/>
  <c r="M24" i="69"/>
  <c r="G24" i="69"/>
  <c r="M23" i="69"/>
  <c r="G23" i="69"/>
  <c r="M22" i="69"/>
  <c r="G22" i="69"/>
  <c r="M21" i="69"/>
  <c r="G21" i="69"/>
  <c r="M20" i="69"/>
  <c r="G20" i="69"/>
  <c r="M19" i="69"/>
  <c r="G19" i="69"/>
  <c r="M18" i="69"/>
  <c r="G18" i="69"/>
  <c r="M17" i="69"/>
  <c r="M16" i="69"/>
  <c r="G16" i="69"/>
  <c r="M15" i="69"/>
  <c r="G15" i="69"/>
  <c r="M14" i="69"/>
  <c r="G14" i="69"/>
  <c r="M13" i="69"/>
  <c r="G13" i="69"/>
  <c r="M12" i="69"/>
  <c r="G12" i="69"/>
  <c r="M11" i="69"/>
  <c r="G11" i="69"/>
  <c r="M10" i="69"/>
  <c r="G10" i="69"/>
  <c r="M9" i="69"/>
  <c r="G9" i="69"/>
  <c r="M8" i="69"/>
  <c r="M7" i="69"/>
  <c r="G7" i="69"/>
  <c r="M6" i="69"/>
  <c r="G6" i="69"/>
  <c r="M5" i="69"/>
  <c r="M4" i="69"/>
  <c r="G4" i="69"/>
  <c r="M3" i="69"/>
  <c r="G3" i="69"/>
  <c r="M2" i="69"/>
  <c r="G2" i="69"/>
  <c r="C40" i="39"/>
  <c r="E73" i="39"/>
  <c r="D73" i="39"/>
  <c r="F73" i="39"/>
  <c r="G73" i="39"/>
  <c r="H73" i="39"/>
  <c r="I73" i="39"/>
  <c r="J73" i="39"/>
  <c r="K73" i="39"/>
  <c r="L73" i="39"/>
  <c r="M73" i="39"/>
  <c r="N73" i="39"/>
  <c r="BC5" i="3"/>
  <c r="BD5" i="3"/>
  <c r="E8" i="6"/>
  <c r="F27" i="6"/>
  <c r="H9" i="68"/>
  <c r="E9" i="68"/>
  <c r="M6" i="68"/>
  <c r="M4" i="68"/>
  <c r="K22" i="1"/>
  <c r="K21" i="1"/>
  <c r="K20" i="1"/>
  <c r="G22" i="6"/>
  <c r="G20" i="6"/>
  <c r="AN13" i="3"/>
  <c r="AD13" i="3"/>
  <c r="Q13" i="3"/>
  <c r="O13" i="3"/>
  <c r="M13" i="3"/>
  <c r="K13" i="3"/>
  <c r="I13" i="3"/>
  <c r="A3" i="3"/>
  <c r="D3" i="4"/>
  <c r="E5" i="68"/>
  <c r="C1" i="68"/>
  <c r="G3" i="68"/>
  <c r="G5" i="68"/>
  <c r="G2" i="68"/>
  <c r="F1" i="68"/>
  <c r="C9" i="68"/>
  <c r="E2" i="68"/>
  <c r="C2" i="68"/>
  <c r="C5" i="68"/>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N16" i="4" s="1"/>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E32" i="6"/>
  <c r="L23" i="6" s="1"/>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3" i="1"/>
  <c r="AP13" i="1" s="1"/>
  <c r="D11" i="1"/>
  <c r="D12" i="1"/>
  <c r="D13" i="1"/>
  <c r="D6" i="1"/>
  <c r="D7" i="1"/>
  <c r="D8" i="1"/>
  <c r="D9" i="1"/>
  <c r="F10" i="1"/>
  <c r="AP10" i="1"/>
  <c r="D10" i="1"/>
  <c r="B2" i="1"/>
  <c r="C42" i="1"/>
  <c r="A12" i="1"/>
  <c r="A13" i="1"/>
  <c r="B13" i="1"/>
  <c r="E13" i="1"/>
  <c r="A7" i="1"/>
  <c r="A8" i="1"/>
  <c r="A9" i="1"/>
  <c r="E24" i="6"/>
  <c r="K11" i="1" s="1"/>
  <c r="M11" i="1" s="1"/>
  <c r="O11" i="1" s="1"/>
  <c r="D23" i="6"/>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s="1"/>
  <c r="F19" i="4"/>
  <c r="F12" i="1" s="1"/>
  <c r="E19" i="4"/>
  <c r="F7" i="1"/>
  <c r="G7" i="1" s="1"/>
  <c r="B2" i="52"/>
  <c r="E6" i="52" s="1"/>
  <c r="I2" i="46"/>
  <c r="N12" i="46"/>
  <c r="A7" i="46"/>
  <c r="F41" i="4"/>
  <c r="J52" i="40"/>
  <c r="H61" i="49"/>
  <c r="H39" i="46"/>
  <c r="H38" i="46"/>
  <c r="H37" i="46"/>
  <c r="H36" i="46"/>
  <c r="H35" i="46"/>
  <c r="H34" i="46"/>
  <c r="H33" i="46"/>
  <c r="J20" i="46"/>
  <c r="C18" i="46"/>
  <c r="F15" i="46"/>
  <c r="E15" i="46"/>
  <c r="D15" i="46"/>
  <c r="C15" i="46"/>
  <c r="C10" i="46"/>
  <c r="C11" i="46"/>
  <c r="C9" i="46"/>
  <c r="E21" i="6"/>
  <c r="E9" i="12" s="1"/>
  <c r="E10" i="12" s="1"/>
  <c r="E22" i="6"/>
  <c r="E25" i="6"/>
  <c r="E26" i="6"/>
  <c r="D38" i="4"/>
  <c r="C39" i="4"/>
  <c r="C35" i="4"/>
  <c r="E16" i="12"/>
  <c r="F14" i="12"/>
  <c r="F15" i="12"/>
  <c r="F17" i="12"/>
  <c r="E21"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s="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2" i="37" s="1"/>
  <c r="D3" i="34"/>
  <c r="D3" i="33"/>
  <c r="B2" i="33" s="1"/>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U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B11" i="1"/>
  <c r="E11" i="1"/>
  <c r="B9" i="1"/>
  <c r="E9" i="1"/>
  <c r="B7" i="1"/>
  <c r="E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12"/>
  <c r="I4" i="6"/>
  <c r="G3" i="46"/>
  <c r="Y11" i="46" s="1"/>
  <c r="Y13" i="46" s="1"/>
  <c r="AZ15" i="3"/>
  <c r="G5" i="3"/>
  <c r="B3" i="3"/>
  <c r="BK5" i="3"/>
  <c r="BO5" i="3"/>
  <c r="BP5" i="3"/>
  <c r="BN5" i="3"/>
  <c r="BL18" i="3"/>
  <c r="AZ18"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6" i="63"/>
  <c r="L5" i="54"/>
  <c r="B39" i="63"/>
  <c r="K5" i="54"/>
  <c r="B38" i="63"/>
  <c r="T41" i="4"/>
  <c r="A17" i="64"/>
  <c r="B46" i="50"/>
  <c r="B4" i="63"/>
  <c r="C46" i="36"/>
  <c r="C48" i="35"/>
  <c r="D48" i="35"/>
  <c r="C52" i="37"/>
  <c r="D52" i="37"/>
  <c r="O19" i="46"/>
  <c r="H86" i="46"/>
  <c r="H82" i="46"/>
  <c r="H10" i="48"/>
  <c r="H87" i="46"/>
  <c r="H85" i="46"/>
  <c r="H83" i="46"/>
  <c r="S13" i="1"/>
  <c r="R13" i="1"/>
  <c r="B6" i="1"/>
  <c r="E6" i="1"/>
  <c r="B10" i="1"/>
  <c r="E10" i="1"/>
  <c r="B8" i="1"/>
  <c r="E8"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A9" i="64"/>
  <c r="A9" i="51"/>
  <c r="B9" i="63"/>
  <c r="A3" i="55"/>
  <c r="B56" i="63"/>
  <c r="E4" i="4"/>
  <c r="C4" i="4"/>
  <c r="G66" i="36"/>
  <c r="J18" i="36"/>
  <c r="AE8" i="1"/>
  <c r="AE7" i="1"/>
  <c r="AE6" i="1"/>
  <c r="W18" i="36"/>
  <c r="AC18" i="36"/>
  <c r="AG6" i="1"/>
  <c r="D12" i="11"/>
  <c r="C12" i="11"/>
  <c r="L20" i="6"/>
  <c r="D16" i="43"/>
  <c r="C16" i="43" s="1"/>
  <c r="B21" i="55"/>
  <c r="B72" i="63"/>
  <c r="B20" i="55"/>
  <c r="B70" i="63"/>
  <c r="L38" i="9"/>
  <c r="B14" i="66"/>
  <c r="B1" i="66"/>
  <c r="C45" i="9"/>
  <c r="H14" i="66"/>
  <c r="B7" i="66"/>
  <c r="C7" i="66"/>
  <c r="AY6" i="3"/>
  <c r="D3" i="6"/>
  <c r="D22" i="6"/>
  <c r="D20" i="6"/>
  <c r="D19" i="6"/>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31" i="43"/>
  <c r="C28" i="15"/>
  <c r="H1" i="65"/>
  <c r="W7" i="21"/>
  <c r="H51" i="46"/>
  <c r="X7" i="46"/>
  <c r="E17" i="46"/>
  <c r="N17" i="46"/>
  <c r="O17" i="46"/>
  <c r="M17" i="46"/>
  <c r="L17" i="46"/>
  <c r="H22" i="46"/>
  <c r="D13" i="11"/>
  <c r="C13" i="11"/>
  <c r="E14" i="6"/>
  <c r="E15" i="6"/>
  <c r="E13" i="6"/>
  <c r="E12" i="6"/>
  <c r="E10" i="6"/>
  <c r="E11" i="6"/>
  <c r="AP7" i="1"/>
  <c r="G13" i="1"/>
  <c r="E52" i="37"/>
  <c r="D46" i="36"/>
  <c r="E48" i="35"/>
  <c r="D59" i="34"/>
  <c r="G6" i="1"/>
  <c r="H7" i="33"/>
  <c r="F7" i="33"/>
  <c r="H70" i="46"/>
  <c r="H73" i="46"/>
  <c r="H50" i="46"/>
  <c r="H48" i="46"/>
  <c r="F35" i="46"/>
  <c r="I17" i="46"/>
  <c r="G17" i="46"/>
  <c r="C16" i="46"/>
  <c r="H63" i="46"/>
  <c r="H64" i="46"/>
  <c r="H66" i="46"/>
  <c r="D100" i="46"/>
  <c r="H62" i="46"/>
  <c r="AF12" i="46"/>
  <c r="K100" i="46"/>
  <c r="AB12" i="46"/>
  <c r="AJ12" i="46"/>
  <c r="AA11" i="46"/>
  <c r="AA13" i="46" s="1"/>
  <c r="H60" i="46"/>
  <c r="H59" i="46"/>
  <c r="H74" i="46"/>
  <c r="H65"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c r="P24" i="46"/>
  <c r="B68" i="40"/>
  <c r="F33" i="44"/>
  <c r="F31" i="15"/>
  <c r="F58" i="15"/>
  <c r="M17" i="15"/>
  <c r="M19" i="44"/>
  <c r="E65" i="40"/>
  <c r="D67" i="40"/>
  <c r="F7" i="21"/>
  <c r="E70" i="39"/>
  <c r="D72" i="39"/>
  <c r="AB7" i="21"/>
  <c r="T48" i="21"/>
  <c r="G48" i="21"/>
  <c r="U7" i="21"/>
  <c r="F6" i="59"/>
  <c r="F5" i="59"/>
  <c r="V7" i="59"/>
  <c r="B6" i="59"/>
  <c r="B5" i="59"/>
  <c r="D7" i="59"/>
  <c r="C6" i="59"/>
  <c r="C5" i="46"/>
  <c r="D5"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E30" i="6"/>
  <c r="AB7" i="33"/>
  <c r="T48" i="33"/>
  <c r="G48" i="33"/>
  <c r="U7" i="33"/>
  <c r="F48" i="35"/>
  <c r="E46" i="36"/>
  <c r="AA7" i="33"/>
  <c r="R48" i="33"/>
  <c r="S7" i="33"/>
  <c r="E59" i="34"/>
  <c r="F59" i="34"/>
  <c r="G59" i="34"/>
  <c r="H59" i="34"/>
  <c r="I59" i="34"/>
  <c r="J59" i="34"/>
  <c r="K59" i="34"/>
  <c r="L59" i="34"/>
  <c r="M59" i="34"/>
  <c r="N59" i="34"/>
  <c r="O59" i="34"/>
  <c r="F52" i="37"/>
  <c r="C7" i="46"/>
  <c r="G52" i="21"/>
  <c r="H52" i="21"/>
  <c r="G53" i="21"/>
  <c r="H53" i="21"/>
  <c r="F70" i="39"/>
  <c r="E72" i="39"/>
  <c r="AA7" i="21"/>
  <c r="R48" i="21"/>
  <c r="S7" i="21"/>
  <c r="F65" i="40"/>
  <c r="E67" i="40"/>
  <c r="D6" i="59"/>
  <c r="C5" i="59"/>
  <c r="D5" i="59"/>
  <c r="G20" i="46"/>
  <c r="E41" i="46"/>
  <c r="C41" i="46"/>
  <c r="E63" i="40"/>
  <c r="C22" i="4"/>
  <c r="D25" i="6"/>
  <c r="D10" i="6"/>
  <c r="D13" i="6"/>
  <c r="D6" i="6"/>
  <c r="D14" i="6"/>
  <c r="D28" i="6"/>
  <c r="D8" i="6"/>
  <c r="E45" i="9"/>
  <c r="F45" i="9"/>
  <c r="E68" i="39"/>
  <c r="K38" i="9"/>
  <c r="C14" i="66"/>
  <c r="B2" i="66"/>
  <c r="D24" i="6"/>
  <c r="D26" i="6"/>
  <c r="D11" i="6"/>
  <c r="D12"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F67" i="40"/>
  <c r="G65" i="40"/>
  <c r="E48" i="21"/>
  <c r="R49" i="21"/>
  <c r="F72" i="39"/>
  <c r="G70" i="39"/>
  <c r="F7" i="36"/>
  <c r="S7" i="36"/>
  <c r="M20" i="46"/>
  <c r="C19" i="46"/>
  <c r="D16" i="6"/>
  <c r="D30" i="6"/>
  <c r="D7" i="66"/>
  <c r="D8" i="66"/>
  <c r="A6" i="51"/>
  <c r="B7" i="63"/>
  <c r="A6" i="64"/>
  <c r="A20" i="64"/>
  <c r="A20" i="51"/>
  <c r="B15" i="63"/>
  <c r="N5" i="54"/>
  <c r="B43" i="63"/>
  <c r="AA7" i="36"/>
  <c r="R36" i="36"/>
  <c r="H48" i="35"/>
  <c r="E52" i="33"/>
  <c r="F52" i="33"/>
  <c r="E53" i="33"/>
  <c r="F53" i="33"/>
  <c r="I53" i="33"/>
  <c r="J53" i="33"/>
  <c r="W7" i="34"/>
  <c r="AC7" i="34"/>
  <c r="V49" i="34"/>
  <c r="I49" i="34"/>
  <c r="S7" i="34"/>
  <c r="AA7" i="34"/>
  <c r="R49" i="34"/>
  <c r="H7" i="36"/>
  <c r="C49" i="33"/>
  <c r="B3" i="33"/>
  <c r="C48" i="33"/>
  <c r="AB7" i="34"/>
  <c r="T49" i="34"/>
  <c r="G49" i="34"/>
  <c r="U7" i="34"/>
  <c r="H52" i="37"/>
  <c r="J7" i="36"/>
  <c r="H70" i="39"/>
  <c r="G72" i="39"/>
  <c r="C48" i="21"/>
  <c r="C49" i="21"/>
  <c r="B3" i="21"/>
  <c r="H65" i="40"/>
  <c r="G67" i="40"/>
  <c r="E53" i="21"/>
  <c r="F53" i="21"/>
  <c r="E52" i="21"/>
  <c r="F52" i="21"/>
  <c r="I53" i="21"/>
  <c r="J53" i="21"/>
  <c r="C38" i="46"/>
  <c r="C39" i="4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AA7" i="37"/>
  <c r="R42" i="37"/>
  <c r="S7" i="37"/>
  <c r="E43" i="35"/>
  <c r="F43" i="35"/>
  <c r="E42" i="35"/>
  <c r="F42" i="35"/>
  <c r="I43" i="35"/>
  <c r="J43" i="35"/>
  <c r="C39" i="35"/>
  <c r="B3" i="35"/>
  <c r="C38" i="35"/>
  <c r="H7" i="37"/>
  <c r="J7" i="37"/>
  <c r="AA9" i="40"/>
  <c r="R44" i="40"/>
  <c r="R45" i="40" s="1"/>
  <c r="C44" i="40" s="1"/>
  <c r="S9" i="40"/>
  <c r="W9" i="39"/>
  <c r="J9" i="40"/>
  <c r="S9" i="39"/>
  <c r="U9" i="39"/>
  <c r="H9" i="40"/>
  <c r="W7" i="37"/>
  <c r="AC7" i="37"/>
  <c r="V42" i="37"/>
  <c r="I42" i="37"/>
  <c r="AB7" i="37"/>
  <c r="T42" i="37"/>
  <c r="G42" i="37"/>
  <c r="U7" i="37"/>
  <c r="E42" i="37"/>
  <c r="R43" i="37"/>
  <c r="AB9" i="40"/>
  <c r="T44" i="40"/>
  <c r="G44" i="40" s="1"/>
  <c r="U9" i="40"/>
  <c r="AC9" i="40"/>
  <c r="V44" i="40"/>
  <c r="I44" i="40" s="1"/>
  <c r="W9" i="40"/>
  <c r="C43" i="37"/>
  <c r="B3" i="37"/>
  <c r="C42" i="37"/>
  <c r="I46" i="37"/>
  <c r="J46" i="37"/>
  <c r="I47" i="37"/>
  <c r="J47" i="37"/>
  <c r="E47" i="37"/>
  <c r="F47" i="37"/>
  <c r="E46" i="37"/>
  <c r="F46" i="37"/>
  <c r="G46" i="37"/>
  <c r="H46" i="37"/>
  <c r="G47" i="37"/>
  <c r="H47" i="37"/>
  <c r="B9" i="67"/>
  <c r="F16" i="15"/>
  <c r="F8" i="67"/>
  <c r="F11" i="67"/>
  <c r="F26" i="15"/>
  <c r="E10" i="67"/>
  <c r="B11" i="67"/>
  <c r="M24" i="15"/>
  <c r="F35" i="15"/>
  <c r="F6" i="15"/>
  <c r="F42" i="15"/>
  <c r="J6" i="65"/>
  <c r="B8" i="67"/>
  <c r="M8" i="15"/>
  <c r="J4" i="65"/>
  <c r="F14" i="67"/>
  <c r="I6" i="65"/>
  <c r="F36" i="15"/>
  <c r="L47" i="15"/>
  <c r="F13" i="67"/>
  <c r="F41" i="15"/>
  <c r="E11" i="67"/>
  <c r="F9" i="15"/>
  <c r="M27" i="15"/>
  <c r="F12" i="67"/>
  <c r="N3" i="65"/>
  <c r="E14" i="67"/>
  <c r="F7" i="15"/>
  <c r="I7" i="65"/>
  <c r="F8" i="15"/>
  <c r="E8" i="67"/>
  <c r="N4" i="65"/>
  <c r="I5" i="65"/>
  <c r="F37" i="15"/>
  <c r="M6" i="15"/>
  <c r="F9" i="67"/>
  <c r="F13" i="15"/>
  <c r="N7" i="65"/>
  <c r="E9" i="67"/>
  <c r="L48" i="15"/>
  <c r="E13" i="67"/>
  <c r="M29" i="15"/>
  <c r="J36" i="15"/>
  <c r="M22" i="15"/>
  <c r="I4" i="65"/>
  <c r="J15" i="15"/>
  <c r="B10" i="67"/>
  <c r="M23" i="15"/>
  <c r="J5" i="65"/>
  <c r="M26" i="15"/>
  <c r="B14" i="67"/>
  <c r="F10" i="67"/>
  <c r="E12" i="67"/>
  <c r="M9" i="15"/>
  <c r="F43" i="15"/>
  <c r="N6" i="65"/>
  <c r="E2" i="65"/>
  <c r="F40" i="15"/>
  <c r="N5" i="65"/>
  <c r="M21" i="15"/>
  <c r="J7" i="65"/>
  <c r="I3" i="65"/>
  <c r="F38" i="15"/>
  <c r="M28" i="15"/>
  <c r="B13" i="67"/>
  <c r="J3" i="65"/>
  <c r="B12" i="67"/>
  <c r="P16" i="4" l="1"/>
  <c r="K17" i="4" s="1"/>
  <c r="A22" i="51" s="1"/>
  <c r="B16" i="63" s="1"/>
  <c r="AP12" i="1"/>
  <c r="G12" i="1"/>
  <c r="C34" i="46"/>
  <c r="T10" i="46"/>
  <c r="V10" i="46" s="1"/>
  <c r="T12" i="46"/>
  <c r="V12" i="46" s="1"/>
  <c r="T16" i="46"/>
  <c r="V16" i="46" s="1"/>
  <c r="C36" i="46"/>
  <c r="T13" i="46"/>
  <c r="V13" i="46" s="1"/>
  <c r="T14" i="46"/>
  <c r="V14" i="46" s="1"/>
  <c r="C35" i="46"/>
  <c r="G35" i="46" s="1"/>
  <c r="I35" i="46" s="1"/>
  <c r="C33" i="46"/>
  <c r="F8" i="1"/>
  <c r="AD11" i="46"/>
  <c r="AD13" i="46" s="1"/>
  <c r="AB11" i="46"/>
  <c r="AB13" i="46" s="1"/>
  <c r="F22" i="46"/>
  <c r="I101" i="46"/>
  <c r="I105" i="46" s="1"/>
  <c r="AF11" i="46"/>
  <c r="AF13" i="46" s="1"/>
  <c r="E22" i="46"/>
  <c r="J101" i="46"/>
  <c r="J109" i="46" s="1"/>
  <c r="N101" i="46"/>
  <c r="N102" i="46" s="1"/>
  <c r="J22" i="46"/>
  <c r="B22" i="52"/>
  <c r="B7" i="52"/>
  <c r="N103" i="46"/>
  <c r="AE11" i="46"/>
  <c r="AE13" i="46" s="1"/>
  <c r="AI11" i="46"/>
  <c r="AI13" i="46" s="1"/>
  <c r="Z11" i="46"/>
  <c r="Z13" i="46" s="1"/>
  <c r="Z7" i="46"/>
  <c r="N104" i="45"/>
  <c r="C101" i="46"/>
  <c r="C109" i="46" s="1"/>
  <c r="AC11" i="46"/>
  <c r="AC13" i="46" s="1"/>
  <c r="M101" i="46"/>
  <c r="M109" i="46" s="1"/>
  <c r="D101" i="46"/>
  <c r="D109" i="46" s="1"/>
  <c r="H101" i="46"/>
  <c r="H106" i="46" s="1"/>
  <c r="H9" i="12"/>
  <c r="D9" i="12"/>
  <c r="E34" i="46"/>
  <c r="G34" i="46"/>
  <c r="I34" i="46" s="1"/>
  <c r="C37" i="46"/>
  <c r="T9" i="46"/>
  <c r="V9" i="46" s="1"/>
  <c r="T15" i="46"/>
  <c r="V15" i="46" s="1"/>
  <c r="T8" i="46"/>
  <c r="V8" i="46" s="1"/>
  <c r="T11" i="46"/>
  <c r="V11" i="46" s="1"/>
  <c r="B13" i="52"/>
  <c r="E13" i="52"/>
  <c r="B5" i="52"/>
  <c r="E9" i="52"/>
  <c r="B6" i="52"/>
  <c r="E14" i="52"/>
  <c r="N8" i="68"/>
  <c r="D8" i="12" s="1"/>
  <c r="B2" i="35"/>
  <c r="L19" i="6"/>
  <c r="L27" i="6" s="1"/>
  <c r="J103" i="46"/>
  <c r="C23" i="46"/>
  <c r="C21" i="46" s="1"/>
  <c r="C29" i="46" s="1"/>
  <c r="E29" i="46" s="1"/>
  <c r="I107" i="46"/>
  <c r="N106" i="46"/>
  <c r="I103" i="46"/>
  <c r="N107" i="46"/>
  <c r="I104" i="46"/>
  <c r="E21" i="52"/>
  <c r="B16" i="52"/>
  <c r="E8" i="52"/>
  <c r="E11" i="52"/>
  <c r="B11" i="52"/>
  <c r="AH11" i="46"/>
  <c r="AH13" i="46" s="1"/>
  <c r="AG11" i="46"/>
  <c r="AG13" i="46" s="1"/>
  <c r="K101" i="46"/>
  <c r="K107" i="46" s="1"/>
  <c r="E101" i="46"/>
  <c r="E102" i="46" s="1"/>
  <c r="L101" i="46"/>
  <c r="L104" i="46" s="1"/>
  <c r="B113" i="46"/>
  <c r="B115" i="46" s="1"/>
  <c r="G101" i="46"/>
  <c r="G102" i="46" s="1"/>
  <c r="AJ11" i="46"/>
  <c r="AJ13" i="46" s="1"/>
  <c r="F101" i="46"/>
  <c r="F109" i="46" s="1"/>
  <c r="G22" i="46"/>
  <c r="D22" i="46" s="1"/>
  <c r="D19" i="12"/>
  <c r="C19" i="12" s="1"/>
  <c r="D106" i="46"/>
  <c r="D105" i="46"/>
  <c r="H102" i="46"/>
  <c r="L3" i="12"/>
  <c r="J4" i="68"/>
  <c r="F31" i="6"/>
  <c r="O9" i="1"/>
  <c r="P9" i="1" s="1"/>
  <c r="C45" i="40"/>
  <c r="B62" i="40" s="1"/>
  <c r="F62" i="40" s="1"/>
  <c r="E44" i="40"/>
  <c r="I49" i="40" s="1"/>
  <c r="J49" i="40" s="1"/>
  <c r="D107" i="46"/>
  <c r="L102" i="46"/>
  <c r="B118" i="46"/>
  <c r="C118" i="46" s="1"/>
  <c r="F106" i="46"/>
  <c r="K8" i="1"/>
  <c r="M8" i="1" s="1"/>
  <c r="O8" i="1" s="1"/>
  <c r="E27" i="6"/>
  <c r="D21" i="6"/>
  <c r="O14" i="1"/>
  <c r="P14" i="1" s="1"/>
  <c r="M7" i="1"/>
  <c r="I48" i="40"/>
  <c r="J48" i="40" s="1"/>
  <c r="G49" i="40"/>
  <c r="H49" i="40" s="1"/>
  <c r="G48" i="40"/>
  <c r="H48" i="40" s="1"/>
  <c r="K1" i="43"/>
  <c r="G1" i="44"/>
  <c r="B12" i="1"/>
  <c r="E12" i="1" s="1"/>
  <c r="P13" i="1"/>
  <c r="K12" i="1"/>
  <c r="P11" i="1"/>
  <c r="P10" i="1"/>
  <c r="O6" i="1"/>
  <c r="C15" i="43"/>
  <c r="J1" i="65"/>
  <c r="C4" i="65"/>
  <c r="B39" i="1" s="1"/>
  <c r="F65" i="15"/>
  <c r="F50" i="15"/>
  <c r="E20" i="46"/>
  <c r="F49" i="15"/>
  <c r="M7" i="15"/>
  <c r="J6" i="15" s="1"/>
  <c r="J20" i="15"/>
  <c r="Q72" i="15"/>
  <c r="C6" i="15"/>
  <c r="F62" i="15"/>
  <c r="C61" i="15" s="1"/>
  <c r="C34" i="15"/>
  <c r="F67" i="15"/>
  <c r="B40" i="1"/>
  <c r="J57" i="15"/>
  <c r="J55" i="15" s="1"/>
  <c r="J58" i="15" s="1"/>
  <c r="Q51" i="15" s="1"/>
  <c r="J53" i="15"/>
  <c r="I54" i="15"/>
  <c r="L56" i="15"/>
  <c r="F70" i="15"/>
  <c r="C27" i="15"/>
  <c r="F68" i="15"/>
  <c r="L59" i="15"/>
  <c r="L58" i="15"/>
  <c r="F64" i="15"/>
  <c r="F63" i="15"/>
  <c r="B15" i="52"/>
  <c r="E7" i="52"/>
  <c r="E4" i="52"/>
  <c r="E5" i="52"/>
  <c r="E22" i="52"/>
  <c r="B10" i="52"/>
  <c r="B4" i="52"/>
  <c r="E17" i="52"/>
  <c r="E15" i="52"/>
  <c r="B14" i="52"/>
  <c r="E16" i="52"/>
  <c r="B9" i="52"/>
  <c r="B8" i="52"/>
  <c r="E10" i="52"/>
  <c r="C20" i="12"/>
  <c r="J17" i="44"/>
  <c r="L49" i="44"/>
  <c r="M30" i="44"/>
  <c r="F28" i="44"/>
  <c r="M29" i="44"/>
  <c r="F9" i="44"/>
  <c r="F18" i="44"/>
  <c r="L48" i="44"/>
  <c r="F11" i="44"/>
  <c r="M25" i="44"/>
  <c r="M26" i="44"/>
  <c r="F38" i="44"/>
  <c r="F40" i="44"/>
  <c r="E3" i="65"/>
  <c r="F45" i="44"/>
  <c r="F15" i="44"/>
  <c r="F10" i="44"/>
  <c r="F39" i="44"/>
  <c r="M31" i="44"/>
  <c r="M24" i="44"/>
  <c r="M8" i="44"/>
  <c r="M23" i="44"/>
  <c r="F37" i="44"/>
  <c r="C16" i="15"/>
  <c r="M28" i="44"/>
  <c r="C19" i="44"/>
  <c r="M11" i="44"/>
  <c r="F46" i="44"/>
  <c r="F8" i="44"/>
  <c r="C17" i="15"/>
  <c r="F43" i="44"/>
  <c r="M10" i="44"/>
  <c r="B61" i="40" l="1"/>
  <c r="F61" i="40" s="1"/>
  <c r="E35" i="46"/>
  <c r="AP8" i="1"/>
  <c r="G8" i="1"/>
  <c r="G16" i="1" s="1"/>
  <c r="B57" i="40"/>
  <c r="F57" i="40" s="1"/>
  <c r="G33" i="46"/>
  <c r="I33" i="46" s="1"/>
  <c r="E33" i="46"/>
  <c r="C26" i="46" s="1"/>
  <c r="B2" i="46" s="1"/>
  <c r="E36" i="46"/>
  <c r="G36" i="46"/>
  <c r="I36" i="46" s="1"/>
  <c r="D117" i="46"/>
  <c r="E117" i="46" s="1"/>
  <c r="F117" i="46" s="1"/>
  <c r="G117" i="46" s="1"/>
  <c r="H117" i="46" s="1"/>
  <c r="E104" i="46"/>
  <c r="D102" i="46"/>
  <c r="D104" i="46"/>
  <c r="D103" i="46"/>
  <c r="I109" i="46"/>
  <c r="B59" i="40"/>
  <c r="F59" i="40" s="1"/>
  <c r="B56" i="40"/>
  <c r="F56" i="40" s="1"/>
  <c r="B55" i="40"/>
  <c r="F55" i="40" s="1"/>
  <c r="G118" i="46"/>
  <c r="H118" i="46" s="1"/>
  <c r="M106" i="46"/>
  <c r="I102" i="46"/>
  <c r="I106" i="46"/>
  <c r="J107" i="46"/>
  <c r="J105" i="46"/>
  <c r="J106" i="46"/>
  <c r="G103" i="46"/>
  <c r="C102" i="46"/>
  <c r="S7" i="46" s="1"/>
  <c r="T7" i="46" s="1"/>
  <c r="V7" i="46" s="1"/>
  <c r="H105" i="46"/>
  <c r="C30" i="46"/>
  <c r="E30" i="46" s="1"/>
  <c r="J102" i="46"/>
  <c r="C104" i="46"/>
  <c r="H109" i="46"/>
  <c r="J104" i="46"/>
  <c r="N105" i="46"/>
  <c r="N104" i="46"/>
  <c r="N109" i="46"/>
  <c r="D10" i="12"/>
  <c r="C6" i="12" s="1"/>
  <c r="C29" i="12" s="1"/>
  <c r="M107" i="46"/>
  <c r="M104" i="46"/>
  <c r="F102" i="46"/>
  <c r="G105" i="46"/>
  <c r="L109" i="46"/>
  <c r="K102" i="46"/>
  <c r="H107" i="46"/>
  <c r="C107" i="46"/>
  <c r="C105" i="46"/>
  <c r="H104" i="46"/>
  <c r="H103" i="46"/>
  <c r="M102" i="46"/>
  <c r="C106" i="46"/>
  <c r="M103" i="46"/>
  <c r="M105" i="46"/>
  <c r="C103" i="46"/>
  <c r="B54" i="40"/>
  <c r="F54" i="40" s="1"/>
  <c r="B58" i="40"/>
  <c r="F58" i="40" s="1"/>
  <c r="B60" i="40"/>
  <c r="F60" i="40" s="1"/>
  <c r="F63" i="40"/>
  <c r="B2" i="40" s="1"/>
  <c r="B5" i="40" s="1"/>
  <c r="B53" i="40"/>
  <c r="F53" i="40" s="1"/>
  <c r="G37" i="46"/>
  <c r="I37" i="46" s="1"/>
  <c r="E37" i="46"/>
  <c r="E48" i="40"/>
  <c r="F48" i="40" s="1"/>
  <c r="F103" i="46"/>
  <c r="G109" i="46"/>
  <c r="L103" i="46"/>
  <c r="K104" i="46"/>
  <c r="I116" i="46"/>
  <c r="J116" i="46" s="1"/>
  <c r="K116" i="46" s="1"/>
  <c r="L116" i="46" s="1"/>
  <c r="M116" i="46" s="1"/>
  <c r="D118" i="46"/>
  <c r="E118" i="46" s="1"/>
  <c r="F118" i="46" s="1"/>
  <c r="I118" i="46"/>
  <c r="J118" i="46" s="1"/>
  <c r="K118" i="46" s="1"/>
  <c r="L118" i="46" s="1"/>
  <c r="M118" i="46" s="1"/>
  <c r="D116" i="46"/>
  <c r="E116" i="46" s="1"/>
  <c r="F116" i="46" s="1"/>
  <c r="G116" i="46" s="1"/>
  <c r="H116" i="46" s="1"/>
  <c r="I117" i="46"/>
  <c r="J117" i="46" s="1"/>
  <c r="K117" i="46" s="1"/>
  <c r="L117" i="46" s="1"/>
  <c r="M117" i="46" s="1"/>
  <c r="E103" i="46"/>
  <c r="E106" i="46"/>
  <c r="E107" i="46"/>
  <c r="E109" i="46"/>
  <c r="B117" i="46"/>
  <c r="C117" i="46" s="1"/>
  <c r="D115" i="46"/>
  <c r="E115" i="46" s="1"/>
  <c r="F115" i="46" s="1"/>
  <c r="G115" i="46" s="1"/>
  <c r="H115" i="46" s="1"/>
  <c r="B116" i="46"/>
  <c r="C116" i="46" s="1"/>
  <c r="I115" i="46"/>
  <c r="J115" i="46" s="1"/>
  <c r="K115" i="46" s="1"/>
  <c r="L115" i="46" s="1"/>
  <c r="M115" i="46" s="1"/>
  <c r="E105" i="46"/>
  <c r="F107" i="46"/>
  <c r="F104" i="46"/>
  <c r="F105" i="46"/>
  <c r="G106" i="46"/>
  <c r="G107" i="46"/>
  <c r="G104" i="46"/>
  <c r="L105" i="46"/>
  <c r="L106" i="46"/>
  <c r="L107" i="46"/>
  <c r="K103" i="46"/>
  <c r="K105" i="46"/>
  <c r="K106" i="46"/>
  <c r="K109" i="46"/>
  <c r="D27" i="6"/>
  <c r="D31" i="6" s="1"/>
  <c r="I6" i="6" s="1"/>
  <c r="P8" i="1"/>
  <c r="E49" i="40"/>
  <c r="F49" i="40" s="1"/>
  <c r="K26" i="6"/>
  <c r="M26" i="6" s="1"/>
  <c r="I26" i="6" s="1"/>
  <c r="E31" i="6"/>
  <c r="K20" i="6"/>
  <c r="K21" i="6"/>
  <c r="K24" i="6"/>
  <c r="K25" i="6"/>
  <c r="K23" i="6"/>
  <c r="K19" i="6"/>
  <c r="K22" i="6"/>
  <c r="C115" i="46"/>
  <c r="S2" i="46"/>
  <c r="T2" i="46" s="1"/>
  <c r="V2" i="46" s="1"/>
  <c r="S3" i="46"/>
  <c r="T3" i="46" s="1"/>
  <c r="V3" i="46" s="1"/>
  <c r="L59" i="44"/>
  <c r="Q62" i="44" s="1"/>
  <c r="L60" i="44"/>
  <c r="Q76" i="44" s="1"/>
  <c r="C36" i="44"/>
  <c r="J22" i="44"/>
  <c r="M9" i="44"/>
  <c r="J8" i="44" s="1"/>
  <c r="J20" i="44" s="1"/>
  <c r="C29" i="44"/>
  <c r="C8" i="44"/>
  <c r="C34" i="44" s="1"/>
  <c r="J54" i="44"/>
  <c r="F1" i="44" s="1"/>
  <c r="L57" i="44"/>
  <c r="J60" i="44"/>
  <c r="J58" i="44"/>
  <c r="J56" i="44" s="1"/>
  <c r="J59" i="44" s="1"/>
  <c r="Q52" i="44" s="1"/>
  <c r="I55" i="44"/>
  <c r="J61" i="44"/>
  <c r="Q50" i="44" s="1"/>
  <c r="Q73" i="44"/>
  <c r="P6" i="1"/>
  <c r="M12" i="1"/>
  <c r="AP16" i="1"/>
  <c r="F22" i="11" s="1"/>
  <c r="K16" i="1"/>
  <c r="H16" i="1"/>
  <c r="Q16" i="1"/>
  <c r="B3" i="40"/>
  <c r="O7" i="1"/>
  <c r="P7" i="1" s="1"/>
  <c r="F17" i="11"/>
  <c r="C17" i="11" s="1"/>
  <c r="Q62" i="15"/>
  <c r="Q75" i="15"/>
  <c r="Q53" i="15"/>
  <c r="F1" i="15"/>
  <c r="F21" i="43"/>
  <c r="F26" i="44"/>
  <c r="C26" i="44" s="1"/>
  <c r="F26" i="12"/>
  <c r="C27" i="12" s="1"/>
  <c r="D26" i="12" s="1"/>
  <c r="C32" i="12" s="1"/>
  <c r="D30" i="12" s="1"/>
  <c r="F24" i="15"/>
  <c r="C24" i="15" s="1"/>
  <c r="O28" i="46"/>
  <c r="M28" i="46"/>
  <c r="N28" i="46"/>
  <c r="P28" i="46"/>
  <c r="Q74" i="15"/>
  <c r="Q61" i="15"/>
  <c r="J18" i="15"/>
  <c r="C32" i="15"/>
  <c r="C48" i="15"/>
  <c r="M11" i="15"/>
  <c r="J10" i="15" s="1"/>
  <c r="J5" i="15" s="1"/>
  <c r="M13" i="44"/>
  <c r="J12" i="44" s="1"/>
  <c r="F13" i="44"/>
  <c r="C12" i="44" s="1"/>
  <c r="F11" i="15"/>
  <c r="B7" i="67"/>
  <c r="C18" i="44"/>
  <c r="F7" i="67"/>
  <c r="C27" i="46" l="1"/>
  <c r="C24" i="12"/>
  <c r="S4" i="46"/>
  <c r="T4" i="46" s="1"/>
  <c r="V4" i="46" s="1"/>
  <c r="S6" i="46"/>
  <c r="T6" i="46" s="1"/>
  <c r="V6" i="46" s="1"/>
  <c r="S5" i="46"/>
  <c r="T5" i="46" s="1"/>
  <c r="V5" i="46" s="1"/>
  <c r="B4" i="40"/>
  <c r="J7" i="44"/>
  <c r="J26" i="44" s="1"/>
  <c r="Q75" i="44"/>
  <c r="Q54" i="44"/>
  <c r="Q63" i="44"/>
  <c r="E4" i="67"/>
  <c r="L47" i="44"/>
  <c r="I5" i="6"/>
  <c r="B2" i="67"/>
  <c r="S6" i="1"/>
  <c r="M19" i="6"/>
  <c r="K27" i="6"/>
  <c r="M25" i="6"/>
  <c r="I25" i="6" s="1"/>
  <c r="S12" i="1"/>
  <c r="S8" i="1"/>
  <c r="M21" i="6"/>
  <c r="I21" i="6" s="1"/>
  <c r="B4" i="46"/>
  <c r="D4" i="46"/>
  <c r="B3" i="46"/>
  <c r="C7" i="44"/>
  <c r="D113" i="46"/>
  <c r="S9" i="1"/>
  <c r="M22" i="6"/>
  <c r="I22" i="6" s="1"/>
  <c r="S10" i="1"/>
  <c r="M23" i="6"/>
  <c r="I23" i="6" s="1"/>
  <c r="M24" i="6"/>
  <c r="I24" i="6" s="1"/>
  <c r="S11" i="1"/>
  <c r="S7" i="1"/>
  <c r="M20" i="6"/>
  <c r="I20" i="6" s="1"/>
  <c r="H26" i="6"/>
  <c r="R26" i="6" s="1"/>
  <c r="S26" i="6"/>
  <c r="H12" i="39"/>
  <c r="F12" i="40"/>
  <c r="J12" i="40"/>
  <c r="H12" i="40"/>
  <c r="F12" i="39"/>
  <c r="J12" i="39"/>
  <c r="F18" i="11"/>
  <c r="C18" i="11" s="1"/>
  <c r="C19" i="11" s="1"/>
  <c r="F24" i="43"/>
  <c r="C26" i="43" s="1"/>
  <c r="D24" i="43" s="1"/>
  <c r="F33" i="12"/>
  <c r="C34" i="12" s="1"/>
  <c r="D33" i="12" s="1"/>
  <c r="O12" i="1"/>
  <c r="P12" i="1" s="1"/>
  <c r="P16" i="1" s="1"/>
  <c r="C13" i="12" s="1"/>
  <c r="M16" i="1"/>
  <c r="C15" i="12"/>
  <c r="C40" i="44"/>
  <c r="J26" i="15"/>
  <c r="J29" i="15" s="1"/>
  <c r="J24" i="15"/>
  <c r="J28" i="44"/>
  <c r="J31" i="44" s="1"/>
  <c r="C52" i="15"/>
  <c r="C47" i="15" s="1"/>
  <c r="C10" i="15"/>
  <c r="C5" i="15" s="1"/>
  <c r="C23" i="43"/>
  <c r="D21" i="43" s="1"/>
  <c r="L52" i="44"/>
  <c r="E7" i="67"/>
  <c r="E3" i="67" l="1"/>
  <c r="B3" i="67" s="1"/>
  <c r="S20" i="6"/>
  <c r="H20" i="6"/>
  <c r="R20" i="6" s="1"/>
  <c r="R7" i="1" s="1"/>
  <c r="H23" i="6"/>
  <c r="R23" i="6" s="1"/>
  <c r="R10" i="1" s="1"/>
  <c r="S23" i="6"/>
  <c r="S22" i="6"/>
  <c r="H22" i="6"/>
  <c r="R22" i="6" s="1"/>
  <c r="R9" i="1" s="1"/>
  <c r="S25" i="6"/>
  <c r="H25" i="6"/>
  <c r="R25" i="6" s="1"/>
  <c r="R12" i="1" s="1"/>
  <c r="I19" i="6"/>
  <c r="M27" i="6"/>
  <c r="B4" i="67"/>
  <c r="H24" i="6"/>
  <c r="R24" i="6" s="1"/>
  <c r="R11" i="1" s="1"/>
  <c r="S24" i="6"/>
  <c r="H21" i="6"/>
  <c r="R21" i="6" s="1"/>
  <c r="R8" i="1" s="1"/>
  <c r="S21" i="6"/>
  <c r="S16" i="1"/>
  <c r="C20" i="11"/>
  <c r="C21" i="11" s="1"/>
  <c r="C22" i="11" s="1"/>
  <c r="C23" i="11" s="1"/>
  <c r="B2" i="11" s="1"/>
  <c r="C17" i="12"/>
  <c r="C14" i="12"/>
  <c r="L16" i="1"/>
  <c r="C13" i="43"/>
  <c r="N16" i="1"/>
  <c r="C29" i="43" s="1"/>
  <c r="AA12" i="39"/>
  <c r="R49" i="39" s="1"/>
  <c r="S12" i="39"/>
  <c r="AC12" i="40"/>
  <c r="W12" i="40"/>
  <c r="AB12" i="39"/>
  <c r="T49" i="39" s="1"/>
  <c r="G49" i="39" s="1"/>
  <c r="U12" i="39"/>
  <c r="O16" i="1"/>
  <c r="AC12" i="39"/>
  <c r="V49" i="39" s="1"/>
  <c r="I49" i="39" s="1"/>
  <c r="W12" i="39"/>
  <c r="U12" i="40"/>
  <c r="AB12" i="40"/>
  <c r="S12" i="40"/>
  <c r="AA12" i="40"/>
  <c r="Q69" i="44"/>
  <c r="L58" i="44"/>
  <c r="L61" i="44" s="1"/>
  <c r="C38" i="15"/>
  <c r="Q58" i="44"/>
  <c r="Q67" i="44"/>
  <c r="Q49" i="44"/>
  <c r="Q55" i="44" s="1"/>
  <c r="C65" i="15"/>
  <c r="C59" i="15"/>
  <c r="C18" i="12" l="1"/>
  <c r="T10" i="1"/>
  <c r="T6" i="1"/>
  <c r="T7" i="1"/>
  <c r="T11" i="1"/>
  <c r="T13" i="1"/>
  <c r="T9" i="1"/>
  <c r="T8" i="1"/>
  <c r="T12" i="1"/>
  <c r="S19" i="6"/>
  <c r="S27" i="6" s="1"/>
  <c r="H19" i="6"/>
  <c r="I27" i="6"/>
  <c r="C23" i="12"/>
  <c r="C28" i="12" s="1"/>
  <c r="C26" i="12" s="1"/>
  <c r="B4" i="11"/>
  <c r="B5" i="11"/>
  <c r="B3" i="11"/>
  <c r="G54" i="39"/>
  <c r="H54" i="39" s="1"/>
  <c r="G53" i="39"/>
  <c r="H53" i="39" s="1"/>
  <c r="R50" i="39"/>
  <c r="E49" i="39"/>
  <c r="C14" i="43"/>
  <c r="C17" i="43"/>
  <c r="I53" i="39"/>
  <c r="J53" i="39" s="1"/>
  <c r="I54" i="39"/>
  <c r="J54" i="39" s="1"/>
  <c r="Q68" i="44"/>
  <c r="Q77" i="44" s="1"/>
  <c r="Q59" i="44"/>
  <c r="Q64" i="44" s="1"/>
  <c r="C14" i="15"/>
  <c r="C16" i="44"/>
  <c r="C31" i="12" l="1"/>
  <c r="C30" i="12" s="1"/>
  <c r="C35" i="12"/>
  <c r="C33" i="12" s="1"/>
  <c r="C18" i="43"/>
  <c r="C20" i="44"/>
  <c r="C17" i="44"/>
  <c r="C18" i="15"/>
  <c r="C15" i="15"/>
  <c r="R19" i="6"/>
  <c r="H27" i="6"/>
  <c r="T16" i="1"/>
  <c r="C19" i="43"/>
  <c r="C50" i="39"/>
  <c r="C49" i="39"/>
  <c r="E53" i="39"/>
  <c r="F53" i="39" s="1"/>
  <c r="E54" i="39"/>
  <c r="F54" i="39" s="1"/>
  <c r="C36" i="12" l="1"/>
  <c r="B2" i="12" s="1"/>
  <c r="C22" i="43"/>
  <c r="C21" i="43" s="1"/>
  <c r="C25" i="43"/>
  <c r="C24" i="43" s="1"/>
  <c r="C19" i="15"/>
  <c r="C20" i="15" s="1"/>
  <c r="C23" i="15" s="1"/>
  <c r="C21" i="44"/>
  <c r="C22" i="44" s="1"/>
  <c r="R6" i="1"/>
  <c r="R16" i="1" s="1"/>
  <c r="R27" i="6"/>
  <c r="B3" i="12"/>
  <c r="B5" i="12"/>
  <c r="B4" i="12"/>
  <c r="B58" i="39"/>
  <c r="F58" i="39" s="1"/>
  <c r="B59" i="39"/>
  <c r="F59" i="39" s="1"/>
  <c r="B60" i="39"/>
  <c r="F60" i="39" s="1"/>
  <c r="B61" i="39"/>
  <c r="F61" i="39" s="1"/>
  <c r="B62" i="39"/>
  <c r="F62" i="39" s="1"/>
  <c r="B63" i="39"/>
  <c r="F63" i="39" s="1"/>
  <c r="B64" i="39"/>
  <c r="F64" i="39" s="1"/>
  <c r="B65" i="39"/>
  <c r="F65" i="39" s="1"/>
  <c r="B66" i="39"/>
  <c r="F66" i="39" s="1"/>
  <c r="B67" i="39"/>
  <c r="F67" i="39" s="1"/>
  <c r="D19" i="9"/>
  <c r="D20" i="9"/>
  <c r="D21" i="9"/>
  <c r="L44" i="9" l="1"/>
  <c r="C28" i="43"/>
  <c r="C30" i="43" s="1"/>
  <c r="C32" i="43" s="1"/>
  <c r="B2" i="43" s="1"/>
  <c r="B5" i="43" s="1"/>
  <c r="C26" i="15"/>
  <c r="C29" i="15" s="1"/>
  <c r="C36" i="15" s="1"/>
  <c r="C25" i="44"/>
  <c r="C28" i="44"/>
  <c r="F68" i="39"/>
  <c r="B2" i="39" s="1"/>
  <c r="C19" i="9"/>
  <c r="B3" i="43" l="1"/>
  <c r="B4" i="43"/>
  <c r="C33" i="15"/>
  <c r="C31" i="15" s="1"/>
  <c r="J19" i="15"/>
  <c r="J17" i="15" s="1"/>
  <c r="J14" i="15"/>
  <c r="J22" i="15" s="1"/>
  <c r="Q50" i="15"/>
  <c r="J59" i="15"/>
  <c r="J60" i="15" s="1"/>
  <c r="Q49" i="15" s="1"/>
  <c r="C13" i="15"/>
  <c r="C56" i="15"/>
  <c r="C31" i="44"/>
  <c r="C35" i="44" s="1"/>
  <c r="C33" i="44" s="1"/>
  <c r="L43" i="9"/>
  <c r="G19" i="9"/>
  <c r="D22" i="9"/>
  <c r="B4" i="39"/>
  <c r="B5" i="39"/>
  <c r="B3" i="39"/>
  <c r="C20" i="9"/>
  <c r="C21" i="9"/>
  <c r="J16" i="44" l="1"/>
  <c r="J15" i="44" s="1"/>
  <c r="J25" i="44" s="1"/>
  <c r="Q51" i="44"/>
  <c r="J13" i="15"/>
  <c r="J23" i="15" s="1"/>
  <c r="J16" i="15" s="1"/>
  <c r="J25" i="15" s="1"/>
  <c r="L46" i="15"/>
  <c r="J35" i="15"/>
  <c r="C55" i="15"/>
  <c r="C64" i="15" s="1"/>
  <c r="Q71" i="15"/>
  <c r="C37" i="15"/>
  <c r="C30" i="15" s="1"/>
  <c r="C39" i="15" s="1"/>
  <c r="C63" i="15"/>
  <c r="C60" i="15"/>
  <c r="C58" i="15" s="1"/>
  <c r="C38" i="44"/>
  <c r="J21" i="44"/>
  <c r="J19" i="44" s="1"/>
  <c r="C15" i="44"/>
  <c r="C39" i="44" s="1"/>
  <c r="C32" i="44" s="1"/>
  <c r="C42" i="44" s="1"/>
  <c r="G20" i="9"/>
  <c r="G21" i="9"/>
  <c r="N43" i="9"/>
  <c r="A27" i="9"/>
  <c r="C32" i="9"/>
  <c r="G22" i="9"/>
  <c r="L51" i="15"/>
  <c r="J24" i="44" l="1"/>
  <c r="J18" i="44" s="1"/>
  <c r="J27" i="44" s="1"/>
  <c r="C43" i="44"/>
  <c r="C44" i="44" s="1"/>
  <c r="C45" i="44" s="1"/>
  <c r="B2" i="44" s="1"/>
  <c r="Q72" i="44"/>
  <c r="C57" i="15"/>
  <c r="C66" i="15" s="1"/>
  <c r="C67" i="15" s="1"/>
  <c r="C70" i="15" s="1"/>
  <c r="Q68" i="15"/>
  <c r="L57" i="15"/>
  <c r="L60" i="15" s="1"/>
  <c r="C40" i="15"/>
  <c r="Q70" i="15"/>
  <c r="Q69" i="15" s="1"/>
  <c r="J39" i="15"/>
  <c r="J40" i="15" s="1"/>
  <c r="Q71" i="44"/>
  <c r="C33" i="9"/>
  <c r="C34" i="9"/>
  <c r="C35" i="9"/>
  <c r="F42" i="9" s="1"/>
  <c r="O43" i="9"/>
  <c r="C42" i="9"/>
  <c r="O38" i="9"/>
  <c r="Q70" i="44" l="1"/>
  <c r="C46" i="15"/>
  <c r="Q58" i="15"/>
  <c r="Q67" i="15"/>
  <c r="Q57" i="15"/>
  <c r="Q63" i="15" s="1"/>
  <c r="Q48" i="15"/>
  <c r="Q54" i="15" s="1"/>
  <c r="B2" i="15"/>
  <c r="B3" i="15" s="1"/>
  <c r="Q66" i="15"/>
  <c r="Q76" i="15" s="1"/>
  <c r="C43" i="15"/>
  <c r="J42" i="15"/>
  <c r="J43" i="15" s="1"/>
  <c r="B5" i="44"/>
  <c r="B3" i="44"/>
  <c r="B4" i="44"/>
  <c r="K26" i="9"/>
  <c r="K25" i="9"/>
  <c r="E42" i="9"/>
  <c r="P5" i="54" s="1"/>
  <c r="B46" i="63" s="1"/>
  <c r="M38" i="9"/>
  <c r="K27" i="9" s="1"/>
  <c r="N68" i="9"/>
  <c r="D63" i="9"/>
  <c r="C44" i="9"/>
  <c r="D14" i="66"/>
  <c r="R5" i="54"/>
  <c r="B48" i="63" s="1"/>
  <c r="D42" i="9"/>
  <c r="Q5" i="54" s="1"/>
  <c r="B47" i="63" s="1"/>
  <c r="N38" i="9"/>
  <c r="K28" i="9" s="1"/>
  <c r="F14" i="66" l="1"/>
  <c r="E14" i="66"/>
  <c r="B5" i="66"/>
  <c r="C103" i="9"/>
  <c r="C96" i="9"/>
  <c r="C91" i="9" s="1"/>
  <c r="C111" i="9"/>
  <c r="C104" i="9" s="1"/>
  <c r="C90" i="9"/>
  <c r="C97" i="9" s="1"/>
  <c r="C82" i="9"/>
  <c r="C81" i="9" s="1"/>
  <c r="C85" i="9" s="1"/>
  <c r="C86" i="9" s="1"/>
  <c r="D72" i="9" s="1"/>
  <c r="D77" i="9"/>
  <c r="N75" i="9" s="1"/>
  <c r="D70" i="9"/>
  <c r="D71" i="9"/>
  <c r="D66" i="9" s="1"/>
  <c r="N72" i="9" s="1"/>
  <c r="O39" i="9"/>
  <c r="E44" i="9"/>
  <c r="F44" i="9"/>
  <c r="G14" i="66"/>
  <c r="B6" i="66" s="1"/>
  <c r="D44" i="9"/>
  <c r="N69" i="9"/>
  <c r="R6" i="54" l="1"/>
  <c r="B50" i="63" s="1"/>
  <c r="K29" i="9"/>
  <c r="K30" i="9" s="1"/>
  <c r="C113" i="9"/>
  <c r="M83" i="9"/>
  <c r="N83" i="9" s="1"/>
  <c r="M85" i="9"/>
  <c r="N85" i="9" s="1"/>
  <c r="M87" i="9"/>
  <c r="N87" i="9" s="1"/>
  <c r="M84" i="9"/>
  <c r="N84" i="9" s="1"/>
  <c r="M86" i="9"/>
  <c r="N86" i="9" s="1"/>
  <c r="M88" i="9"/>
  <c r="N88" i="9" s="1"/>
  <c r="C6" i="66"/>
  <c r="D6" i="66"/>
  <c r="C98" i="9"/>
  <c r="E98" i="9" s="1"/>
  <c r="E99" i="9" s="1"/>
  <c r="C5" i="66"/>
  <c r="D5" i="66"/>
  <c r="C99" i="9" l="1"/>
  <c r="N89" i="9"/>
  <c r="O89" i="9" s="1"/>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<sst xmlns="http://schemas.openxmlformats.org/spreadsheetml/2006/main" count="7125" uniqueCount="3168">
  <si>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</si>
  <si>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</si>
  <si>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</si>
  <si>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</si>
  <si>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</si>
  <si>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</si>
  <si>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</si>
  <si>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</si>
  <si>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</si>
  <si>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</si>
  <si>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</si>
  <si>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</si>
  <si>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</si>
  <si>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</si>
  <si>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</si>
  <si>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</si>
  <si>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</si>
  <si>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</si>
  <si>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</si>
  <si>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</si>
  <si>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</si>
  <si>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</si>
  <si>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</si>
  <si>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</si>
  <si>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</si>
  <si>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</si>
  <si>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</si>
  <si>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</si>
  <si>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</si>
  <si>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</si>
  <si>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</si>
  <si>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</si>
  <si>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</si>
  <si>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</si>
  <si>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</si>
  <si>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</si>
  <si>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</si>
  <si>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</si>
  <si>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</si>
  <si>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</si>
  <si>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</si>
  <si>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</si>
  <si>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</si>
  <si>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</si>
  <si>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</si>
  <si>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</si>
  <si>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</si>
  <si>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</si>
  <si>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</si>
  <si>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</si>
  <si>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</si>
  <si>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</si>
  <si>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</si>
  <si>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</si>
  <si>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</si>
  <si>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</si>
  <si>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</si>
  <si>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</si>
  <si>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</si>
  <si>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</si>
  <si>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</si>
  <si>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</si>
  <si>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</si>
  <si>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</si>
  <si>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</si>
  <si>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</si>
  <si>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</si>
  <si>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</si>
  <si>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</si>
  <si>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</si>
  <si>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</si>
  <si>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</si>
  <si>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</si>
  <si>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</si>
  <si>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</si>
  <si>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</si>
  <si>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</si>
  <si>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</si>
  <si>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</si>
  <si>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</si>
  <si>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</si>
  <si>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</si>
  <si>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</si>
  <si>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</si>
  <si>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</si>
  <si>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</si>
  <si>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</si>
  <si>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</si>
  <si>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</si>
  <si>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</si>
  <si>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</si>
  <si>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</si>
  <si>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</si>
  <si>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</si>
  <si>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</si>
  <si>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</si>
  <si>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</si>
  <si>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</si>
  <si>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</si>
  <si>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</si>
  <si>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</si>
  <si>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</si>
  <si>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</si>
  <si>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</si>
  <si>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</si>
  <si>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</si>
  <si>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</si>
  <si>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</si>
  <si>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</si>
  <si>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</si>
  <si>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</si>
  <si>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</si>
  <si>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</si>
  <si>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</si>
  <si>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</si>
  <si>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</si>
  <si>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</si>
  <si>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</si>
  <si>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</si>
  <si>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</si>
  <si>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</si>
  <si>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</si>
  <si>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</si>
  <si>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</si>
  <si>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</si>
  <si>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</si>
  <si>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</si>
  <si>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</si>
  <si>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</si>
  <si>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</si>
  <si>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</si>
  <si>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</si>
  <si>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</si>
  <si>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</si>
  <si>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</si>
  <si>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</si>
  <si>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</si>
  <si>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</si>
  <si>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</si>
  <si>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</si>
  <si>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</si>
  <si>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</si>
  <si>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</si>
  <si>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</si>
  <si>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</si>
  <si>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</si>
  <si>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</si>
  <si>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</si>
  <si>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</si>
  <si>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</si>
  <si>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</si>
  <si>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</si>
  <si>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</si>
  <si>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</si>
  <si>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</si>
  <si>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</si>
  <si>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</si>
  <si>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</si>
  <si>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</si>
  <si>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</si>
  <si>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</si>
  <si>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</si>
  <si>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</si>
  <si>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</si>
  <si>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</si>
  <si>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</si>
  <si>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</si>
  <si>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</si>
  <si>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</si>
  <si>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</si>
  <si>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</si>
  <si>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</si>
  <si>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</si>
  <si>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</si>
  <si>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</si>
  <si>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</si>
  <si>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</si>
  <si>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</si>
  <si>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</si>
  <si>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</si>
  <si>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</si>
  <si>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</si>
  <si>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</si>
  <si>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</si>
  <si>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</si>
  <si>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</si>
  <si>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</si>
  <si>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</si>
  <si>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</si>
  <si>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</si>
  <si>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</si>
  <si>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</si>
  <si>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</si>
  <si>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</si>
  <si>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</si>
  <si>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</si>
  <si>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</si>
  <si>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</si>
  <si>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</si>
  <si>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</si>
  <si>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</si>
  <si>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</si>
  <si>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</si>
  <si>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</si>
  <si>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</si>
  <si>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</si>
  <si>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</si>
  <si>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</si>
  <si>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</si>
  <si>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</si>
  <si>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</si>
  <si>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</si>
  <si>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</si>
  <si>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</si>
  <si>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</si>
  <si>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</si>
  <si>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</si>
  <si>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</si>
  <si>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</si>
  <si>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</si>
  <si>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</si>
  <si>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</si>
  <si>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</si>
  <si>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</si>
  <si>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</si>
  <si>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</si>
  <si>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</si>
  <si>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</si>
  <si>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</si>
  <si>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</si>
  <si>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</si>
  <si>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</si>
  <si>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</si>
  <si>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</si>
  <si>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</si>
  <si>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</si>
  <si>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</si>
  <si>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</si>
  <si>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</si>
  <si>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</si>
  <si>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</si>
  <si>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</si>
  <si>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</si>
  <si>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</si>
  <si>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</si>
  <si>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</si>
  <si>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</si>
  <si>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</si>
  <si>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</si>
  <si>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</si>
  <si>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</si>
  <si>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</si>
  <si>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</si>
  <si>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</si>
  <si>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</si>
  <si>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</si>
  <si>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</si>
  <si>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</si>
  <si>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</si>
  <si>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</si>
  <si>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</si>
  <si>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</si>
  <si>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</si>
  <si>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</si>
  <si>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</si>
  <si>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</si>
  <si>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</si>
  <si>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</si>
  <si>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</si>
  <si>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</si>
  <si>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</si>
  <si>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</si>
  <si>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</si>
  <si>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</si>
  <si>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</si>
  <si>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</si>
  <si>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</si>
  <si>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</si>
  <si>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</si>
  <si>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</si>
  <si>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</si>
  <si>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</si>
  <si>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</si>
  <si>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</si>
  <si>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</si>
  <si>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</si>
  <si>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</si>
  <si>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</si>
  <si>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</si>
  <si>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</si>
  <si>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</si>
  <si>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</si>
  <si>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</si>
  <si>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</si>
  <si>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</si>
  <si>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</si>
  <si>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</si>
  <si>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</si>
  <si>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</si>
  <si>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</si>
  <si>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</si>
  <si>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</si>
  <si>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</si>
  <si>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</si>
  <si>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</si>
  <si>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</si>
  <si>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</si>
  <si>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</si>
  <si>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</si>
  <si>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</si>
  <si>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</si>
  <si>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</si>
  <si>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</si>
  <si>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</si>
  <si>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</si>
  <si>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</si>
  <si>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</si>
  <si>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</si>
  <si>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</si>
  <si>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</si>
  <si>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</si>
  <si>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</si>
  <si>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</si>
  <si>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</si>
  <si>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</si>
  <si>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</si>
  <si>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</si>
  <si>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</si>
  <si>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</si>
  <si>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</si>
  <si>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</si>
  <si>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</si>
  <si>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</si>
  <si>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</si>
  <si>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</si>
  <si>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</si>
  <si>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</si>
  <si>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</si>
  <si>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</si>
  <si>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</si>
  <si>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</si>
  <si>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</si>
  <si>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</si>
  <si>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</si>
  <si>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</si>
  <si>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</si>
  <si>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</si>
  <si>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</si>
  <si>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</si>
  <si>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</si>
  <si>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</si>
  <si>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</si>
  <si>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</si>
  <si>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</si>
  <si>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</si>
  <si>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</si>
  <si>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</si>
  <si>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</si>
  <si>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</si>
  <si>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</si>
  <si>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</si>
  <si>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</si>
  <si>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</si>
  <si>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</si>
  <si>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</si>
  <si>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</si>
  <si>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</si>
  <si>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</si>
  <si>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</si>
  <si>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</si>
  <si>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</si>
  <si>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</si>
  <si>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</si>
  <si>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</si>
  <si>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</si>
  <si>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</si>
  <si>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</si>
  <si>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</si>
  <si>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</si>
  <si>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</si>
  <si>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</si>
  <si>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</si>
  <si>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</si>
  <si>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</si>
  <si>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</si>
  <si>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</si>
  <si>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</si>
  <si>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</si>
  <si>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</si>
  <si>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</si>
  <si>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</si>
  <si>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</si>
  <si>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</si>
  <si>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</si>
  <si>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</si>
  <si>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</si>
  <si>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</si>
  <si>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</si>
  <si>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</si>
  <si>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</si>
  <si>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</si>
  <si>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</si>
  <si>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</si>
  <si>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</si>
  <si>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</si>
  <si>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</si>
  <si>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</si>
  <si>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</si>
  <si>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</si>
  <si>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</si>
  <si>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</si>
  <si>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</si>
  <si>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</si>
  <si>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</si>
  <si>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</si>
  <si>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</si>
  <si>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</si>
  <si>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</si>
  <si>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</si>
  <si>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</si>
  <si>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</si>
  <si>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</si>
  <si>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</si>
  <si>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</si>
  <si>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</si>
  <si>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</si>
  <si>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</si>
  <si>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</si>
  <si>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</si>
  <si>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</si>
  <si>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</si>
  <si>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</si>
  <si>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</si>
  <si>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</si>
  <si>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</si>
  <si>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</si>
  <si>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</si>
  <si>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</si>
  <si>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</si>
  <si>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</si>
  <si>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</si>
  <si>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</si>
  <si>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</si>
  <si>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</si>
  <si>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</si>
  <si>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</si>
  <si>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</si>
  <si>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</si>
  <si>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</si>
  <si>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</si>
  <si>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</si>
  <si>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</si>
  <si>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</si>
  <si>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</si>
  <si>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</si>
  <si>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</si>
  <si>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</si>
  <si>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</si>
  <si>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</si>
  <si>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</si>
  <si>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</si>
  <si>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</si>
  <si>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</si>
  <si>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</si>
  <si>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</si>
  <si>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</si>
  <si>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</si>
  <si>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</si>
  <si>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</si>
  <si>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</si>
  <si>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</si>
  <si>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</si>
  <si>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</si>
  <si>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</si>
  <si>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</si>
  <si>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</si>
  <si>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</si>
  <si>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</si>
  <si>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</si>
  <si>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</si>
  <si>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</si>
  <si>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</si>
  <si>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</si>
  <si>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</si>
  <si>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</si>
  <si>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</si>
  <si>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</si>
  <si>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</si>
  <si>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</si>
  <si>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</si>
  <si>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</si>
  <si>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</si>
  <si>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</si>
  <si>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</si>
  <si>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</si>
  <si>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</si>
  <si>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</si>
  <si>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</si>
  <si>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</si>
  <si>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</si>
  <si>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</si>
  <si>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</si>
  <si>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</si>
  <si>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</si>
  <si>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</si>
  <si>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</si>
  <si>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</si>
  <si>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</si>
  <si>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</si>
  <si>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</si>
  <si>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</si>
  <si>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</si>
  <si>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</si>
  <si>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</si>
  <si>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</si>
  <si>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</si>
  <si>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</si>
  <si>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</si>
  <si>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</si>
  <si>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</si>
  <si>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</si>
  <si>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</si>
  <si>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</si>
  <si>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</si>
  <si>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</si>
  <si>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</si>
  <si>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</si>
  <si>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</si>
  <si>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</si>
  <si>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</si>
  <si>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</si>
  <si>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</si>
  <si>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</si>
  <si>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</si>
  <si>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</si>
  <si>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</si>
  <si>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</si>
  <si>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</si>
  <si>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</si>
  <si>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</si>
  <si>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</si>
  <si>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</si>
  <si>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</si>
  <si>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</si>
  <si>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</si>
  <si>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</si>
  <si>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</si>
  <si>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</si>
  <si>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</si>
  <si>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</si>
  <si>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</si>
  <si>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</si>
  <si>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</si>
  <si>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</si>
  <si>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</si>
  <si>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</si>
  <si>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</si>
  <si>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</si>
  <si>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</si>
  <si>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</si>
  <si>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</si>
  <si>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</si>
  <si>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</si>
  <si>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</si>
  <si>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</si>
  <si>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</si>
  <si>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</si>
  <si>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</si>
  <si>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</si>
  <si>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</si>
  <si>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</si>
  <si>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</si>
  <si>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</si>
  <si>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</si>
  <si>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</si>
  <si>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</si>
  <si>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</si>
  <si>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</si>
  <si>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</si>
  <si>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</si>
  <si>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</si>
  <si>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</si>
  <si>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</si>
  <si>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</si>
  <si>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</si>
  <si>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</si>
  <si>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</si>
  <si>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</si>
  <si>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</si>
  <si>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</si>
  <si>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</si>
  <si>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</si>
  <si>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</si>
  <si>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</si>
  <si>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</si>
  <si>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</si>
  <si>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</si>
  <si>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</si>
  <si>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</si>
  <si>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</si>
  <si>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</si>
  <si>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</si>
  <si>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</si>
  <si>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</si>
  <si>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</si>
  <si>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</si>
  <si>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</si>
  <si>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</si>
  <si>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</si>
  <si>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</si>
  <si>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</si>
  <si>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</si>
  <si>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</si>
  <si>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</si>
  <si>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</si>
  <si>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</si>
  <si>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</si>
  <si>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</si>
  <si>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</si>
  <si>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</si>
  <si>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</si>
  <si>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</si>
  <si>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</si>
  <si>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</si>
  <si>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</si>
  <si>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</si>
  <si>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</si>
  <si>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</si>
  <si>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</si>
  <si>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</si>
  <si>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</si>
  <si>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</si>
  <si>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</si>
  <si>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</si>
  <si>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</si>
  <si>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</si>
  <si>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</si>
  <si>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</si>
  <si>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</si>
  <si>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</si>
  <si>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</si>
  <si>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</si>
  <si>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</si>
  <si>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</si>
  <si>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</si>
  <si>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</si>
  <si>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</si>
  <si>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</si>
  <si>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</si>
  <si>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</si>
  <si>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</si>
  <si>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</si>
  <si>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</si>
  <si>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</si>
  <si>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</si>
  <si>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</si>
  <si>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</si>
  <si>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</si>
  <si>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</si>
  <si>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</si>
  <si>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</si>
  <si>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</si>
  <si>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</si>
  <si>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</si>
  <si>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</si>
  <si>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</si>
  <si>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</si>
  <si>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</si>
  <si>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</si>
  <si>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</si>
  <si>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</si>
  <si>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</si>
  <si>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</si>
  <si>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</si>
  <si>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</si>
  <si>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</si>
  <si>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</si>
  <si>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</si>
  <si>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</si>
  <si>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</si>
  <si>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</si>
  <si>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</si>
  <si>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</si>
  <si>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</si>
  <si>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</si>
  <si>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</si>
  <si>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</si>
  <si>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</si>
  <si>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</si>
  <si>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</si>
  <si>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</si>
  <si>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</si>
  <si>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</si>
  <si>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</si>
  <si>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</si>
  <si>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</si>
  <si>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</si>
  <si>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</si>
  <si>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</si>
  <si>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</si>
  <si>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</si>
  <si>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</si>
  <si>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</si>
  <si>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</si>
  <si>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</si>
  <si>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</si>
  <si>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</si>
  <si>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</si>
  <si>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</si>
  <si>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</si>
  <si>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</si>
  <si>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</si>
  <si>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</si>
  <si>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</si>
  <si>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</si>
  <si>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</si>
  <si>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</si>
  <si>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</si>
  <si>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</si>
  <si>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</si>
  <si>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</si>
  <si>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</si>
  <si>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</si>
  <si>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</si>
  <si>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</si>
  <si>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</si>
  <si>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</si>
  <si>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</si>
  <si>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</si>
  <si>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</si>
  <si>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</si>
  <si>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</si>
  <si>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</si>
  <si>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</si>
  <si>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</si>
  <si>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</si>
  <si>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</si>
  <si>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</si>
  <si>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</si>
  <si>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</si>
  <si>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</si>
  <si>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</si>
  <si>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</si>
  <si>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</si>
  <si>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</si>
  <si>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</si>
  <si>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</si>
  <si>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</si>
  <si>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</si>
  <si>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</si>
  <si>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</si>
  <si>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</si>
  <si>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</si>
  <si>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</si>
  <si>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</si>
  <si>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</si>
  <si>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</si>
  <si>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</si>
  <si>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</si>
  <si>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</si>
  <si>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</si>
  <si>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</si>
  <si>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</si>
  <si>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</si>
  <si>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</si>
  <si>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</si>
  <si>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</si>
  <si>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</si>
  <si>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</si>
  <si>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</si>
  <si>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</si>
  <si>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</si>
  <si>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</si>
  <si>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</si>
  <si>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</si>
  <si>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</si>
  <si>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</si>
  <si>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</si>
  <si>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</si>
  <si>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</si>
  <si>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</si>
  <si>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</si>
  <si>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</si>
  <si>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</si>
  <si>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</si>
  <si>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</si>
  <si>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</si>
  <si>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</si>
  <si>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</si>
  <si>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</si>
  <si>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</si>
  <si>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</si>
  <si>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</si>
  <si>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</si>
  <si>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</si>
  <si>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</si>
  <si>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</si>
  <si>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</si>
  <si>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</si>
  <si>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</si>
  <si>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</si>
  <si>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</si>
  <si>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</si>
  <si>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</si>
  <si>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</si>
  <si>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</si>
  <si>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</si>
  <si>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</si>
  <si>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</si>
  <si>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</si>
  <si>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</si>
  <si>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</si>
  <si>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</si>
  <si>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</si>
  <si>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</si>
  <si>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</si>
  <si>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</si>
  <si>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</si>
  <si>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</si>
  <si>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</si>
  <si>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</si>
  <si>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</si>
  <si>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</si>
  <si>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</si>
  <si>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</si>
  <si>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</si>
  <si>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</si>
  <si>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</si>
  <si>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</si>
  <si>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</si>
  <si>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</si>
  <si>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</si>
  <si>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</si>
  <si>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</si>
  <si>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</si>
  <si>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</si>
  <si>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</si>
  <si>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</si>
  <si>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</si>
  <si>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</si>
  <si>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</si>
  <si>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</si>
  <si>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</si>
  <si>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</si>
  <si>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</si>
  <si>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</si>
  <si>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</si>
  <si>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</si>
  <si>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</si>
  <si>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</si>
  <si>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</si>
  <si>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</si>
  <si>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</si>
  <si>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</si>
  <si>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</si>
  <si>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</si>
  <si>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</si>
  <si>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</si>
  <si>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</si>
  <si>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</si>
  <si>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</si>
  <si>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</si>
  <si>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</si>
  <si>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</si>
  <si>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</si>
  <si>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</si>
  <si>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</si>
  <si>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</si>
  <si>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</si>
  <si>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</si>
  <si>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</si>
  <si>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</si>
  <si>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</si>
  <si>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</si>
  <si>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</si>
  <si>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</si>
  <si>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</si>
  <si>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</si>
  <si>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</si>
  <si>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</si>
  <si>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</si>
  <si>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</si>
  <si>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</si>
  <si>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</si>
  <si>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</si>
  <si>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</si>
  <si>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</si>
  <si>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</si>
  <si>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</si>
  <si>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</si>
  <si>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</si>
  <si>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</si>
  <si>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</si>
  <si>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</si>
  <si>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</si>
  <si>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</si>
  <si>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</si>
  <si>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</si>
  <si>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</si>
  <si>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</si>
  <si>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</si>
  <si>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</si>
  <si>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</si>
  <si>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</si>
  <si>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</si>
  <si>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</si>
  <si>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</si>
  <si>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</si>
  <si>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</si>
  <si>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</si>
  <si>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</si>
  <si>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</si>
  <si>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</si>
  <si>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</si>
  <si>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</si>
  <si>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</si>
  <si>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</si>
  <si>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</si>
  <si>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</si>
  <si>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</si>
  <si>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</si>
  <si>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</si>
  <si>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</si>
  <si>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</si>
  <si>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</si>
  <si>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</si>
  <si>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</si>
  <si>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</si>
  <si>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</si>
  <si>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</si>
  <si>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</si>
  <si>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</si>
  <si>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</si>
  <si>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</si>
  <si>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</si>
  <si>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</si>
  <si>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</si>
  <si>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</si>
  <si>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</si>
  <si>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</si>
  <si>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</si>
  <si>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</si>
  <si>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</si>
  <si>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</si>
  <si>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</si>
  <si>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</si>
  <si>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</si>
  <si>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</si>
  <si>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</si>
  <si>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</si>
  <si>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</si>
  <si>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</si>
  <si>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</si>
  <si>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</si>
  <si>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</si>
  <si>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</si>
  <si>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</si>
  <si>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</si>
  <si>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</si>
  <si>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</si>
  <si>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</si>
  <si>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</si>
  <si>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</si>
  <si>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</si>
  <si>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</si>
  <si>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</si>
  <si>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</si>
  <si>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</si>
  <si>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</si>
  <si>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</si>
  <si>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</si>
  <si>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</si>
  <si>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</si>
  <si>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</si>
  <si>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</si>
  <si>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</si>
  <si>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</si>
  <si>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</si>
  <si>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</si>
  <si>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</si>
  <si>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</si>
  <si>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</si>
  <si>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</si>
  <si>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</si>
  <si>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</si>
  <si>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</si>
  <si>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</si>
  <si>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</si>
  <si>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</si>
  <si>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</si>
  <si>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</si>
  <si>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</si>
  <si>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</si>
  <si>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</si>
  <si>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</si>
  <si>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</si>
  <si>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</si>
  <si>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</si>
  <si>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</si>
  <si>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</si>
  <si>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</si>
  <si>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</si>
  <si>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</si>
  <si>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</si>
  <si>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</si>
  <si>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</si>
  <si>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</si>
  <si>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</si>
  <si>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</si>
  <si>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</si>
  <si>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</si>
  <si>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</si>
  <si>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</si>
  <si>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</si>
  <si>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</si>
  <si>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</si>
  <si>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</si>
  <si>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</si>
  <si>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</si>
  <si>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</si>
  <si>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</si>
  <si>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</si>
  <si>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</si>
  <si>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</si>
  <si>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</si>
  <si>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</si>
  <si>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</si>
  <si>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</si>
  <si>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</si>
  <si>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</si>
  <si>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</si>
  <si>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</si>
  <si>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</si>
  <si>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</si>
  <si>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</si>
  <si>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</si>
  <si>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</si>
  <si>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</si>
  <si>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</si>
  <si>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</si>
  <si>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</si>
  <si>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</si>
  <si>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</si>
  <si>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</si>
  <si>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</si>
  <si>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</si>
  <si>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</si>
  <si>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</si>
  <si>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</si>
  <si>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</si>
  <si>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</si>
  <si>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</si>
  <si>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</si>
  <si>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</si>
  <si>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</si>
  <si>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</si>
  <si>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</si>
  <si>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</si>
  <si>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</si>
  <si>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</si>
  <si>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</si>
  <si>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</si>
  <si>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</si>
  <si>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</si>
  <si>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</si>
  <si>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</si>
  <si>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</si>
  <si>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</si>
  <si>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</si>
  <si>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</si>
  <si>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</si>
  <si>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</si>
  <si>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</si>
  <si>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</si>
  <si>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</si>
  <si>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</si>
  <si>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</si>
  <si>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</si>
  <si>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</si>
  <si>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</si>
  <si>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</si>
  <si>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</si>
  <si>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</si>
  <si>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</si>
  <si>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</si>
  <si>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</si>
  <si>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</si>
  <si>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</si>
  <si>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</si>
  <si>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</si>
  <si>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</si>
  <si>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</si>
  <si>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</si>
  <si>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</si>
  <si>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</si>
  <si>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</si>
  <si>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</si>
  <si>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</si>
  <si>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</si>
  <si>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</si>
  <si>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</si>
  <si>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</si>
  <si>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</si>
  <si>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</si>
  <si>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</si>
  <si>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</si>
  <si>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</si>
  <si>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</si>
  <si>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</si>
  <si>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</si>
  <si>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</si>
  <si>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</si>
  <si>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</si>
  <si>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</si>
  <si>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</si>
  <si>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</si>
  <si>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</si>
  <si>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</si>
  <si>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</si>
  <si>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</si>
  <si>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</si>
  <si>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</si>
  <si>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</si>
  <si>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</si>
  <si>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</si>
  <si>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</si>
  <si>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</si>
  <si>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</si>
  <si>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</si>
  <si>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</si>
  <si>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</si>
  <si>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</si>
  <si>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</si>
  <si>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</si>
  <si>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</si>
  <si>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</si>
  <si>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</si>
  <si>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</si>
  <si>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</si>
  <si>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</si>
  <si>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</si>
  <si>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</si>
  <si>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</si>
  <si>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</si>
  <si>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</si>
  <si>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</si>
  <si>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</si>
  <si>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</si>
  <si>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</si>
  <si>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</si>
  <si>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</si>
  <si>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</si>
  <si>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</si>
  <si>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</si>
  <si>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</si>
  <si>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</si>
  <si>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</si>
  <si>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</si>
  <si>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</si>
  <si>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</si>
  <si>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</si>
  <si>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</si>
  <si>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</si>
  <si>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</si>
  <si>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</si>
  <si>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</si>
  <si>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</si>
  <si>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</si>
  <si>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</si>
  <si>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</si>
  <si>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</si>
  <si>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</si>
  <si>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</si>
  <si>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</si>
  <si>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</si>
  <si>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</si>
  <si>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</si>
  <si>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</si>
  <si>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</si>
  <si>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</si>
  <si>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</si>
  <si>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</si>
  <si>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</si>
  <si>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</si>
  <si>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</si>
  <si>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</si>
  <si>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</si>
  <si>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</si>
  <si>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</si>
  <si>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</si>
  <si>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</si>
  <si>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</si>
  <si>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</si>
  <si>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</si>
  <si>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</si>
  <si>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</si>
  <si>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</si>
  <si>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</si>
  <si>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</si>
  <si>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</si>
  <si>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</si>
  <si>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</si>
  <si>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</si>
  <si>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</si>
  <si>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</si>
  <si>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</si>
  <si>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</si>
  <si>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</si>
  <si>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</si>
  <si>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</si>
  <si>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</si>
  <si>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</si>
  <si>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</si>
  <si>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</si>
  <si>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</si>
  <si>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</si>
  <si>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</si>
  <si>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</si>
  <si>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</si>
  <si>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</si>
  <si>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</si>
  <si>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</si>
  <si>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</si>
  <si>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</si>
  <si>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</si>
  <si>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</si>
  <si>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</si>
  <si>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</si>
  <si>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</si>
  <si>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</si>
  <si>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</si>
  <si>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</si>
  <si>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</si>
  <si>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</si>
  <si>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</si>
  <si>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</si>
  <si>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</si>
  <si>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</si>
  <si>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</si>
  <si>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</si>
  <si>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</si>
  <si>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</si>
  <si>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</si>
  <si>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</si>
  <si>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</si>
  <si>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</si>
  <si>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</si>
  <si>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</si>
  <si>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</si>
  <si>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</si>
  <si>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</si>
  <si>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</si>
  <si>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</si>
  <si>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</si>
  <si>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</si>
  <si>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</si>
  <si>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</si>
  <si>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</si>
  <si>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</si>
  <si>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</si>
  <si>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</si>
  <si>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</si>
  <si>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</si>
  <si>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</si>
  <si>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</si>
  <si>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</si>
  <si>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</si>
  <si>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</si>
  <si>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</si>
  <si>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</si>
  <si>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</si>
  <si>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</si>
  <si>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</si>
  <si>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</si>
  <si>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</si>
  <si>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</si>
  <si>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</si>
  <si>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</si>
  <si>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</si>
  <si>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</si>
  <si>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</si>
  <si>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</si>
  <si>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</si>
  <si>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</si>
  <si>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</si>
  <si>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</si>
  <si>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</si>
  <si>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</si>
  <si>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</si>
  <si>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</si>
  <si>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</si>
  <si>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</si>
  <si>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</si>
  <si>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</si>
  <si>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</si>
  <si>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</si>
  <si>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</si>
  <si>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</si>
  <si>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</si>
  <si>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</si>
  <si>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</si>
  <si>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</si>
  <si>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</si>
  <si>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</si>
  <si>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</si>
  <si>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</si>
  <si>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</si>
  <si>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</si>
  <si>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</si>
  <si>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</si>
  <si>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</si>
  <si>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</si>
  <si>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</si>
  <si>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</si>
  <si>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</si>
  <si>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</si>
  <si>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</si>
  <si>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</si>
  <si>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</si>
  <si>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</si>
  <si>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</si>
  <si>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</si>
  <si>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</si>
  <si>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</si>
  <si>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</si>
  <si>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</si>
  <si>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</si>
  <si>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</si>
  <si>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</si>
  <si>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</si>
  <si>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</si>
  <si>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</si>
  <si>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</si>
  <si>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</si>
  <si>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</si>
  <si>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</si>
  <si>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</si>
  <si>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</si>
  <si>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</si>
  <si>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</si>
  <si>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</si>
  <si>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</si>
  <si>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</si>
  <si>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</si>
  <si>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</si>
  <si>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</si>
  <si>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</si>
  <si>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</si>
  <si>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</si>
  <si>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</si>
  <si>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</si>
  <si>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</si>
  <si>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</si>
  <si>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</si>
  <si>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</si>
  <si>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</si>
  <si>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</si>
  <si>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</si>
  <si>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</si>
  <si>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</si>
  <si>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</si>
  <si>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</si>
  <si>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</si>
  <si>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</si>
  <si>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</si>
  <si>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</si>
  <si>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</si>
  <si>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</si>
  <si>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</si>
  <si>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</si>
  <si>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</si>
  <si>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</si>
  <si>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</si>
  <si>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</si>
  <si>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</si>
  <si>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</si>
  <si>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</si>
  <si>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</si>
  <si>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</si>
  <si>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</si>
  <si>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</si>
  <si>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</si>
  <si>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</si>
  <si>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</si>
  <si>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</si>
  <si>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</si>
  <si>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</si>
  <si>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</si>
  <si>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</si>
  <si>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</si>
  <si>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</si>
  <si>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</si>
  <si>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</si>
  <si>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</si>
  <si>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</si>
  <si>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</si>
  <si>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</si>
  <si>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</si>
  <si>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</si>
  <si>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</si>
  <si>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</si>
  <si>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</si>
  <si>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</si>
  <si>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</si>
  <si>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</si>
  <si>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</si>
  <si>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</si>
  <si>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</si>
  <si>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</si>
  <si>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</si>
  <si>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</si>
  <si>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</si>
  <si>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</si>
  <si>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</si>
  <si>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</si>
  <si>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</si>
  <si>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</si>
  <si>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</si>
  <si>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</si>
  <si>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</si>
  <si>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</si>
  <si>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</si>
  <si>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</si>
  <si>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</si>
  <si>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</si>
  <si>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</si>
  <si>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</si>
  <si>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</si>
  <si>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</si>
  <si>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</si>
  <si>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</si>
  <si>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</si>
  <si>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</si>
  <si>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</si>
  <si>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</si>
  <si>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</si>
  <si>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</si>
  <si>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</si>
  <si>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</si>
  <si>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</si>
  <si>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</si>
  <si>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</si>
  <si>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</si>
  <si>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</si>
  <si>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</si>
  <si>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</si>
  <si>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</si>
  <si>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</si>
  <si>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</si>
  <si>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</si>
  <si>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</si>
  <si>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</si>
  <si>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</si>
  <si>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</si>
  <si>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</si>
  <si>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</si>
  <si>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</si>
  <si>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</si>
  <si>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</si>
  <si>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</si>
  <si>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</si>
  <si>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</si>
  <si>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</si>
  <si>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</si>
  <si>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</si>
  <si>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</si>
  <si>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</si>
  <si>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</si>
  <si>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</si>
  <si>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</si>
  <si>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</si>
  <si>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</si>
  <si>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</si>
  <si>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</si>
  <si>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</si>
  <si>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</si>
  <si>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</si>
  <si>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</si>
  <si>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</si>
  <si>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</si>
  <si>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</si>
  <si>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</si>
  <si>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</si>
  <si>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</si>
  <si>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</si>
  <si>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</si>
  <si>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</si>
  <si>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</si>
  <si>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</si>
  <si>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</si>
  <si>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</si>
  <si>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</si>
  <si>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</si>
  <si>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</si>
  <si>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</si>
  <si>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</si>
  <si>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</si>
  <si>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</si>
  <si>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</si>
  <si>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</si>
  <si>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</si>
  <si>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</si>
  <si>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</si>
  <si>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</si>
  <si>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</si>
  <si>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</si>
  <si>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</si>
  <si>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</si>
  <si>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</si>
  <si>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</si>
  <si>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</si>
  <si>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</si>
  <si>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</si>
  <si>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</si>
  <si>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</si>
  <si>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</si>
  <si>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</si>
  <si>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</si>
  <si>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</si>
  <si>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</si>
  <si>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</si>
  <si>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</si>
  <si>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</si>
  <si>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</si>
  <si>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</si>
  <si>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</si>
  <si>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</si>
  <si>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</si>
  <si>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</si>
  <si>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</si>
  <si>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</si>
  <si>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</si>
  <si>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</si>
  <si>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</si>
  <si>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</si>
  <si>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</si>
  <si>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</si>
  <si>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</si>
  <si>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</si>
  <si>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</si>
  <si>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</si>
  <si>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</si>
  <si>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</si>
  <si>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</si>
  <si>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</si>
  <si>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</si>
  <si>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</si>
  <si>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</si>
  <si>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</si>
  <si>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</si>
  <si>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</si>
  <si>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</si>
  <si>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</si>
  <si>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</si>
  <si>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</si>
  <si>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</si>
  <si>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</si>
  <si>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</si>
  <si>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</si>
  <si>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</si>
  <si>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</si>
  <si>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</si>
  <si>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</si>
  <si>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</si>
  <si>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</si>
  <si>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</si>
  <si>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</si>
  <si>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</si>
  <si>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</si>
  <si>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</si>
  <si>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</si>
  <si>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</si>
  <si>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</si>
  <si>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</si>
  <si>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</si>
  <si>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</si>
  <si>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</si>
  <si>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</si>
  <si>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</si>
  <si>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</si>
  <si>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</si>
  <si>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</si>
  <si>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</si>
  <si>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</si>
  <si>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</si>
  <si>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</si>
  <si>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</si>
  <si>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</si>
  <si>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</si>
  <si>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</si>
  <si>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</si>
  <si>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</si>
  <si>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</si>
  <si>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</si>
  <si>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</si>
  <si>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</si>
  <si>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</si>
  <si>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</si>
  <si>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</si>
  <si>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</si>
  <si>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</si>
  <si>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</si>
  <si>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</si>
  <si>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</si>
  <si>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</si>
  <si>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</si>
  <si>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</si>
  <si>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</si>
  <si>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</si>
  <si>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</si>
  <si>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</si>
  <si>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</si>
  <si>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</si>
  <si>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</si>
  <si>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</si>
  <si>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</si>
  <si>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</si>
  <si>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</si>
  <si>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</si>
  <si>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</si>
  <si>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</si>
  <si>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</si>
  <si>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</si>
  <si>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</si>
  <si>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</si>
  <si>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</si>
  <si>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</si>
  <si>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</si>
  <si>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</si>
  <si>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</si>
  <si>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</si>
  <si>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</si>
  <si>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</si>
  <si>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</si>
  <si>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</si>
  <si>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</si>
  <si>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</si>
  <si>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</si>
  <si>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</si>
  <si>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</si>
  <si>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</si>
  <si>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</si>
  <si>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</si>
  <si>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</si>
  <si>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</si>
  <si>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</si>
  <si>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</si>
  <si>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</si>
  <si>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</si>
  <si>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</si>
  <si>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</si>
  <si>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</si>
  <si>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</si>
  <si>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</si>
  <si>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</si>
  <si>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</si>
  <si>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</si>
  <si>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</si>
  <si>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</si>
  <si>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</si>
  <si>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</si>
  <si>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</si>
  <si>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</si>
  <si>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</si>
  <si>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</si>
  <si>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</si>
  <si>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</si>
  <si>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</si>
  <si>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</si>
  <si>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</si>
  <si>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</si>
  <si>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</si>
  <si>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</si>
  <si>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</si>
  <si>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</si>
  <si>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</si>
  <si>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</si>
  <si>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</si>
  <si>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</si>
  <si>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</si>
  <si>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</si>
  <si>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</si>
  <si>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</si>
  <si>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</si>
  <si>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</si>
  <si>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</si>
  <si>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</si>
  <si>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</si>
  <si>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</si>
  <si>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</si>
  <si>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</si>
  <si>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</si>
  <si>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</si>
  <si>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</si>
  <si>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</si>
  <si>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</si>
  <si>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</si>
  <si>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</si>
  <si>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</si>
  <si>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</si>
  <si>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</si>
  <si>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</si>
  <si>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</si>
  <si>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</si>
  <si>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</si>
  <si>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</si>
  <si>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</si>
  <si>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</si>
  <si>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</si>
  <si>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</si>
  <si>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</si>
  <si>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</si>
  <si>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</si>
  <si>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</si>
  <si>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</si>
  <si>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</si>
  <si>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</si>
  <si>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</si>
  <si>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</si>
  <si>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</si>
  <si>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</si>
  <si>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</si>
  <si>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</si>
  <si>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</si>
  <si>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</si>
  <si>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</si>
  <si>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</si>
  <si>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</si>
  <si>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</si>
  <si>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</si>
  <si>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</si>
  <si>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</si>
  <si>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</si>
  <si>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</si>
  <si>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</si>
  <si>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</si>
  <si>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</si>
  <si>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</si>
  <si>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</si>
  <si>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</si>
  <si>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</si>
  <si>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</si>
  <si>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</si>
  <si>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</si>
  <si>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</si>
  <si>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</si>
  <si>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</si>
  <si>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</si>
  <si>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</si>
  <si>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</si>
  <si>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</si>
  <si>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</si>
  <si>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</si>
  <si>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</si>
  <si>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</si>
  <si>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</si>
  <si>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</si>
  <si>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</si>
  <si>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</si>
  <si>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</si>
  <si>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</si>
  <si>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</si>
  <si>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</si>
  <si>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</si>
  <si>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</si>
  <si>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</si>
  <si>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</si>
  <si>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</si>
  <si>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</si>
  <si>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</si>
  <si>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</si>
  <si>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</si>
  <si>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</si>
  <si>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</si>
  <si>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</si>
  <si>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</si>
  <si>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</si>
  <si>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</si>
  <si>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</si>
  <si>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</si>
  <si>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</si>
  <si>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</si>
  <si>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</si>
  <si>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</si>
  <si>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</si>
  <si>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</si>
  <si>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</si>
  <si>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</si>
  <si>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</si>
  <si>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</si>
  <si>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</si>
  <si>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</si>
  <si>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</si>
  <si>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</si>
  <si>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</si>
  <si>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</si>
  <si>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</si>
  <si>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</si>
  <si>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</si>
  <si>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</si>
  <si>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</si>
  <si>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</si>
  <si>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</si>
  <si>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</si>
  <si>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</si>
  <si>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</si>
  <si>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</si>
  <si>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</si>
  <si>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</si>
  <si>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</si>
  <si>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</si>
  <si>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</si>
  <si>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</si>
  <si>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</si>
  <si>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</si>
  <si>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</si>
  <si>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</si>
  <si>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</si>
  <si>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</si>
  <si>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</si>
  <si>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</si>
  <si>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</si>
  <si>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</si>
  <si>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</si>
  <si>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</si>
  <si>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</si>
  <si>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</si>
  <si>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</si>
  <si>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</si>
  <si>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</si>
  <si>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</si>
  <si>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</si>
  <si>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</si>
  <si>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</si>
  <si>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</si>
  <si>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</si>
  <si>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</si>
  <si>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</si>
  <si>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</si>
  <si>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</si>
  <si>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</si>
  <si>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</si>
  <si>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</si>
  <si>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</si>
  <si>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</si>
  <si>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</si>
  <si>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</si>
  <si>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</si>
  <si>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</si>
  <si>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</si>
  <si>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</si>
  <si>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</si>
  <si>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</si>
  <si>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</si>
  <si>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</si>
  <si>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</si>
  <si>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</si>
  <si>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</si>
  <si>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</si>
  <si>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</si>
  <si>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</si>
  <si>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</si>
  <si>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</si>
  <si>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</si>
  <si>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</si>
  <si>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</si>
  <si>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</si>
  <si>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</si>
  <si>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</si>
  <si>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</si>
  <si>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</si>
  <si>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</si>
  <si>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</si>
  <si>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</si>
  <si>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</si>
  <si>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</si>
  <si>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</si>
  <si>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</si>
  <si>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</si>
  <si>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</si>
  <si>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</si>
  <si>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</si>
  <si>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</si>
  <si>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</si>
  <si>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</si>
  <si>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</si>
  <si>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</si>
  <si>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</si>
  <si>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</si>
  <si>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</si>
  <si>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</si>
  <si>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</si>
  <si>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</si>
  <si>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</si>
  <si>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</si>
  <si>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</si>
  <si>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</si>
  <si>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</si>
  <si>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</si>
  <si>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</si>
  <si>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</si>
  <si>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</si>
  <si>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</si>
  <si>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</si>
  <si>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</si>
  <si>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</si>
  <si>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</si>
  <si>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</si>
  <si>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</si>
  <si>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</si>
  <si>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</si>
  <si>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</si>
  <si>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</si>
  <si>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</si>
  <si>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</si>
  <si>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</si>
  <si>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</si>
  <si>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</si>
  <si>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</si>
  <si>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</si>
  <si>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</si>
  <si>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</si>
  <si>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</si>
  <si>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</si>
  <si>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</si>
  <si>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</si>
  <si>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</si>
  <si>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</si>
  <si>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</si>
  <si>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</si>
  <si>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</si>
  <si>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</si>
  <si>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</si>
  <si>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</si>
  <si>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</si>
  <si>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</si>
  <si>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</si>
  <si>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</si>
  <si>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</si>
  <si>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</si>
  <si>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</si>
  <si>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</si>
  <si>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</si>
  <si>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</si>
  <si>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</si>
  <si>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</si>
  <si>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</si>
  <si>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</si>
  <si>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</si>
  <si>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</si>
  <si>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</si>
  <si>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</si>
  <si>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</si>
  <si>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</si>
  <si>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</si>
  <si>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</si>
  <si>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</si>
  <si>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</si>
  <si>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</si>
  <si>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</si>
  <si>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</si>
  <si>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</si>
  <si>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</si>
  <si>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</si>
  <si>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</si>
  <si>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</si>
  <si>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</si>
  <si>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</si>
  <si>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</si>
  <si>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</si>
  <si>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</si>
  <si>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</si>
  <si>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</si>
  <si>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</si>
  <si>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</si>
  <si>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</si>
  <si>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</si>
  <si>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</si>
  <si>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</si>
  <si>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</si>
  <si>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</si>
  <si>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</si>
  <si>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</si>
  <si>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</si>
  <si>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</si>
  <si>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</si>
  <si>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</si>
  <si>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</si>
  <si>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</si>
  <si>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</si>
  <si>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</si>
  <si>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</si>
  <si>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</si>
  <si>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</si>
  <si>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</si>
  <si>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</si>
  <si>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</si>
  <si>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</si>
  <si>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</si>
  <si>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</si>
  <si>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</si>
  <si>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</si>
  <si>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</si>
  <si>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</si>
  <si>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</si>
  <si>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</si>
  <si>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</si>
  <si>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</si>
  <si>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</si>
  <si>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</si>
  <si>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</si>
  <si>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</si>
  <si>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</si>
  <si>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</si>
  <si>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</si>
  <si>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</si>
  <si>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</si>
  <si>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</si>
  <si>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</si>
  <si>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</si>
  <si>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</si>
  <si>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</si>
  <si>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</si>
  <si>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</si>
  <si>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</si>
  <si>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</si>
  <si>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</si>
  <si>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</si>
  <si>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</si>
  <si>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</si>
  <si>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</si>
  <si>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</si>
  <si>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</si>
  <si>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</si>
  <si>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</si>
  <si>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</si>
  <si>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</si>
  <si>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</si>
  <si>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</si>
  <si>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</si>
  <si>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</si>
  <si>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</si>
  <si>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</si>
  <si>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</si>
  <si>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</si>
  <si>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</si>
  <si>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</si>
  <si>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</si>
  <si>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</si>
  <si>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</si>
  <si>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</si>
  <si>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</si>
  <si>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</si>
  <si>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</si>
  <si>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</si>
  <si>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</si>
  <si>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</si>
  <si>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</si>
  <si>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</si>
  <si>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</si>
  <si>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</si>
  <si>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</si>
  <si>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</si>
  <si>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</si>
  <si>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</si>
  <si>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</si>
  <si>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</si>
  <si>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</si>
  <si>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</si>
  <si>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</si>
  <si>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</si>
  <si>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</si>
  <si>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</si>
  <si>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</si>
  <si>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</si>
  <si>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</si>
  <si>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</si>
  <si>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</si>
  <si>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</si>
  <si>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</si>
  <si>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</si>
  <si>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</si>
  <si>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</si>
  <si>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</si>
  <si>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</si>
  <si>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</si>
  <si>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</si>
  <si>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</si>
  <si>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</si>
  <si>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</si>
  <si>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</si>
  <si>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</si>
  <si>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</si>
  <si>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</si>
  <si>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</si>
  <si>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</si>
  <si>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</si>
  <si>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</si>
  <si>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</si>
  <si>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</si>
  <si>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</si>
  <si>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</si>
  <si>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</si>
  <si>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</si>
  <si>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</si>
  <si>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</si>
  <si>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</si>
  <si>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</si>
  <si>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</si>
  <si>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</si>
  <si>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</si>
  <si>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</si>
  <si>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</si>
  <si>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</si>
  <si>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</si>
  <si>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</si>
  <si>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</si>
  <si>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</si>
  <si>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</si>
  <si>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</si>
  <si>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</si>
  <si>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</si>
  <si>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</si>
  <si>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</si>
  <si>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</si>
  <si>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</si>
  <si>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</si>
  <si>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</si>
  <si>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</si>
  <si>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</si>
  <si>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</si>
  <si>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</si>
  <si>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</si>
  <si>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</si>
  <si>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</si>
  <si>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</si>
  <si>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</si>
  <si>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</si>
  <si>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</si>
  <si>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</si>
  <si>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</si>
  <si>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</si>
  <si>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</si>
  <si>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</si>
  <si>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</si>
  <si>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</si>
  <si>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</si>
  <si>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</si>
  <si>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</si>
  <si>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</si>
  <si>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</si>
  <si>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</si>
  <si>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</si>
  <si>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</si>
  <si>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</si>
  <si>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</si>
  <si>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</si>
  <si>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</si>
  <si>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</si>
  <si>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</si>
  <si>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</si>
  <si>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</si>
  <si>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</si>
  <si>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</si>
  <si>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</si>
  <si>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</si>
  <si>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</si>
  <si>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</si>
  <si>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</si>
  <si>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</si>
  <si>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</si>
  <si>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</si>
  <si>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</si>
  <si>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</si>
  <si>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</si>
  <si>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</si>
  <si>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</si>
  <si>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</si>
  <si>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</si>
  <si>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</si>
  <si>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</si>
  <si>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</si>
  <si>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</si>
  <si>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</si>
  <si>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</si>
  <si>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</si>
  <si>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</si>
  <si>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</si>
  <si>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</si>
  <si>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</si>
  <si>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</si>
  <si>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</si>
  <si>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</si>
  <si>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</si>
  <si>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</si>
  <si>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</si>
  <si>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</si>
  <si>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</si>
  <si>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</si>
  <si>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</si>
  <si>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</si>
  <si>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</si>
  <si>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</si>
  <si>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</si>
  <si>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</si>
  <si>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</si>
  <si>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</si>
  <si>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</si>
  <si>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</si>
  <si>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</si>
  <si>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</si>
  <si>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</si>
  <si>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</si>
  <si>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</si>
  <si>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</si>
  <si>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</si>
  <si>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</si>
  <si>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</si>
  <si>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</si>
  <si>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</si>
  <si>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</si>
  <si>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</si>
  <si>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</si>
  <si>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</si>
  <si>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</si>
  <si>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</si>
  <si>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</si>
  <si>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</si>
  <si>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</si>
  <si>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</si>
  <si>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</si>
  <si>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</si>
  <si>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</si>
  <si>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</si>
  <si>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</si>
  <si>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</si>
  <si>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</si>
  <si>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</si>
  <si>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</si>
  <si>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</si>
  <si>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</si>
  <si>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</si>
  <si>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</si>
  <si>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</si>
  <si>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</si>
  <si>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</si>
  <si>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</si>
  <si>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</si>
  <si>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</si>
  <si>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</si>
  <si>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</si>
  <si>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</si>
  <si>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</si>
  <si>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</si>
  <si>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</si>
  <si>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</si>
  <si>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</si>
  <si>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</si>
  <si>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</si>
  <si>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</si>
  <si>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</si>
  <si>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</si>
  <si>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</si>
  <si>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</si>
  <si>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</si>
  <si>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</si>
  <si>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</si>
  <si>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</si>
  <si>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</si>
  <si>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</si>
  <si>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</si>
  <si>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</si>
  <si>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</si>
  <si>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</si>
  <si>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</si>
  <si>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</si>
  <si>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</si>
  <si>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</si>
  <si>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</si>
  <si>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</si>
  <si>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</si>
  <si>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</si>
  <si>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</si>
  <si>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</si>
  <si>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</si>
  <si>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</si>
  <si>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</si>
  <si>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</si>
  <si>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</si>
  <si>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</si>
  <si>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</si>
  <si>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</si>
  <si>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</si>
  <si>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</si>
  <si>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</si>
  <si>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</si>
  <si>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</si>
  <si>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</si>
  <si>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</si>
  <si>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</si>
  <si>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</si>
  <si>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</si>
  <si>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</si>
  <si>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</si>
  <si>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</si>
  <si>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</si>
  <si>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</si>
  <si>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</si>
  <si>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</si>
  <si>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</si>
  <si>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</si>
  <si>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</si>
  <si>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</si>
  <si>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</si>
  <si>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</si>
  <si>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</si>
  <si>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</si>
  <si>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</si>
  <si>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</si>
  <si>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</si>
  <si>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</si>
  <si>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</si>
  <si>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</si>
  <si>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</si>
  <si>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</si>
  <si>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</si>
  <si>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</si>
  <si>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</si>
  <si>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</si>
  <si>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</si>
  <si>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</si>
  <si>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</si>
  <si>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</si>
  <si>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</si>
  <si>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</si>
  <si>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</si>
  <si>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</si>
  <si>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</si>
  <si>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</si>
  <si>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</si>
  <si>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</si>
  <si>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</si>
  <si>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</si>
  <si>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</si>
  <si>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</si>
  <si>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</si>
  <si>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</si>
  <si>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</si>
  <si>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</si>
  <si>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</si>
  <si>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</si>
  <si>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</si>
  <si>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</si>
  <si>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</si>
  <si>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</si>
  <si>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</si>
  <si>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</si>
  <si>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</si>
  <si>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</si>
  <si>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</si>
  <si>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</si>
  <si>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</si>
  <si>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</si>
  <si>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</si>
  <si>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</si>
  <si>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</si>
  <si>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</si>
  <si>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</si>
  <si>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</si>
  <si>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</si>
  <si>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</si>
  <si>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</si>
  <si>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</si>
  <si>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</si>
  <si>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</si>
  <si>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</si>
  <si>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</si>
  <si>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</si>
  <si>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</si>
  <si>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</si>
  <si>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</si>
  <si>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</si>
  <si>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</si>
  <si>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</si>
  <si>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</si>
  <si>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</si>
  <si>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</si>
  <si>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</si>
  <si>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</si>
  <si>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</si>
  <si>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</si>
  <si>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</si>
  <si>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</si>
  <si>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</si>
  <si>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</si>
  <si>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</si>
  <si>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</si>
  <si>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</si>
  <si>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</si>
  <si>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</si>
  <si>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</si>
  <si>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</si>
  <si>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</si>
  <si>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</si>
  <si>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</si>
  <si>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</si>
  <si>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</si>
  <si>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</si>
  <si>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</si>
  <si>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</si>
  <si>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</si>
  <si>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</si>
  <si>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</si>
  <si>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</si>
  <si>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</si>
  <si>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</si>
  <si>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</si>
  <si>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</si>
  <si>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</si>
  <si>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</si>
  <si>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</si>
  <si>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</si>
  <si>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</si>
  <si>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</si>
  <si>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</si>
  <si>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</si>
  <si>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</si>
  <si>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</si>
  <si>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</si>
  <si>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</si>
  <si>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</si>
  <si>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</si>
  <si>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</si>
  <si>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</si>
  <si>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</si>
  <si>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</si>
  <si>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</si>
  <si>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</si>
  <si>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</si>
  <si>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</si>
  <si>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</si>
  <si>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</si>
  <si>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</si>
  <si>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</si>
  <si>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</si>
  <si>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</si>
  <si>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</si>
  <si>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</si>
  <si>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</si>
  <si>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</si>
  <si>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</si>
  <si>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</si>
  <si>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</si>
  <si>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</si>
  <si>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</si>
  <si>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</si>
  <si>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</si>
  <si>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</si>
  <si>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</si>
  <si>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</si>
  <si>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</si>
  <si>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</si>
  <si>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</si>
  <si>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</si>
  <si>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</si>
  <si>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</si>
  <si>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</si>
  <si>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</si>
  <si>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</si>
  <si>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</si>
  <si>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</si>
  <si>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</si>
  <si>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</si>
  <si>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</si>
  <si>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</si>
  <si>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</si>
  <si>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</si>
  <si>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</si>
  <si>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</si>
  <si>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</si>
  <si>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</si>
  <si>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</si>
  <si>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</si>
  <si>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</si>
  <si>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</si>
  <si>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</si>
  <si>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</si>
  <si>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</si>
  <si>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</si>
  <si>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</si>
  <si>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</si>
  <si>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</si>
  <si>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</si>
  <si>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</si>
  <si>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</si>
  <si>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</si>
  <si>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</si>
  <si>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</si>
  <si>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</si>
  <si>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</si>
  <si>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</si>
  <si>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</si>
  <si>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</si>
  <si>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</si>
  <si>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</si>
  <si>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</si>
  <si>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</si>
  <si>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</si>
  <si>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</si>
  <si>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</si>
  <si>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</si>
  <si>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</si>
  <si>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</si>
  <si>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</si>
  <si>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</si>
  <si>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</si>
  <si>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</si>
  <si>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</si>
  <si>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</si>
  <si>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</si>
  <si>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</si>
  <si>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</si>
  <si>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</si>
  <si>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</si>
  <si>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</si>
  <si>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</si>
  <si>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</si>
  <si>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</si>
  <si>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</si>
  <si>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</si>
  <si>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</si>
  <si>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</si>
  <si>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</si>
  <si>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</si>
  <si>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</si>
  <si>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</si>
  <si>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</si>
  <si>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</si>
  <si>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</si>
  <si>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</si>
  <si>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</si>
  <si>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</si>
  <si>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</si>
  <si>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</si>
  <si>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</si>
  <si>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</si>
  <si>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</si>
  <si>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</si>
  <si>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</si>
  <si>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</si>
  <si>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</si>
  <si>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</si>
  <si>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</si>
  <si>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</si>
  <si>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</si>
  <si>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</si>
  <si>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</si>
  <si>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</si>
  <si>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</si>
  <si>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</si>
  <si>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</si>
  <si>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</si>
  <si>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</si>
  <si>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</si>
  <si>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</si>
  <si>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</si>
  <si>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</si>
  <si>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</si>
  <si>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</si>
  <si>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</si>
  <si>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</si>
  <si>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</si>
  <si>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</si>
  <si>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</si>
  <si>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</si>
  <si>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</si>
  <si>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</si>
  <si>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</si>
  <si>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</si>
  <si>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</si>
  <si>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</si>
  <si>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</si>
  <si>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</si>
  <si>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</si>
  <si>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</si>
  <si>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</si>
  <si>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</si>
  <si>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</si>
  <si>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</si>
  <si>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</si>
  <si>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</si>
  <si>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</si>
  <si>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</si>
  <si>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</si>
  <si>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</si>
  <si>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</si>
  <si>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</si>
  <si>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</si>
  <si>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</si>
  <si>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</si>
  <si>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</si>
  <si>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</si>
  <si>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</si>
  <si>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</si>
  <si>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</si>
  <si>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</si>
  <si>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</si>
  <si>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</si>
  <si>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</si>
  <si>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</si>
  <si>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</si>
  <si>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</si>
  <si>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</si>
  <si>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</si>
  <si>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</si>
  <si>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</si>
  <si>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</si>
  <si>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</si>
  <si>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</si>
  <si>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</si>
  <si>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</si>
  <si>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</si>
  <si>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</si>
  <si>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</si>
  <si>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</si>
  <si>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</si>
  <si>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</si>
  <si>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</si>
  <si>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</si>
  <si>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</si>
  <si>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</si>
  <si>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</si>
  <si>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</si>
  <si>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</si>
  <si>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</si>
  <si>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</si>
  <si>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</si>
  <si>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</si>
  <si>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</si>
  <si>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</si>
  <si>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</si>
  <si>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</si>
  <si>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</si>
  <si>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</si>
  <si>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</si>
  <si>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</si>
  <si>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</si>
  <si>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</si>
  <si>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</si>
  <si>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</si>
  <si>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</si>
  <si>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</si>
  <si>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</si>
  <si>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</si>
  <si>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</si>
  <si>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</si>
  <si>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</si>
  <si>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</si>
  <si>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</si>
  <si>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</si>
  <si>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</si>
  <si>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</si>
  <si>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</si>
  <si>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</si>
  <si>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</si>
  <si>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</si>
  <si>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</si>
  <si>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</si>
  <si>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</si>
  <si>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</si>
  <si>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</si>
  <si>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</si>
  <si>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</si>
  <si>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</si>
  <si>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</si>
  <si>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</si>
  <si>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</si>
  <si>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</si>
  <si>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</si>
  <si>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</si>
  <si>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</si>
  <si>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</si>
  <si>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</si>
  <si>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</si>
  <si>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</si>
  <si>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</si>
  <si>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</si>
  <si>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</si>
  <si>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</si>
  <si>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</si>
  <si>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</si>
  <si>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</si>
  <si>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</si>
  <si>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</si>
  <si>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</si>
  <si>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</si>
  <si>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</si>
  <si>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</si>
  <si>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</si>
  <si>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</si>
  <si>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</si>
  <si>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</si>
  <si>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</si>
  <si>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</si>
  <si>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</si>
  <si>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</si>
  <si>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</si>
  <si>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</si>
  <si>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</si>
  <si>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</si>
  <si>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</si>
  <si>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</si>
  <si>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</si>
  <si>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</si>
  <si>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</si>
  <si>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</si>
  <si>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</si>
  <si>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</si>
  <si>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</si>
  <si>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</si>
  <si>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</si>
  <si>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</si>
  <si>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</si>
  <si>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</si>
  <si>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</si>
  <si>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</si>
  <si>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</si>
  <si>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</si>
  <si>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</si>
  <si>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</si>
  <si>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</si>
  <si>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</si>
  <si>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</si>
  <si>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</si>
  <si>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</si>
  <si>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</si>
  <si>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</si>
  <si>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</si>
  <si>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</si>
  <si>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</si>
  <si>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</si>
  <si>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</si>
  <si>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</si>
  <si>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</si>
  <si>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</si>
  <si>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</si>
  <si>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</si>
  <si>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</si>
  <si>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</si>
  <si>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</si>
  <si>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</si>
  <si>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</si>
  <si>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</si>
  <si>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</si>
  <si>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</si>
  <si>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</si>
  <si>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</si>
  <si>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</si>
  <si>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</si>
  <si>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</si>
  <si>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</si>
  <si>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</si>
  <si>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</si>
  <si>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</si>
  <si>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</si>
  <si>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</si>
  <si>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</si>
  <si>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</si>
  <si>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</si>
  <si>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</si>
  <si>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</si>
  <si>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</si>
  <si>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</si>
  <si>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</si>
  <si>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</si>
  <si>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</si>
  <si>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</si>
  <si>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</si>
  <si>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</si>
  <si>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</si>
  <si>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</si>
  <si>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</si>
  <si>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</si>
  <si>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</si>
  <si>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</si>
  <si>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</si>
  <si>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</si>
  <si>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</si>
  <si>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</si>
  <si>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</si>
  <si>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</si>
  <si>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</si>
  <si>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</si>
  <si>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</si>
  <si>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</si>
  <si>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</si>
  <si>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</si>
  <si>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</si>
  <si>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</si>
  <si>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</si>
  <si>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</si>
  <si>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</si>
  <si>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</si>
  <si>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</si>
  <si>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</si>
  <si>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</si>
  <si>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</si>
  <si>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</si>
  <si>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</si>
  <si>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</si>
  <si>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</si>
  <si>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</si>
  <si>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</si>
  <si>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</si>
  <si>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</si>
  <si>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</si>
  <si>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</si>
  <si>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</si>
  <si>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</si>
  <si>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</si>
  <si>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</si>
  <si>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</si>
  <si>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</si>
  <si>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</si>
  <si>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</si>
  <si>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</si>
  <si>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</si>
  <si>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</si>
  <si>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</si>
  <si>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</si>
  <si>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</si>
  <si>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</si>
  <si>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</si>
  <si>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</si>
  <si>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</si>
  <si>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</si>
  <si>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</si>
  <si>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</si>
  <si>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</si>
  <si>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</si>
  <si>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</si>
  <si>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</si>
  <si>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</si>
  <si>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</si>
  <si>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</si>
  <si>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</si>
  <si>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</si>
  <si>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</si>
  <si>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</si>
  <si>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</si>
  <si>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</si>
  <si>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</si>
  <si>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</si>
  <si>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</si>
  <si>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</si>
  <si>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</si>
  <si>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</si>
  <si>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</si>
  <si>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</si>
  <si>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</si>
  <si>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</si>
  <si>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</si>
  <si>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</si>
  <si>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</si>
  <si>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</si>
  <si>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</si>
  <si>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</si>
  <si>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</si>
  <si>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</si>
  <si>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</si>
  <si>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</si>
  <si>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</si>
  <si>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</si>
  <si>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</si>
  <si>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</si>
  <si>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</si>
  <si>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</si>
  <si>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</si>
  <si>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</si>
  <si>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</si>
  <si>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</si>
  <si>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</si>
  <si>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</si>
  <si>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</si>
  <si>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</si>
  <si>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</si>
  <si>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</si>
  <si>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</si>
  <si>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</si>
  <si>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</si>
  <si>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</si>
  <si>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</si>
  <si>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</si>
  <si>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</si>
  <si>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</si>
  <si>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</si>
  <si>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</si>
  <si>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</si>
  <si>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</si>
  <si>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</si>
  <si>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</si>
  <si>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</si>
  <si>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</si>
  <si>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</si>
  <si>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</si>
  <si>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</si>
  <si>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</si>
  <si>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</si>
  <si>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</si>
  <si>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</si>
  <si>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</si>
  <si>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</si>
  <si>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</si>
  <si>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</si>
  <si>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</si>
  <si>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</si>
  <si>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</si>
  <si>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</si>
  <si>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</si>
  <si>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</si>
  <si>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</si>
  <si>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</si>
  <si>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</si>
  <si>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</si>
  <si>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</si>
  <si>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</si>
  <si>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</si>
  <si>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</si>
  <si>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</si>
  <si>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</si>
  <si>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</si>
  <si>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</si>
  <si>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</si>
  <si>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</si>
  <si>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</si>
  <si>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</si>
  <si>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</si>
  <si>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</si>
  <si>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</si>
  <si>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</si>
  <si>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</si>
  <si>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</si>
  <si>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</si>
  <si>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</si>
  <si>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</si>
  <si>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</si>
  <si>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</si>
  <si>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</si>
  <si>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</si>
  <si>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</si>
  <si>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</si>
  <si>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</si>
  <si>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</si>
  <si>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</si>
  <si>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</si>
  <si>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</si>
  <si>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</si>
  <si>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</si>
  <si>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</si>
  <si>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</si>
  <si>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</si>
  <si>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</si>
  <si>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</si>
  <si>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</si>
  <si>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</si>
  <si>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</si>
  <si>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</si>
  <si>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</si>
  <si>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</si>
  <si>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</si>
  <si>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</si>
  <si>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</si>
  <si>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</si>
  <si>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</si>
  <si>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</si>
  <si>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</si>
  <si>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</si>
  <si>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</si>
  <si>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</si>
  <si>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</si>
  <si>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</si>
  <si>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</si>
  <si>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</si>
  <si>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</si>
  <si>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</si>
  <si>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</si>
  <si>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</si>
  <si>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</si>
  <si>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</si>
  <si>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</si>
  <si>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</si>
  <si>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</si>
  <si>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</si>
  <si>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</si>
  <si>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</si>
  <si>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高层住宅</t>
    <phoneticPr fontId="228" type="noConversion"/>
  </si>
  <si>
    <t>办公</t>
    <phoneticPr fontId="228" type="noConversion"/>
  </si>
  <si>
    <r>
      <t>5</t>
    </r>
    <r>
      <rPr>
        <sz val="11"/>
        <color theme="1"/>
        <rFont val="宋体"/>
        <family val="3"/>
        <charset val="134"/>
        <scheme val="minor"/>
      </rPr>
      <t>-45层</t>
    </r>
    <phoneticPr fontId="228" type="noConversion"/>
  </si>
  <si>
    <t>5-42层</t>
    <phoneticPr fontId="228" type="noConversion"/>
  </si>
  <si>
    <t>商业裙房</t>
    <phoneticPr fontId="228" type="noConversion"/>
  </si>
  <si>
    <t>社区服务</t>
    <phoneticPr fontId="228" type="noConversion"/>
  </si>
  <si>
    <t>地下商业</t>
    <phoneticPr fontId="228" type="noConversion"/>
  </si>
  <si>
    <t>地下车库</t>
    <phoneticPr fontId="228" type="noConversion"/>
  </si>
  <si>
    <t>地下设备</t>
    <phoneticPr fontId="228" type="noConversion"/>
  </si>
  <si>
    <t>办公</t>
    <phoneticPr fontId="228" type="noConversion"/>
  </si>
  <si>
    <t>5-18层</t>
    <phoneticPr fontId="228" type="noConversion"/>
  </si>
  <si>
    <t>抵押价格</t>
  </si>
  <si>
    <t>其他：</t>
  </si>
  <si>
    <t>企业</t>
  </si>
  <si>
    <t>一致</t>
  </si>
  <si>
    <t>商业</t>
  </si>
  <si>
    <t>地上</t>
  </si>
  <si>
    <t>平层住宅</t>
  </si>
  <si>
    <t>*</t>
    <phoneticPr fontId="14" type="noConversion"/>
  </si>
  <si>
    <t>裙房</t>
  </si>
  <si>
    <t>裙房</t>
    <phoneticPr fontId="14" type="noConversion"/>
  </si>
  <si>
    <t>办公楼</t>
  </si>
  <si>
    <t>地下</t>
  </si>
  <si>
    <t>商业街</t>
  </si>
  <si>
    <t>车库</t>
  </si>
  <si>
    <t>住宅</t>
    <phoneticPr fontId="7" type="noConversion"/>
  </si>
  <si>
    <t>商业</t>
    <phoneticPr fontId="7" type="noConversion"/>
  </si>
  <si>
    <t>办公</t>
    <phoneticPr fontId="7" type="noConversion"/>
  </si>
  <si>
    <t>车库</t>
    <phoneticPr fontId="7" type="noConversion"/>
  </si>
  <si>
    <t>1层</t>
    <phoneticPr fontId="228" type="noConversion"/>
  </si>
  <si>
    <t>2层</t>
    <phoneticPr fontId="228" type="noConversion"/>
  </si>
  <si>
    <t>3层</t>
    <phoneticPr fontId="228" type="noConversion"/>
  </si>
  <si>
    <t>4层</t>
    <phoneticPr fontId="228" type="noConversion"/>
  </si>
  <si>
    <t>比较法-住宅、综合</t>
  </si>
  <si>
    <t>剩余法-待开发</t>
  </si>
  <si>
    <t>正常</t>
  </si>
  <si>
    <t>综合（住宅）</t>
    <phoneticPr fontId="26" type="noConversion"/>
  </si>
  <si>
    <t>住宅</t>
    <phoneticPr fontId="26" type="noConversion"/>
  </si>
  <si>
    <t>地块名称</t>
  </si>
  <si>
    <t>城市</t>
  </si>
  <si>
    <t>用地性质</t>
  </si>
  <si>
    <t>建设用地面积(㎡)</t>
  </si>
  <si>
    <t>规划建筑面积(㎡)</t>
  </si>
  <si>
    <t>计算容积率</t>
    <phoneticPr fontId="3" type="noConversion"/>
  </si>
  <si>
    <t>出让方式</t>
  </si>
  <si>
    <t>截止日期</t>
  </si>
  <si>
    <t>起始价(万元)</t>
  </si>
  <si>
    <t>成交价(万元)</t>
  </si>
  <si>
    <t>成交楼面价(元/㎡)</t>
  </si>
  <si>
    <t>起始楼面地价</t>
    <phoneticPr fontId="3" type="noConversion"/>
  </si>
  <si>
    <t>溢价率</t>
  </si>
  <si>
    <t>受让单位</t>
  </si>
  <si>
    <t>土地星级</t>
  </si>
  <si>
    <t>芝罘区化工南路以西、华泰路以北</t>
  </si>
  <si>
    <t>烟台市</t>
  </si>
  <si>
    <t>住宅用地</t>
  </si>
  <si>
    <t>＞3,≤3.17</t>
  </si>
  <si>
    <t>挂牌</t>
  </si>
  <si>
    <t>2019-06-10</t>
  </si>
  <si>
    <t>烟台力新房地产开发有限公司</t>
  </si>
  <si>
    <t>2星</t>
  </si>
  <si>
    <t>芝罘区南大街以北,建设路以东</t>
  </si>
  <si>
    <t>＞1.2,≤1.4</t>
  </si>
  <si>
    <t>2019-05-21</t>
  </si>
  <si>
    <t>烟台碧桂园房地产开发有限公司</t>
  </si>
  <si>
    <t>3星</t>
  </si>
  <si>
    <t>芝罘区青年南路以西、通林路以北</t>
  </si>
  <si>
    <t>等于2.44</t>
  </si>
  <si>
    <t>2019-05-13</t>
  </si>
  <si>
    <t>烟台瑞恒置业有限公司</t>
  </si>
  <si>
    <t>荆山路以北,勤河以西B宗地</t>
  </si>
  <si>
    <t>综合用地(含住宅)</t>
  </si>
  <si>
    <t>＞3,≤3.55</t>
  </si>
  <si>
    <t>2019-04-26</t>
  </si>
  <si>
    <t>青岛新城创置房地产有限公司</t>
  </si>
  <si>
    <t>蓁山路以西,付家居委会界内</t>
  </si>
  <si>
    <t>≤1.1,＞1.0</t>
  </si>
  <si>
    <t>2019-01-25</t>
  </si>
  <si>
    <t>烟台市城新房地产开发有限公司</t>
  </si>
  <si>
    <t>位于芝罘区,西至胜利南路,北至荆山路,东、南至用地边界及规划路</t>
  </si>
  <si>
    <t>＞1.5,≤1.8</t>
  </si>
  <si>
    <t>2018-12-25</t>
  </si>
  <si>
    <t>永胜投资管理有限公司</t>
  </si>
  <si>
    <t>位于芝罘区,环山路以南,桑园路以东,东、南至用地边界</t>
  </si>
  <si>
    <t>＞1.1,≤1.28</t>
  </si>
  <si>
    <t>拍卖</t>
  </si>
  <si>
    <t>2018-12-24</t>
  </si>
  <si>
    <t>中海地产集团有限公司</t>
  </si>
  <si>
    <t>4星</t>
  </si>
  <si>
    <t>位于芝罘区,珠玑北路以南、珠玑路以西、珠玑中路两侧</t>
  </si>
  <si>
    <t>＞2.2,≤2.4</t>
  </si>
  <si>
    <t>2018-12-23</t>
  </si>
  <si>
    <t>哈马碧科技生态发展有限公司</t>
  </si>
  <si>
    <t>哈马碧绿色生态发展有限公司</t>
  </si>
  <si>
    <t>芝罘区电厂东路以东,楚绣路以南</t>
  </si>
  <si>
    <t>≥1.61,≤1.71</t>
  </si>
  <si>
    <t>2018-12-14</t>
  </si>
  <si>
    <t>烟台安广置业有限公司</t>
  </si>
  <si>
    <t>芝罘区芝罘岛西部(原西口村)、东靠老爷山,西南临芝罘岛西路</t>
  </si>
  <si>
    <t>＞1,≤1.001</t>
  </si>
  <si>
    <t>2018-11-17</t>
  </si>
  <si>
    <t>烟台亿荣房地产开发有限公司</t>
  </si>
  <si>
    <t>＞1,≤1.01</t>
  </si>
  <si>
    <t>芝罘区珠玑路以东,只楚路以北</t>
  </si>
  <si>
    <t>＞2,≤2.19</t>
  </si>
  <si>
    <t>2018-11-13</t>
  </si>
  <si>
    <t>烟台珠玑置业有限公司</t>
  </si>
  <si>
    <t>芝罘区凤凰台路以南,凤凰台二街以东</t>
  </si>
  <si>
    <t>＞2,≤2.5</t>
  </si>
  <si>
    <t>烟台珠玑盈泰置业有限公司</t>
  </si>
  <si>
    <t>位于芝罘区,西至青年南路,东、北至规划路,南至用地边界</t>
  </si>
  <si>
    <t>＞1.5,≤2</t>
  </si>
  <si>
    <t>2018-11-01</t>
  </si>
  <si>
    <t>烟台学韵雅居置业有限公司</t>
  </si>
  <si>
    <t>位于芝罘区,东至通世南路,西、南至用地边界,北至魁玉路</t>
  </si>
  <si>
    <t>＞1.2且≤1.3</t>
  </si>
  <si>
    <t>2018-09-03</t>
  </si>
  <si>
    <t>山东百俊房地产开发有限公司</t>
  </si>
  <si>
    <t>芝罘区黄务村以东、五区连接路以北</t>
  </si>
  <si>
    <t>＞1且≤1.09</t>
  </si>
  <si>
    <t>2018-08-02</t>
  </si>
  <si>
    <t>烟台金亩房地产开发有限公司</t>
  </si>
  <si>
    <t>＞1.5且＜1.9</t>
  </si>
  <si>
    <t>位于芝罘区只楚路以南、凤凰台路以北、楚凤二街至楚凤四街之间</t>
  </si>
  <si>
    <t>＞1.8且≤2.1</t>
  </si>
  <si>
    <t>2018-06-22</t>
  </si>
  <si>
    <t>烟台龙湖置业有限公司</t>
  </si>
  <si>
    <t>芝罘区卧龙园区、通林路以北、通世南路以西、通洋路以东、象山路以南</t>
  </si>
  <si>
    <t>＞1.5且≤1.96</t>
  </si>
  <si>
    <t>2018-02-13</t>
  </si>
  <si>
    <t>烟台创盈房地产开发有限公司</t>
  </si>
  <si>
    <t>青年路以东、西大街以北A1宗地</t>
  </si>
  <si>
    <t>＞4.5且≤4.96</t>
  </si>
  <si>
    <t>2017-10-22</t>
  </si>
  <si>
    <t>大商股份有限公司</t>
  </si>
  <si>
    <t>位于芝罘区珠玑路以东,只楚路以北</t>
  </si>
  <si>
    <t>＞1.7且≤1.82</t>
  </si>
  <si>
    <t>2017-10-19</t>
  </si>
  <si>
    <t>位于芝罘区,西南河路以东,北至北马路,南至用地边界、东至兴隆街</t>
  </si>
  <si>
    <t>＞4.6且≤4.91</t>
  </si>
  <si>
    <t>2017-09-04</t>
  </si>
  <si>
    <t>吕德佳</t>
  </si>
  <si>
    <t>康复路以西、万和酒店西侧,广电培训中心北侧</t>
  </si>
  <si>
    <t>＞1.01,＜1.07</t>
  </si>
  <si>
    <t>2016-09-22</t>
  </si>
  <si>
    <t>烟台富润置业有限公司</t>
  </si>
  <si>
    <t>位于芝罘区,锦绣新城以东,南至楚绣北路,东、北、西至规划路</t>
  </si>
  <si>
    <t>＞2.45,≤2.55</t>
  </si>
  <si>
    <t>2016-08-22</t>
  </si>
  <si>
    <t>烟台盛泽源实业有限公司</t>
  </si>
  <si>
    <t>较好</t>
  </si>
  <si>
    <t>较好</t>
    <phoneticPr fontId="3" type="noConversion"/>
  </si>
  <si>
    <t>较好</t>
    <phoneticPr fontId="3" type="noConversion"/>
  </si>
  <si>
    <t>较好</t>
    <phoneticPr fontId="3" type="noConversion"/>
  </si>
  <si>
    <t>较好</t>
    <phoneticPr fontId="3" type="noConversion"/>
  </si>
  <si>
    <t>一般</t>
  </si>
  <si>
    <t>较好</t>
    <phoneticPr fontId="3" type="noConversion"/>
  </si>
  <si>
    <t>楼面地价</t>
  </si>
  <si>
    <t>海上明珠</t>
    <phoneticPr fontId="15" type="noConversion"/>
  </si>
  <si>
    <t>国际金融中心</t>
    <phoneticPr fontId="15" type="noConversion"/>
  </si>
  <si>
    <r>
      <t>19000</t>
    </r>
    <r>
      <rPr>
        <sz val="10"/>
        <color indexed="8"/>
        <rFont val="宋体"/>
        <family val="3"/>
        <charset val="134"/>
      </rPr>
      <t>平层、</t>
    </r>
    <r>
      <rPr>
        <sz val="10"/>
        <color indexed="8"/>
        <rFont val="Arial"/>
        <family val="2"/>
      </rPr>
      <t>215000</t>
    </r>
    <r>
      <rPr>
        <sz val="10"/>
        <color indexed="8"/>
        <rFont val="宋体"/>
        <family val="3"/>
        <charset val="134"/>
      </rPr>
      <t>大平层</t>
    </r>
    <phoneticPr fontId="15" type="noConversion"/>
  </si>
  <si>
    <t>龙湖天钜</t>
    <phoneticPr fontId="15" type="noConversion"/>
  </si>
  <si>
    <t>其他省市系数</t>
  </si>
  <si>
    <t>是</t>
    <phoneticPr fontId="26" type="noConversion"/>
  </si>
  <si>
    <t>否</t>
    <phoneticPr fontId="26" type="noConversion"/>
  </si>
  <si>
    <t>否</t>
    <phoneticPr fontId="26" type="noConversion"/>
  </si>
  <si>
    <t>地下1层</t>
    <phoneticPr fontId="228" type="noConversion"/>
  </si>
  <si>
    <t>回迁住宅</t>
  </si>
  <si>
    <t>回迁住宅</t>
    <phoneticPr fontId="7" type="noConversion"/>
  </si>
  <si>
    <t>回迁商业</t>
  </si>
  <si>
    <t>回迁商业</t>
    <phoneticPr fontId="7" type="noConversion"/>
  </si>
  <si>
    <t>回迁办公</t>
  </si>
  <si>
    <t>回迁办公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</si>
</sst>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178" fontId="76" fillId="5" borderId="0" xfId="0" applyNumberFormat="1" applyFont="1" applyFill="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9" borderId="0" xfId="0" applyFill="1" applyAlignment="1"/>
    <xf numFmtId="0" fontId="0" fillId="0" borderId="0" xfId="0" applyAlignment="1">
      <alignment vertical="center"/>
    </xf>
    <xf numFmtId="0" fontId="0" fillId="9" borderId="0" xfId="0" applyFill="1" applyAlignment="1">
      <alignment vertical="center"/>
    </xf>
    <xf numFmtId="0" fontId="146" fillId="0" borderId="0" xfId="0" applyFont="1" applyAlignment="1">
      <alignment horizontal="center" vertical="center" wrapText="1"/>
    </xf>
    <xf numFmtId="0" fontId="221" fillId="0" borderId="0" xfId="0" applyFont="1" applyAlignment="1">
      <alignment horizontal="center" vertical="center" wrapText="1"/>
    </xf>
    <xf numFmtId="0" fontId="146" fillId="0" borderId="0" xfId="0" applyFont="1" applyAlignment="1"/>
    <xf numFmtId="0" fontId="0" fillId="6" borderId="0" xfId="0" applyFill="1" applyAlignment="1">
      <alignment vertical="center"/>
    </xf>
    <xf numFmtId="0" fontId="0" fillId="6" borderId="0" xfId="0" applyFill="1" applyAlignment="1"/>
    <xf numFmtId="0" fontId="0" fillId="0" borderId="0" xfId="0" applyFill="1" applyAlignment="1">
      <alignment vertical="center"/>
    </xf>
    <xf numFmtId="0" fontId="0" fillId="0" borderId="0" xfId="0" applyFill="1" applyAlignment="1"/>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33" fillId="8" borderId="0" xfId="0" applyFont="1" applyFill="1" applyAlignment="1" applyProtection="1">
      <protection locked="0"/>
    </xf>
    <xf numFmtId="0" fontId="82" fillId="8" borderId="0" xfId="0" applyFont="1" applyFill="1" applyAlignment="1" applyProtection="1">
      <protection locked="0"/>
    </xf>
    <xf numFmtId="0" fontId="134" fillId="8" borderId="0" xfId="0" applyFont="1" applyFill="1" applyAlignment="1" applyProtection="1">
      <protection locked="0"/>
    </xf>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85" fontId="76" fillId="9" borderId="2" xfId="0" applyNumberFormat="1" applyFont="1" applyFill="1" applyBorder="1" applyAlignment="1" applyProtection="1">
      <alignment horizontal="center" vertical="center"/>
      <protection locked="0"/>
    </xf>
    <xf numFmtId="185" fontId="152" fillId="9"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133350</xdr:rowOff>
    </xdr:from>
    <xdr:to>
      <xdr:col>14</xdr:col>
      <xdr:colOff>457200</xdr:colOff>
      <xdr:row>53</xdr:row>
      <xdr:rowOff>43681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19300"/>
          <a:ext cx="10058400" cy="7111231"/>
        </a:xfrm>
        <a:prstGeom prst="rect">
          <a:avLst/>
        </a:prstGeom>
      </xdr:spPr>
    </xdr:pic>
    <xdr:clientData/>
  </xdr:twoCellAnchor>
  <xdr:twoCellAnchor editAs="oneCell">
    <xdr:from>
      <xdr:col>0</xdr:col>
      <xdr:colOff>0</xdr:colOff>
      <xdr:row>53</xdr:row>
      <xdr:rowOff>1</xdr:rowOff>
    </xdr:from>
    <xdr:to>
      <xdr:col>10</xdr:col>
      <xdr:colOff>444717</xdr:colOff>
      <xdr:row>76</xdr:row>
      <xdr:rowOff>19051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1"/>
          <a:ext cx="7302717"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27</xdr:row>
      <xdr:rowOff>28575</xdr:rowOff>
    </xdr:from>
    <xdr:to>
      <xdr:col>2</xdr:col>
      <xdr:colOff>142875</xdr:colOff>
      <xdr:row>58</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4829175"/>
          <a:ext cx="4648200" cy="5429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受贵公司委托，我公司对出让国有建设用地使用权抵押价格进行了预评估。</v>
      </c>
      <c r="AM6" s="2856"/>
    </row>
    <row r="7" spans="1:55" s="2830" customFormat="1">
      <c r="A7" s="2831" t="s">
        <v>2657</v>
      </c>
      <c r="B7" s="2832" t="str">
        <f>'预评函-1'!A6</f>
        <v>估价对象为使用的、位于出让国有建设用地使用权。根据《国有土地使用证》[]，估价对象（分摊）出让国有建设用地使用权面积为26425平方米。根据《建设工程规划许可证》[]、《出让合同》[]，估价对象规划建筑面积为374106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2019年7月17日（评估专业人员勘察现场之日）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根据《国有土地使用证》[]，估价对象（分摊）出让国有建设用地使用权面积为26425平方米。根据《建设工程规划许可证》[]、《出让合同》[]，估价对象规划建筑面积为374106平方米。</v>
      </c>
    </row>
    <row r="16" spans="1:55" s="2830" customFormat="1">
      <c r="A16" s="2831" t="s">
        <v>2669</v>
      </c>
      <c r="B16" s="2832" t="str">
        <f>'预评函-1'!A22</f>
        <v>本次估价对象为出让国有建设用地使用权，《国有土地使用证》[]证载土地终止日期为住宅2089年7月17日、商业2059年7月17日、办公2059年7月17日、地下车库2069年7月17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估价期日：2019年7月17日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26425</v>
      </c>
    </row>
    <row r="44" spans="1:2">
      <c r="A44" s="2831" t="s">
        <v>2740</v>
      </c>
      <c r="B44" s="2832" t="str">
        <f>'预评函-2'!O3</f>
        <v>规划建筑面积/㎡</v>
      </c>
    </row>
    <row r="45" spans="1:2">
      <c r="A45" s="2831" t="s">
        <v>2722</v>
      </c>
      <c r="B45" s="2832">
        <f>'预评函-2'!O5</f>
        <v>374106</v>
      </c>
    </row>
    <row r="46" spans="1:2">
      <c r="A46" s="2831" t="s">
        <v>2723</v>
      </c>
      <c r="B46" s="2832">
        <f ca="1">'预评函-2'!P5</f>
        <v>60815</v>
      </c>
    </row>
    <row r="47" spans="1:2">
      <c r="A47" s="2831" t="s">
        <v>2724</v>
      </c>
      <c r="B47" s="2832">
        <f ca="1">'预评函-2'!Q5</f>
        <v>4296</v>
      </c>
    </row>
    <row r="48" spans="1:2">
      <c r="A48" s="2831" t="s">
        <v>2725</v>
      </c>
      <c r="B48" s="2832">
        <f ca="1">'预评函-2'!R5</f>
        <v>160704</v>
      </c>
    </row>
    <row r="49" spans="1:2">
      <c r="A49" s="2831" t="s">
        <v>2741</v>
      </c>
      <c r="B49" s="2832" t="str">
        <f>'预评函-2'!A6</f>
        <v>抵押价格</v>
      </c>
    </row>
    <row r="50" spans="1:2">
      <c r="A50" s="2831" t="s">
        <v>2726</v>
      </c>
      <c r="B50" s="2832">
        <f ca="1">'预评函-2'!R6</f>
        <v>160704</v>
      </c>
    </row>
    <row r="51" spans="1:2">
      <c r="A51" s="2831" t="s">
        <v>2742</v>
      </c>
      <c r="B51" s="2832" t="str">
        <f>'预评函-2'!A7</f>
        <v>——</v>
      </c>
    </row>
    <row r="52" spans="1:2">
      <c r="A52" s="2831" t="s">
        <v>2727</v>
      </c>
      <c r="B52" s="2832" t="str">
        <f>'预评函-2'!R7</f>
        <v>——</v>
      </c>
    </row>
    <row r="53" spans="1:2">
      <c r="A53" s="2831" t="s">
        <v>2743</v>
      </c>
      <c r="B53" s="2832" t="str">
        <f>'预评函-2'!A8</f>
        <v>——</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51" t="str">
        <f>IF(B10="北京市","北京市",C10)&amp;F10&amp;B16&amp;"国有建设用地使用权"&amp;B9&amp;"预评估"</f>
        <v>出让国有建设用地使用权抵押价格预评估</v>
      </c>
      <c r="C1" s="3252"/>
      <c r="D1" s="3252"/>
      <c r="E1" s="3252"/>
      <c r="F1" s="3252"/>
      <c r="G1" s="3252"/>
      <c r="H1" s="3252"/>
      <c r="I1" s="325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43663</v>
      </c>
      <c r="C3" s="1645" t="s">
        <v>1995</v>
      </c>
      <c r="D3" s="1644">
        <f>B3</f>
        <v>43663</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2994</v>
      </c>
      <c r="C8" s="1653"/>
      <c r="D8" s="3257" t="s">
        <v>1944</v>
      </c>
      <c r="E8" s="1826" t="s">
        <v>3006</v>
      </c>
      <c r="F8" s="1654"/>
      <c r="G8" s="1642"/>
      <c r="H8" s="1642"/>
      <c r="I8" s="1689"/>
      <c r="J8" s="1676"/>
      <c r="K8" s="1756"/>
      <c r="L8" s="1705"/>
      <c r="M8" s="1705"/>
      <c r="N8" s="1676"/>
      <c r="O8" s="1677"/>
      <c r="P8" s="1676"/>
      <c r="Q8" s="1676"/>
      <c r="R8" s="1676"/>
      <c r="S8" s="1676"/>
      <c r="T8" s="1676"/>
      <c r="U8" s="1676"/>
    </row>
    <row r="9" spans="1:21" ht="15" thickBot="1">
      <c r="A9" s="1655" t="s">
        <v>1943</v>
      </c>
      <c r="B9" s="1656" t="s">
        <v>3006</v>
      </c>
      <c r="C9" s="1657"/>
      <c r="D9" s="3258"/>
      <c r="E9" s="1656" t="s">
        <v>952</v>
      </c>
      <c r="F9" s="1729"/>
      <c r="G9" s="1724"/>
      <c r="H9" s="1724"/>
      <c r="I9" s="1725"/>
      <c r="J9" s="1676"/>
      <c r="K9" s="1756"/>
      <c r="L9" s="1705"/>
      <c r="M9" s="1705"/>
      <c r="N9" s="1676"/>
      <c r="O9" s="1677"/>
      <c r="P9" s="1676"/>
      <c r="Q9" s="1676"/>
      <c r="R9" s="1676"/>
      <c r="S9" s="1676"/>
      <c r="T9" s="1676"/>
      <c r="U9" s="1676"/>
    </row>
    <row r="10" spans="1:21" ht="15" thickTop="1">
      <c r="A10" s="1726" t="s">
        <v>1999</v>
      </c>
      <c r="B10" s="1701" t="s">
        <v>3007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3008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54"/>
      <c r="C12" s="3255"/>
      <c r="D12" s="3256"/>
      <c r="E12" s="1681" t="s">
        <v>2061</v>
      </c>
      <c r="F12" s="3272" t="s">
        <v>2890</v>
      </c>
      <c r="G12" s="3273"/>
      <c r="H12" s="3273"/>
      <c r="I12" s="3274"/>
      <c r="J12" s="1676"/>
      <c r="K12" s="1756"/>
      <c r="L12" s="1705"/>
      <c r="M12" s="1705"/>
      <c r="N12" s="1676"/>
      <c r="O12" s="1677"/>
      <c r="P12" s="1676"/>
      <c r="Q12" s="1676"/>
      <c r="R12" s="1676"/>
      <c r="S12" s="1676"/>
      <c r="T12" s="1676"/>
      <c r="U12" s="1676"/>
    </row>
    <row r="13" spans="1:21">
      <c r="A13" s="1669" t="s">
        <v>2059</v>
      </c>
      <c r="B13" s="3254"/>
      <c r="C13" s="3255"/>
      <c r="D13" s="3256"/>
      <c r="E13" s="1681" t="s">
        <v>2061</v>
      </c>
      <c r="F13" s="3272" t="s">
        <v>2891</v>
      </c>
      <c r="G13" s="3273"/>
      <c r="H13" s="3273"/>
      <c r="I13" s="3274"/>
      <c r="J13" s="1676"/>
      <c r="K13" s="1756"/>
      <c r="L13" s="1705"/>
      <c r="M13" s="1705"/>
      <c r="N13" s="1676"/>
      <c r="O13" s="1677"/>
      <c r="P13" s="1676"/>
      <c r="Q13" s="1676"/>
      <c r="R13" s="1676"/>
      <c r="S13" s="1676"/>
      <c r="T13" s="1676"/>
      <c r="U13" s="1676"/>
    </row>
    <row r="14" spans="1:21">
      <c r="A14" s="1643" t="s">
        <v>2062</v>
      </c>
      <c r="B14" s="1681"/>
      <c r="C14" s="1827" t="s">
        <v>3009</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3010</v>
      </c>
      <c r="F16" s="1704" t="s">
        <v>1677</v>
      </c>
      <c r="G16" s="1704" t="s">
        <v>35</v>
      </c>
      <c r="H16" s="1704"/>
      <c r="I16" s="1668" t="s">
        <v>1954</v>
      </c>
      <c r="J16" s="1676"/>
      <c r="K16" s="2418" t="str">
        <f>IF(D17="","",D16&amp;TEXT(D17,"yyyy年m月d日;;"))</f>
        <v>住宅2089年7月17日</v>
      </c>
      <c r="L16" s="1681" t="str">
        <f>IF(OR(K16="",M16=""),"","、")</f>
        <v>、</v>
      </c>
      <c r="M16" s="2418" t="str">
        <f>IF(E17="","",E16&amp;TEXT(E17,"yyyy年m月d日;;"))</f>
        <v>商业2059年7月17日</v>
      </c>
      <c r="N16" s="1681" t="str">
        <f>IF(OR(M16="",O16=""),"","、")</f>
        <v>、</v>
      </c>
      <c r="O16" s="2418" t="str">
        <f>IF(F17="","",F16&amp;TEXT(F17,"yyyy年m月d日;;"))</f>
        <v>办公2059年7月17日</v>
      </c>
      <c r="P16" s="1681" t="str">
        <f>IF(OR(O16="",Q16=""),"","、")</f>
        <v>、</v>
      </c>
      <c r="Q16" s="2418" t="str">
        <f>IF(G17="","",G16&amp;TEXT(G17,"yyyy年m月d日;;"))</f>
        <v>地下车库2069年7月17日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69231</v>
      </c>
      <c r="E17" s="1682">
        <v>58273</v>
      </c>
      <c r="F17" s="1682">
        <f>E17</f>
        <v>58273</v>
      </c>
      <c r="G17" s="1682">
        <v>61926</v>
      </c>
      <c r="H17" s="1682"/>
      <c r="I17" s="1682"/>
      <c r="J17" s="1676"/>
      <c r="K17" s="2417" t="str">
        <f>CONCATENATE(K16,L16,M16,N16,O16,P16,Q16,R16,S16,T16,,U16)</f>
        <v>住宅2089年7月17日、商业2059年7月17日、办公2059年7月17日、地下车库2069年7月17日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40</v>
      </c>
      <c r="F19" s="1667">
        <f>IF(B16="出让",IF(F17="","",ROUNDDOWN(MIN((F17-$D$3)/365,F18),2)),F18)</f>
        <v>40</v>
      </c>
      <c r="G19" s="1667">
        <f>IF(B16="出让",IF(G17="","",ROUNDDOWN(MIN((G17-$D$3)/365,G18),2)),G18)</f>
        <v>50</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9"/>
      <c r="E20" s="3270"/>
      <c r="F20" s="3270"/>
      <c r="G20" s="3270"/>
      <c r="H20" s="3270"/>
      <c r="I20" s="3271"/>
      <c r="J20" s="1676"/>
      <c r="K20" s="1756"/>
      <c r="L20" s="1705"/>
      <c r="M20" s="1705"/>
      <c r="N20" s="1676"/>
      <c r="O20" s="1677"/>
      <c r="P20" s="1676"/>
      <c r="Q20" s="1676"/>
      <c r="R20" s="1676"/>
      <c r="S20" s="1676"/>
      <c r="T20" s="1676"/>
      <c r="U20" s="1676"/>
    </row>
    <row r="21" spans="1:21">
      <c r="A21" s="1745" t="s">
        <v>1958</v>
      </c>
      <c r="B21" s="1746" t="s">
        <v>1959</v>
      </c>
      <c r="C21" s="1741">
        <f>'数据-汇总表'!E3</f>
        <v>374106</v>
      </c>
      <c r="D21" s="1742" t="s">
        <v>1960</v>
      </c>
      <c r="E21" s="3259" t="s">
        <v>1998</v>
      </c>
      <c r="F21" s="3260"/>
      <c r="G21" s="3260"/>
      <c r="H21" s="3260"/>
      <c r="I21" s="3261"/>
      <c r="J21" s="1676"/>
      <c r="K21" s="1756"/>
      <c r="L21" s="1705"/>
      <c r="M21" s="1705"/>
      <c r="N21" s="1676"/>
      <c r="O21" s="1677"/>
      <c r="P21" s="1676"/>
      <c r="Q21" s="1676"/>
      <c r="R21" s="1676"/>
      <c r="S21" s="1676"/>
      <c r="T21" s="1676"/>
      <c r="U21" s="1676"/>
    </row>
    <row r="22" spans="1:21">
      <c r="A22" s="3093" t="s">
        <v>952</v>
      </c>
      <c r="B22" s="1643" t="s">
        <v>1961</v>
      </c>
      <c r="C22" s="1668">
        <f>'数据-汇总表'!D3</f>
        <v>26425</v>
      </c>
      <c r="D22" s="1669" t="s">
        <v>1960</v>
      </c>
      <c r="E22" s="3259" t="s">
        <v>2892</v>
      </c>
      <c r="F22" s="3260"/>
      <c r="G22" s="3260"/>
      <c r="H22" s="3260"/>
      <c r="I22" s="3261"/>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2" t="s">
        <v>1966</v>
      </c>
      <c r="C24" s="3263"/>
      <c r="D24" s="3264" t="s">
        <v>1967</v>
      </c>
      <c r="E24" s="3265"/>
      <c r="F24" s="1690" t="s">
        <v>1968</v>
      </c>
      <c r="G24" s="1676"/>
      <c r="H24" s="1676"/>
      <c r="I24" s="1689"/>
      <c r="J24" s="1676"/>
      <c r="K24" s="3250"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36" t="s">
        <v>2001</v>
      </c>
      <c r="B31" s="1746" t="s">
        <v>2002</v>
      </c>
      <c r="C31" s="3275"/>
      <c r="D31" s="3276"/>
      <c r="E31" s="1676"/>
      <c r="F31" s="1676"/>
      <c r="G31" s="1676"/>
      <c r="H31" s="1676"/>
      <c r="I31" s="1689"/>
      <c r="J31" s="1676"/>
      <c r="K31" s="2420"/>
      <c r="L31" s="1676"/>
      <c r="M31" s="1676"/>
      <c r="N31" s="1676"/>
      <c r="O31" s="1676"/>
      <c r="P31" s="1676"/>
      <c r="Q31" s="1676"/>
      <c r="R31" s="1676"/>
      <c r="S31" s="1676"/>
      <c r="T31" s="1676"/>
      <c r="U31" s="1676"/>
    </row>
    <row r="32" spans="1:21">
      <c r="A32" s="3236"/>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6"/>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7"/>
      <c r="B34" s="1643" t="s">
        <v>2005</v>
      </c>
      <c r="C34" s="3238"/>
      <c r="D34" s="3239"/>
      <c r="E34" s="1676"/>
      <c r="F34" s="1676"/>
      <c r="G34" s="1676"/>
      <c r="H34" s="1676"/>
      <c r="I34" s="1689"/>
      <c r="J34" s="1676"/>
      <c r="K34" s="2420"/>
      <c r="L34" s="1676"/>
      <c r="M34" s="1676"/>
      <c r="N34" s="1676"/>
      <c r="O34" s="1676"/>
      <c r="P34" s="1676"/>
      <c r="Q34" s="1676"/>
      <c r="R34" s="1676"/>
      <c r="S34" s="1676"/>
      <c r="T34" s="1676"/>
      <c r="U34" s="1676"/>
    </row>
    <row r="35" spans="1:21">
      <c r="A35" s="3240" t="s">
        <v>847</v>
      </c>
      <c r="B35" s="1704"/>
      <c r="C35" s="1758" t="str">
        <f>IF(B35="场地平整","——","具体情况：")</f>
        <v>具体情况：</v>
      </c>
      <c r="D35" s="3242"/>
      <c r="E35" s="3243"/>
      <c r="F35" s="3243"/>
      <c r="G35" s="3243"/>
      <c r="H35" s="3243"/>
      <c r="I35" s="3244"/>
      <c r="J35" s="1676"/>
      <c r="K35" s="1757"/>
      <c r="L35" s="1705"/>
      <c r="M35" s="1705"/>
      <c r="N35" s="1676"/>
      <c r="O35" s="1677"/>
      <c r="P35" s="1676"/>
      <c r="Q35" s="1676"/>
      <c r="R35" s="1676"/>
      <c r="S35" s="1676"/>
      <c r="T35" s="1676"/>
      <c r="U35" s="1676"/>
    </row>
    <row r="36" spans="1:21">
      <c r="A36" s="3236"/>
      <c r="B36" s="3245" t="s">
        <v>2054</v>
      </c>
      <c r="C36" s="3246"/>
      <c r="D36" s="1774"/>
      <c r="E36" s="3247"/>
      <c r="F36" s="3247"/>
      <c r="G36" s="1669" t="str">
        <f>IF(B35="场地未平整","估价结果处理","")</f>
        <v/>
      </c>
      <c r="H36" s="3248"/>
      <c r="I36" s="3248"/>
      <c r="J36" s="1676"/>
      <c r="K36" s="1757"/>
      <c r="L36" s="1705"/>
      <c r="M36" s="1705"/>
      <c r="N36" s="1676"/>
      <c r="O36" s="1677"/>
      <c r="P36" s="1676"/>
      <c r="Q36" s="1676"/>
      <c r="R36" s="1676"/>
      <c r="S36" s="1676"/>
      <c r="T36" s="1676"/>
      <c r="U36" s="1676"/>
    </row>
    <row r="37" spans="1:21" ht="28.5">
      <c r="A37" s="3236"/>
      <c r="B37" s="326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6"/>
      <c r="B38" s="3267"/>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237"/>
      <c r="B39" s="326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9" t="s">
        <v>1985</v>
      </c>
      <c r="T40" s="1713" t="str">
        <f>NUMBERSTRING(7-K40,1)&amp;"通"</f>
        <v>七通</v>
      </c>
      <c r="U40" s="1676"/>
    </row>
    <row r="41" spans="1:21">
      <c r="A41" s="1645"/>
      <c r="B41" s="3241" t="s">
        <v>1721</v>
      </c>
      <c r="C41" s="3241"/>
      <c r="D41" s="3241"/>
      <c r="E41" s="3241"/>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9"/>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K9" sqref="K9"/>
    </sheetView>
  </sheetViews>
  <sheetFormatPr defaultRowHeight="13.5"/>
  <sheetData>
    <row r="1" spans="1:15">
      <c r="A1">
        <v>26425</v>
      </c>
      <c r="C1">
        <f>SUM(C2:C9)</f>
        <v>374106</v>
      </c>
      <c r="F1">
        <f>F2+F3+F5</f>
        <v>262501</v>
      </c>
    </row>
    <row r="2" spans="1:15">
      <c r="B2" s="3181" t="s">
        <v>2995</v>
      </c>
      <c r="C2">
        <f>33766+33390+48673</f>
        <v>115829</v>
      </c>
      <c r="D2" s="3181" t="s">
        <v>2997</v>
      </c>
      <c r="E2">
        <f>313+313+522</f>
        <v>1148</v>
      </c>
      <c r="F2">
        <v>115829</v>
      </c>
      <c r="G2">
        <f>C2-F2</f>
        <v>0</v>
      </c>
      <c r="L2" s="3202">
        <v>41000</v>
      </c>
    </row>
    <row r="3" spans="1:15">
      <c r="B3" s="3181" t="s">
        <v>2996</v>
      </c>
      <c r="C3">
        <v>75299</v>
      </c>
      <c r="D3" s="3181" t="s">
        <v>2998</v>
      </c>
      <c r="F3">
        <v>86537</v>
      </c>
      <c r="G3">
        <f>C3+C4-F3</f>
        <v>6126</v>
      </c>
      <c r="L3" s="3181" t="s">
        <v>3161</v>
      </c>
      <c r="M3">
        <f>C7</f>
        <v>20919</v>
      </c>
      <c r="N3">
        <f>O3*N4</f>
        <v>13200</v>
      </c>
      <c r="O3">
        <v>0.4</v>
      </c>
    </row>
    <row r="4" spans="1:15">
      <c r="B4" s="3181" t="s">
        <v>3004</v>
      </c>
      <c r="C4">
        <v>17364</v>
      </c>
      <c r="D4" s="3181" t="s">
        <v>3005</v>
      </c>
      <c r="J4">
        <f>190000/'数据-汇总表'!F27*10000</f>
        <v>7321.7444248769762</v>
      </c>
      <c r="L4" s="3181" t="s">
        <v>3024</v>
      </c>
      <c r="M4">
        <f>C5/4</f>
        <v>12752.25</v>
      </c>
      <c r="N4">
        <v>33000</v>
      </c>
      <c r="O4">
        <v>1</v>
      </c>
    </row>
    <row r="5" spans="1:15">
      <c r="B5" s="3181" t="s">
        <v>2999</v>
      </c>
      <c r="C5">
        <f>54009-3000</f>
        <v>51009</v>
      </c>
      <c r="D5" s="3181"/>
      <c r="E5">
        <f>C2+C3+C4+C5+C6</f>
        <v>262501</v>
      </c>
      <c r="F5">
        <v>60135</v>
      </c>
      <c r="G5">
        <f>C5+C6-F5</f>
        <v>-6126</v>
      </c>
      <c r="L5" s="3181" t="s">
        <v>3025</v>
      </c>
      <c r="M5">
        <f>M4-'数据-汇总表'!F24</f>
        <v>10222.25</v>
      </c>
      <c r="N5">
        <f>N4*O5</f>
        <v>23100</v>
      </c>
      <c r="O5">
        <v>0.7</v>
      </c>
    </row>
    <row r="6" spans="1:15">
      <c r="B6" s="3181" t="s">
        <v>3000</v>
      </c>
      <c r="C6">
        <v>3000</v>
      </c>
      <c r="L6" s="3181" t="s">
        <v>3026</v>
      </c>
      <c r="M6">
        <f>M4</f>
        <v>12752.25</v>
      </c>
      <c r="N6">
        <f>N4*O6</f>
        <v>16500</v>
      </c>
      <c r="O6">
        <v>0.5</v>
      </c>
    </row>
    <row r="7" spans="1:15">
      <c r="B7" s="3181" t="s">
        <v>3001</v>
      </c>
      <c r="C7">
        <v>20919</v>
      </c>
      <c r="F7">
        <v>20919</v>
      </c>
      <c r="L7" s="3181" t="s">
        <v>3027</v>
      </c>
      <c r="M7">
        <f>C5-SUM(M4:M6)-'数据-汇总表'!F24</f>
        <v>12752.25</v>
      </c>
      <c r="N7">
        <f>N4*O7</f>
        <v>16500</v>
      </c>
      <c r="O7">
        <v>0.5</v>
      </c>
    </row>
    <row r="8" spans="1:15">
      <c r="B8" s="3181" t="s">
        <v>3002</v>
      </c>
      <c r="C8">
        <v>77927</v>
      </c>
      <c r="E8">
        <v>1380</v>
      </c>
      <c r="F8">
        <v>77927</v>
      </c>
      <c r="M8">
        <f>SUM(M3:M7)</f>
        <v>69398</v>
      </c>
      <c r="N8">
        <f>ROUND((M3*N3+M4*N4+M5*N5+M6*N6+M7*N7)/M8,0)</f>
        <v>19509</v>
      </c>
    </row>
    <row r="9" spans="1:15">
      <c r="B9" s="3181" t="s">
        <v>3003</v>
      </c>
      <c r="C9">
        <f>90686-C8</f>
        <v>12759</v>
      </c>
      <c r="E9">
        <f>C8/E8</f>
        <v>56.468840579710147</v>
      </c>
      <c r="H9">
        <f>120000/E9</f>
        <v>2125.0657666790712</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面积!A1</f>
        <v>26425</v>
      </c>
      <c r="B3" s="22">
        <f>IF(C3="否",G5-AT5,G5)</f>
        <v>374106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374106</v>
      </c>
      <c r="H5" s="27">
        <f t="shared" ref="H5:AT5" si="0">SUM(H13:H641)</f>
        <v>358347</v>
      </c>
      <c r="I5" s="27">
        <f t="shared" si="0"/>
        <v>115829</v>
      </c>
      <c r="J5" s="27">
        <f t="shared" si="0"/>
        <v>0</v>
      </c>
      <c r="K5" s="27">
        <f t="shared" si="0"/>
        <v>51009</v>
      </c>
      <c r="L5" s="27">
        <f t="shared" si="0"/>
        <v>0</v>
      </c>
      <c r="M5" s="27">
        <f t="shared" si="0"/>
        <v>92663</v>
      </c>
      <c r="N5" s="27">
        <f t="shared" si="0"/>
        <v>0</v>
      </c>
      <c r="O5" s="27">
        <f t="shared" si="0"/>
        <v>20919</v>
      </c>
      <c r="P5" s="27">
        <f t="shared" si="0"/>
        <v>0</v>
      </c>
      <c r="Q5" s="27">
        <f t="shared" si="0"/>
        <v>77927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15759</v>
      </c>
      <c r="AD5" s="27">
        <f t="shared" si="0"/>
        <v>3000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12759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374106</v>
      </c>
      <c r="BA5" s="29">
        <f t="shared" si="1"/>
        <v>358347</v>
      </c>
      <c r="BB5" s="29">
        <f t="shared" si="1"/>
        <v>115829</v>
      </c>
      <c r="BC5" s="29">
        <f t="shared" si="1"/>
        <v>51009</v>
      </c>
      <c r="BD5" s="29">
        <f t="shared" si="1"/>
        <v>92663</v>
      </c>
      <c r="BE5" s="29">
        <f t="shared" si="1"/>
        <v>20919</v>
      </c>
      <c r="BF5" s="29">
        <f t="shared" si="1"/>
        <v>77927</v>
      </c>
      <c r="BG5" s="29">
        <f t="shared" si="1"/>
        <v>0</v>
      </c>
      <c r="BH5" s="29">
        <f t="shared" si="1"/>
        <v>0</v>
      </c>
      <c r="BI5" s="29">
        <f t="shared" si="1"/>
        <v>0</v>
      </c>
      <c r="BJ5" s="29">
        <f t="shared" si="1"/>
        <v>0</v>
      </c>
      <c r="BK5" s="29">
        <f t="shared" si="1"/>
        <v>0</v>
      </c>
      <c r="BL5" s="29">
        <f t="shared" si="1"/>
        <v>15759</v>
      </c>
      <c r="BM5" s="29">
        <f t="shared" si="1"/>
        <v>3000</v>
      </c>
      <c r="BN5" s="29">
        <f t="shared" si="1"/>
        <v>0</v>
      </c>
      <c r="BO5" s="29">
        <f t="shared" si="1"/>
        <v>0</v>
      </c>
      <c r="BP5" s="29">
        <f t="shared" si="1"/>
        <v>0</v>
      </c>
      <c r="BQ5" s="29">
        <f t="shared" si="1"/>
        <v>0</v>
      </c>
      <c r="BR5" s="29">
        <f t="shared" si="1"/>
        <v>12759</v>
      </c>
      <c r="BS5" s="29">
        <f t="shared" si="1"/>
        <v>0</v>
      </c>
      <c r="BT5" s="30">
        <f t="shared" si="1"/>
        <v>0</v>
      </c>
    </row>
    <row r="6" spans="1:72" s="37" customFormat="1" ht="12.75">
      <c r="A6" s="26" t="s">
        <v>169</v>
      </c>
      <c r="B6" s="31"/>
      <c r="C6" s="31"/>
      <c r="D6" s="32"/>
      <c r="E6" s="27">
        <f>H6+AC6+AT6</f>
        <v>26425.000000000004</v>
      </c>
      <c r="F6" s="27" t="s">
        <v>1</v>
      </c>
      <c r="G6" s="27" t="s">
        <v>2</v>
      </c>
      <c r="H6" s="33">
        <f>SUMIF(I$12:AB$12,"总值",I6:AB6)</f>
        <v>25311.860000000004</v>
      </c>
      <c r="I6" s="27">
        <f t="shared" ref="I6:AB6" si="2">ROUND($A$3*I5/$B$3,2)</f>
        <v>8181.59</v>
      </c>
      <c r="J6" s="27">
        <f t="shared" si="2"/>
        <v>0</v>
      </c>
      <c r="K6" s="27">
        <f t="shared" si="2"/>
        <v>3603.02</v>
      </c>
      <c r="L6" s="27">
        <f t="shared" si="2"/>
        <v>0</v>
      </c>
      <c r="M6" s="27">
        <f t="shared" si="2"/>
        <v>6545.26</v>
      </c>
      <c r="N6" s="27">
        <f t="shared" si="2"/>
        <v>0</v>
      </c>
      <c r="O6" s="27">
        <f t="shared" si="2"/>
        <v>1477.61</v>
      </c>
      <c r="P6" s="27">
        <f t="shared" si="2"/>
        <v>0</v>
      </c>
      <c r="Q6" s="27">
        <f t="shared" si="2"/>
        <v>5504.38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1113.1400000000001</v>
      </c>
      <c r="AD6" s="27">
        <f t="shared" ref="AD6:AS6" si="3">ROUND($A$3*AD5/$B$3,2)</f>
        <v>211.91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901.23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26425</v>
      </c>
      <c r="AZ6" s="27" t="s">
        <v>3</v>
      </c>
      <c r="BA6" s="27">
        <f>ROUND($AY$6*BA5/$AZ$5,2)</f>
        <v>25311.86</v>
      </c>
      <c r="BB6" s="27">
        <f>ROUND($AY$6*BB5/$AZ$5,2)</f>
        <v>8181.59</v>
      </c>
      <c r="BC6" s="27">
        <f t="shared" ref="BC6:BH6" si="4">ROUND($AY$6*BC5/$AZ$5,2)</f>
        <v>3603.02</v>
      </c>
      <c r="BD6" s="27">
        <f t="shared" si="4"/>
        <v>6545.26</v>
      </c>
      <c r="BE6" s="27">
        <f t="shared" si="4"/>
        <v>1477.61</v>
      </c>
      <c r="BF6" s="27">
        <f t="shared" si="4"/>
        <v>5504.38</v>
      </c>
      <c r="BG6" s="27">
        <f t="shared" si="4"/>
        <v>0</v>
      </c>
      <c r="BH6" s="27">
        <f t="shared" si="4"/>
        <v>0</v>
      </c>
      <c r="BI6" s="27">
        <f t="shared" ref="BI6:BT6" si="5">ROUND($AY$6*BI5/$AZ$5,2)</f>
        <v>0</v>
      </c>
      <c r="BJ6" s="27">
        <f t="shared" si="5"/>
        <v>0</v>
      </c>
      <c r="BK6" s="27">
        <f t="shared" si="5"/>
        <v>0</v>
      </c>
      <c r="BL6" s="27">
        <f t="shared" si="5"/>
        <v>1113.1400000000001</v>
      </c>
      <c r="BM6" s="27">
        <f t="shared" si="5"/>
        <v>211.91</v>
      </c>
      <c r="BN6" s="27">
        <f t="shared" si="5"/>
        <v>0</v>
      </c>
      <c r="BO6" s="27">
        <f t="shared" si="5"/>
        <v>0</v>
      </c>
      <c r="BP6" s="27">
        <f t="shared" si="5"/>
        <v>0</v>
      </c>
      <c r="BQ6" s="27">
        <f t="shared" si="5"/>
        <v>0</v>
      </c>
      <c r="BR6" s="27">
        <f t="shared" si="5"/>
        <v>901.23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3011</v>
      </c>
      <c r="J9" s="51"/>
      <c r="K9" s="2969" t="s">
        <v>3011</v>
      </c>
      <c r="L9" s="51"/>
      <c r="M9" s="2969" t="s">
        <v>3011</v>
      </c>
      <c r="N9" s="51"/>
      <c r="O9" s="59" t="s">
        <v>3017</v>
      </c>
      <c r="P9" s="51"/>
      <c r="Q9" s="59" t="s">
        <v>3017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923</v>
      </c>
      <c r="J10" s="51"/>
      <c r="K10" s="2971" t="s">
        <v>3010</v>
      </c>
      <c r="L10" s="51"/>
      <c r="M10" s="2971" t="s">
        <v>1677</v>
      </c>
      <c r="N10" s="51"/>
      <c r="O10" s="66" t="s">
        <v>3010</v>
      </c>
      <c r="P10" s="51"/>
      <c r="Q10" s="66" t="s">
        <v>3019</v>
      </c>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3012</v>
      </c>
      <c r="J11" s="71"/>
      <c r="K11" s="2970" t="s">
        <v>3014</v>
      </c>
      <c r="L11" s="71"/>
      <c r="M11" s="70" t="s">
        <v>3016</v>
      </c>
      <c r="N11" s="71"/>
      <c r="O11" s="70" t="s">
        <v>3018</v>
      </c>
      <c r="P11" s="71"/>
      <c r="Q11" s="70" t="s">
        <v>3019</v>
      </c>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裙房</v>
      </c>
      <c r="BD12" s="79" t="str">
        <f>M11</f>
        <v>办公楼</v>
      </c>
      <c r="BE12" s="50" t="str">
        <f>O11</f>
        <v>商业街</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26425</v>
      </c>
      <c r="F13" s="81"/>
      <c r="G13" s="82">
        <f t="shared" ref="G13:G20" si="7">H13+AC13+AT13</f>
        <v>374106</v>
      </c>
      <c r="H13" s="33">
        <f t="shared" ref="H13:H20" si="8">SUMIF(I$12:AB$12,"总值",I13:AB13)</f>
        <v>358347</v>
      </c>
      <c r="I13" s="2968">
        <f>面积!C2</f>
        <v>115829</v>
      </c>
      <c r="J13" s="2968"/>
      <c r="K13" s="2968">
        <f>面积!C5</f>
        <v>51009</v>
      </c>
      <c r="L13" s="2968"/>
      <c r="M13" s="2968">
        <f>面积!C3+面积!C4</f>
        <v>92663</v>
      </c>
      <c r="N13" s="83"/>
      <c r="O13" s="83">
        <f>面积!C7</f>
        <v>20919</v>
      </c>
      <c r="P13" s="83"/>
      <c r="Q13" s="83">
        <f>面积!C8</f>
        <v>77927</v>
      </c>
      <c r="R13" s="83"/>
      <c r="S13" s="83"/>
      <c r="T13" s="83"/>
      <c r="U13" s="83"/>
      <c r="V13" s="83"/>
      <c r="W13" s="83"/>
      <c r="X13" s="83"/>
      <c r="Y13" s="83"/>
      <c r="Z13" s="83"/>
      <c r="AA13" s="83"/>
      <c r="AB13" s="83"/>
      <c r="AC13" s="27">
        <f t="shared" ref="AC13:AC20" si="9">SUMIF(AD$12:AS$12,"总值",AD13:AS13)</f>
        <v>15759</v>
      </c>
      <c r="AD13" s="2972">
        <f>面积!C6</f>
        <v>3000</v>
      </c>
      <c r="AE13" s="2972"/>
      <c r="AF13" s="2972"/>
      <c r="AG13" s="2972"/>
      <c r="AH13" s="2972"/>
      <c r="AI13" s="2972"/>
      <c r="AJ13" s="2972"/>
      <c r="AK13" s="2972"/>
      <c r="AL13" s="2972"/>
      <c r="AM13" s="2972"/>
      <c r="AN13" s="2972">
        <f>面积!C9</f>
        <v>12759</v>
      </c>
      <c r="AO13" s="2972"/>
      <c r="AP13" s="2972"/>
      <c r="AQ13" s="2972"/>
      <c r="AR13" s="2972"/>
      <c r="AS13" s="2972"/>
      <c r="AT13" s="2973"/>
      <c r="AU13" s="2974"/>
      <c r="AV13" s="17">
        <f t="shared" ref="AV13:AX20" si="10">A13</f>
        <v>0</v>
      </c>
      <c r="AW13" s="17">
        <f t="shared" si="10"/>
        <v>0</v>
      </c>
      <c r="AX13" s="17">
        <f t="shared" si="10"/>
        <v>0</v>
      </c>
      <c r="AY13" s="995">
        <f t="shared" ref="AY13:AY20" si="11">ROUND($AY$6*AZ13/$AZ$5,2)</f>
        <v>26425</v>
      </c>
      <c r="AZ13" s="27">
        <f t="shared" ref="AZ13:AZ20" si="12">BA13+BL13</f>
        <v>374106</v>
      </c>
      <c r="BA13" s="27">
        <f t="shared" ref="BA13:BA20" si="13">SUM(BB13:BK13)</f>
        <v>358347</v>
      </c>
      <c r="BB13" s="27">
        <f t="shared" ref="BB13:BB20" si="14">IF($D13="是",I13-J13,0)</f>
        <v>115829</v>
      </c>
      <c r="BC13" s="27">
        <f t="shared" ref="BC13:BC20" si="15">IF($D13="是",K13-L13,0)</f>
        <v>51009</v>
      </c>
      <c r="BD13" s="27">
        <f t="shared" ref="BD13:BD20" si="16">IF($D13="是",M13-N13,0)</f>
        <v>92663</v>
      </c>
      <c r="BE13" s="27">
        <f t="shared" ref="BE13:BE20" si="17">IF($D13="是",O13-P13,0)</f>
        <v>20919</v>
      </c>
      <c r="BF13" s="27">
        <f t="shared" ref="BF13:BF20" si="18">IF($D13="是",Q13-R13,0)</f>
        <v>77927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15759</v>
      </c>
      <c r="BM13" s="27">
        <f t="shared" ref="BM13:BM20" si="25">IF($D13="是",AD13-AE13,0)</f>
        <v>3000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12759</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C36" sqref="C3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8" t="s">
        <v>203</v>
      </c>
      <c r="B2" s="3288"/>
      <c r="C2" s="3288"/>
      <c r="D2" s="1958" t="s">
        <v>204</v>
      </c>
      <c r="E2" s="106" t="s">
        <v>205</v>
      </c>
      <c r="F2" s="1967"/>
      <c r="G2" s="1193"/>
      <c r="H2" s="1194"/>
      <c r="I2" s="1195" t="s">
        <v>857</v>
      </c>
      <c r="J2" s="1967"/>
      <c r="K2" s="1967"/>
      <c r="L2" s="1967"/>
    </row>
    <row r="3" spans="1:16" ht="15.75" thickBot="1">
      <c r="A3" s="3289" t="s">
        <v>206</v>
      </c>
      <c r="B3" s="3289"/>
      <c r="C3" s="3289"/>
      <c r="D3" s="107">
        <f>'数据-基础表'!AY6</f>
        <v>26425</v>
      </c>
      <c r="E3" s="107">
        <f>'数据-基础表'!AZ5</f>
        <v>374106</v>
      </c>
      <c r="F3" s="1967"/>
      <c r="G3" s="279" t="s">
        <v>858</v>
      </c>
      <c r="H3" s="274" t="s">
        <v>859</v>
      </c>
      <c r="I3" s="1959">
        <f>ROUND('数据-基础表'!B3/'数据-基础表'!A3,2)</f>
        <v>14.16</v>
      </c>
      <c r="J3" s="1967"/>
      <c r="K3" s="1967"/>
      <c r="L3" s="1967"/>
    </row>
    <row r="4" spans="1:16" ht="15">
      <c r="A4" s="3290"/>
      <c r="B4" s="3291"/>
      <c r="C4" s="3292"/>
      <c r="D4" s="108" t="s">
        <v>204</v>
      </c>
      <c r="E4" s="109" t="s">
        <v>205</v>
      </c>
      <c r="F4" s="1967"/>
      <c r="G4" s="1196"/>
      <c r="H4" s="274" t="s">
        <v>860</v>
      </c>
      <c r="I4" s="1959">
        <f>ROUND(SUMIF('数据-基础表'!I9:AS9,"地上",'数据-基础表'!I5:AS5)/'数据-基础表'!A3,2)</f>
        <v>9.93</v>
      </c>
      <c r="J4" s="1967"/>
      <c r="K4" s="1967"/>
      <c r="L4" s="1967"/>
    </row>
    <row r="5" spans="1:16">
      <c r="A5" s="110" t="s">
        <v>207</v>
      </c>
      <c r="B5" s="3293" t="s">
        <v>230</v>
      </c>
      <c r="C5" s="3293"/>
      <c r="D5" s="111">
        <f>ROUND($D$3*E5/$E$3,2)</f>
        <v>8181.59</v>
      </c>
      <c r="E5" s="112">
        <f>SUMIF('数据-基础表'!$11:$11,"住宅",'数据-基础表'!$5:$5)</f>
        <v>115829</v>
      </c>
      <c r="F5" s="1967"/>
      <c r="G5" s="279" t="s">
        <v>861</v>
      </c>
      <c r="H5" s="274" t="s">
        <v>859</v>
      </c>
      <c r="I5" s="1959">
        <f>ROUND(E31/D31,2)</f>
        <v>14.16</v>
      </c>
      <c r="J5" s="1967"/>
      <c r="K5" s="1967"/>
      <c r="L5" s="1967"/>
    </row>
    <row r="6" spans="1:16" ht="15" thickBot="1">
      <c r="A6" s="113"/>
      <c r="B6" s="3293" t="s">
        <v>208</v>
      </c>
      <c r="C6" s="3293"/>
      <c r="D6" s="111">
        <f>ROUND($D$3*E6/$E$3,2)</f>
        <v>18243.41</v>
      </c>
      <c r="E6" s="112">
        <f>E3-E5</f>
        <v>258277</v>
      </c>
      <c r="F6" s="1967"/>
      <c r="G6" s="1196"/>
      <c r="H6" s="274" t="s">
        <v>860</v>
      </c>
      <c r="I6" s="1959">
        <f>ROUND(F31/D31,2)</f>
        <v>9.93</v>
      </c>
      <c r="J6" s="1967"/>
      <c r="K6" s="1967"/>
      <c r="L6" s="1967"/>
    </row>
    <row r="7" spans="1:16" ht="15">
      <c r="A7" s="3285"/>
      <c r="B7" s="3286"/>
      <c r="C7" s="3287"/>
      <c r="D7" s="108" t="s">
        <v>204</v>
      </c>
      <c r="E7" s="114" t="s">
        <v>231</v>
      </c>
      <c r="F7" s="1967"/>
      <c r="G7" s="1151" t="s">
        <v>1645</v>
      </c>
      <c r="H7" s="1152"/>
      <c r="I7" s="1829"/>
      <c r="J7" s="1967"/>
      <c r="K7" s="1967"/>
      <c r="L7" s="1967"/>
    </row>
    <row r="8" spans="1:16">
      <c r="A8" s="110" t="s">
        <v>209</v>
      </c>
      <c r="B8" s="115" t="s">
        <v>210</v>
      </c>
      <c r="C8" s="111" t="s">
        <v>211</v>
      </c>
      <c r="D8" s="111">
        <f t="shared" ref="D8:D15" si="0">ROUND($D$3*E8/$E$3,2)</f>
        <v>18329.87</v>
      </c>
      <c r="E8" s="116">
        <f>SUMIF('数据-基础表'!BB10:BK10,"地上",'数据-基础表'!BB5:BK5)</f>
        <v>259501</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1477.61</v>
      </c>
      <c r="E10" s="116">
        <f>SUMPRODUCT(('数据-基础表'!BB10:BK10="地下")*('数据-基础表'!BB11:BK11="商业")*('数据-基础表'!BB5:BK5))</f>
        <v>20919</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5504.38</v>
      </c>
      <c r="E13" s="116">
        <f>SUMPRODUCT(('数据-基础表'!BB10:BK10="地下")*('数据-基础表'!BB11:BK11="车库")*('数据-基础表'!BB5:BK5))</f>
        <v>77927</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25311.86</v>
      </c>
      <c r="E16" s="120">
        <f>SUM(E8:E15)</f>
        <v>358347</v>
      </c>
      <c r="F16" s="1967"/>
      <c r="G16" s="1969"/>
      <c r="H16" s="967" t="s">
        <v>219</v>
      </c>
      <c r="I16" s="968"/>
      <c r="J16" s="1967"/>
      <c r="K16" s="3279" t="s">
        <v>2566</v>
      </c>
      <c r="L16" s="3280"/>
      <c r="M16" s="3280"/>
      <c r="N16" s="3280"/>
      <c r="O16" s="3280"/>
      <c r="P16" s="3281"/>
    </row>
    <row r="17" spans="1:19" ht="15">
      <c r="A17" s="121" t="s">
        <v>216</v>
      </c>
      <c r="B17" s="122" t="s">
        <v>217</v>
      </c>
      <c r="C17" s="2281" t="s">
        <v>2313</v>
      </c>
      <c r="D17" s="108" t="s">
        <v>204</v>
      </c>
      <c r="E17" s="124" t="s">
        <v>205</v>
      </c>
      <c r="F17" s="125"/>
      <c r="G17" s="1360"/>
      <c r="H17" s="969" t="s">
        <v>218</v>
      </c>
      <c r="I17" s="970" t="s">
        <v>2312</v>
      </c>
      <c r="J17" s="1967"/>
      <c r="K17" s="3282" t="s">
        <v>2567</v>
      </c>
      <c r="L17" s="3283"/>
      <c r="M17" s="3284"/>
      <c r="N17" s="3282" t="s">
        <v>2568</v>
      </c>
      <c r="O17" s="3283"/>
      <c r="P17" s="3284"/>
      <c r="R17" s="2282" t="s">
        <v>2311</v>
      </c>
      <c r="S17" s="143"/>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5" t="s">
        <v>3020</v>
      </c>
      <c r="D19" s="111">
        <f t="shared" ref="D19:D26" si="1">ROUND($D$3*E19/$E$3,2)</f>
        <v>5142.59</v>
      </c>
      <c r="E19" s="134">
        <f t="shared" ref="E19:E26" si="2">SUM(F19:G19)</f>
        <v>72805</v>
      </c>
      <c r="F19" s="135">
        <f>'数据-基础表'!I13-F23</f>
        <v>72805</v>
      </c>
      <c r="G19" s="1362"/>
      <c r="H19" s="973">
        <f>ROUND($D$3*I19/$E$3,2)</f>
        <v>316.3</v>
      </c>
      <c r="I19" s="116">
        <f>IF($I$17="自定义",P19,M19)</f>
        <v>4477.8999999999996</v>
      </c>
      <c r="J19" s="1967"/>
      <c r="K19" s="2570">
        <f t="shared" ref="K19:K26" si="3">ROUND(E$28*E19/E$27,2)</f>
        <v>2592.23</v>
      </c>
      <c r="L19" s="274">
        <f t="shared" ref="L19:L26" si="4">ROUND(IF(COUNTIF(C19,"*住宅*")&gt;0,E$29*E19/E$32,0),2)</f>
        <v>1885.67</v>
      </c>
      <c r="M19" s="2571">
        <f>K19+L19</f>
        <v>4477.8999999999996</v>
      </c>
      <c r="N19" s="2572"/>
      <c r="O19" s="2573"/>
      <c r="P19" s="2574">
        <f>N19+O19</f>
        <v>0</v>
      </c>
      <c r="R19" s="274">
        <f t="shared" ref="R19:S26" si="5">D19+H19</f>
        <v>5458.89</v>
      </c>
      <c r="S19" s="2284">
        <f t="shared" si="5"/>
        <v>77282.899999999994</v>
      </c>
    </row>
    <row r="20" spans="1:19">
      <c r="A20" s="138"/>
      <c r="B20" s="115" t="s">
        <v>226</v>
      </c>
      <c r="C20" s="2975" t="s">
        <v>3021</v>
      </c>
      <c r="D20" s="111">
        <f t="shared" si="1"/>
        <v>4901.93</v>
      </c>
      <c r="E20" s="134">
        <f t="shared" si="2"/>
        <v>69398</v>
      </c>
      <c r="F20" s="135">
        <f>'数据-基础表'!K13-F24</f>
        <v>48479</v>
      </c>
      <c r="G20" s="1362">
        <f>'数据-基础表'!O13</f>
        <v>20919</v>
      </c>
      <c r="H20" s="973">
        <f t="shared" ref="H20:H26" si="6">ROUND($D$3*I20/$E$3,2)</f>
        <v>174.53</v>
      </c>
      <c r="I20" s="116">
        <f t="shared" ref="I20:I26" si="7">IF($I$17="自定义",P20,M20)</f>
        <v>2470.9299999999998</v>
      </c>
      <c r="J20" s="1967"/>
      <c r="K20" s="2570">
        <f t="shared" si="3"/>
        <v>2470.9299999999998</v>
      </c>
      <c r="L20" s="274">
        <f t="shared" si="4"/>
        <v>0</v>
      </c>
      <c r="M20" s="2571">
        <f t="shared" ref="M20:M26" si="8">K20+L20</f>
        <v>2470.9299999999998</v>
      </c>
      <c r="N20" s="2572"/>
      <c r="O20" s="2573"/>
      <c r="P20" s="2574">
        <f t="shared" ref="P20:P26" si="9">N20+O20</f>
        <v>0</v>
      </c>
      <c r="R20" s="274">
        <f t="shared" si="5"/>
        <v>5076.46</v>
      </c>
      <c r="S20" s="2284">
        <f t="shared" si="5"/>
        <v>71868.929999999993</v>
      </c>
    </row>
    <row r="21" spans="1:19">
      <c r="A21" s="138"/>
      <c r="B21" s="115" t="s">
        <v>226</v>
      </c>
      <c r="C21" s="2975" t="s">
        <v>3022</v>
      </c>
      <c r="D21" s="111">
        <f t="shared" si="1"/>
        <v>6389.58</v>
      </c>
      <c r="E21" s="134">
        <f t="shared" si="2"/>
        <v>90459</v>
      </c>
      <c r="F21" s="135">
        <f>'数据-基础表'!M13-F25</f>
        <v>90459</v>
      </c>
      <c r="G21" s="1362"/>
      <c r="H21" s="973">
        <f t="shared" si="6"/>
        <v>227.5</v>
      </c>
      <c r="I21" s="116">
        <f t="shared" si="7"/>
        <v>3220.81</v>
      </c>
      <c r="J21" s="1967"/>
      <c r="K21" s="2570">
        <f t="shared" si="3"/>
        <v>3220.81</v>
      </c>
      <c r="L21" s="274">
        <f t="shared" si="4"/>
        <v>0</v>
      </c>
      <c r="M21" s="2571">
        <f t="shared" si="8"/>
        <v>3220.81</v>
      </c>
      <c r="N21" s="2572"/>
      <c r="O21" s="2573"/>
      <c r="P21" s="2574">
        <f t="shared" si="9"/>
        <v>0</v>
      </c>
      <c r="R21" s="274">
        <f t="shared" si="5"/>
        <v>6617.08</v>
      </c>
      <c r="S21" s="2284">
        <f t="shared" si="5"/>
        <v>93679.81</v>
      </c>
    </row>
    <row r="22" spans="1:19">
      <c r="A22" s="138"/>
      <c r="B22" s="115" t="s">
        <v>226</v>
      </c>
      <c r="C22" s="3182" t="s">
        <v>3023</v>
      </c>
      <c r="D22" s="111">
        <f t="shared" si="1"/>
        <v>5504.38</v>
      </c>
      <c r="E22" s="134">
        <f t="shared" si="2"/>
        <v>77927</v>
      </c>
      <c r="F22" s="139"/>
      <c r="G22" s="1363">
        <f>'数据-基础表'!Q13</f>
        <v>77927</v>
      </c>
      <c r="H22" s="973">
        <f t="shared" si="6"/>
        <v>195.98</v>
      </c>
      <c r="I22" s="116">
        <f t="shared" si="7"/>
        <v>2774.6</v>
      </c>
      <c r="J22" s="1967"/>
      <c r="K22" s="2570">
        <f t="shared" si="3"/>
        <v>2774.6</v>
      </c>
      <c r="L22" s="274">
        <f t="shared" si="4"/>
        <v>0</v>
      </c>
      <c r="M22" s="2571">
        <f t="shared" si="8"/>
        <v>2774.6</v>
      </c>
      <c r="N22" s="2572"/>
      <c r="O22" s="2573"/>
      <c r="P22" s="2574">
        <f t="shared" si="9"/>
        <v>0</v>
      </c>
      <c r="R22" s="274">
        <f t="shared" si="5"/>
        <v>5700.36</v>
      </c>
      <c r="S22" s="2284">
        <f t="shared" si="5"/>
        <v>80701.600000000006</v>
      </c>
    </row>
    <row r="23" spans="1:19">
      <c r="A23" s="138"/>
      <c r="B23" s="115" t="s">
        <v>226</v>
      </c>
      <c r="C23" s="3182" t="s">
        <v>3163</v>
      </c>
      <c r="D23" s="111">
        <f>ROUND($D$3*E23/$E$3,2)</f>
        <v>3039</v>
      </c>
      <c r="E23" s="134">
        <f>SUM(F23:G23)</f>
        <v>43024</v>
      </c>
      <c r="F23" s="139">
        <v>43024</v>
      </c>
      <c r="G23" s="1363"/>
      <c r="H23" s="973">
        <f>ROUND($D$3*I23/$E$3,2)</f>
        <v>186.92</v>
      </c>
      <c r="I23" s="116">
        <f t="shared" si="7"/>
        <v>2646.21</v>
      </c>
      <c r="J23" s="1967"/>
      <c r="K23" s="2570">
        <f t="shared" si="3"/>
        <v>1531.88</v>
      </c>
      <c r="L23" s="274">
        <f t="shared" si="4"/>
        <v>1114.33</v>
      </c>
      <c r="M23" s="2571">
        <f t="shared" si="8"/>
        <v>2646.21</v>
      </c>
      <c r="N23" s="2572"/>
      <c r="O23" s="2573"/>
      <c r="P23" s="2574">
        <f t="shared" si="9"/>
        <v>0</v>
      </c>
      <c r="R23" s="274">
        <f t="shared" si="5"/>
        <v>3225.92</v>
      </c>
      <c r="S23" s="2284">
        <f t="shared" si="5"/>
        <v>45670.21</v>
      </c>
    </row>
    <row r="24" spans="1:19">
      <c r="A24" s="138"/>
      <c r="B24" s="115" t="s">
        <v>226</v>
      </c>
      <c r="C24" s="3182" t="s">
        <v>3165</v>
      </c>
      <c r="D24" s="111">
        <f>ROUND($D$3*E24/$E$3,2)</f>
        <v>178.71</v>
      </c>
      <c r="E24" s="134">
        <f>SUM(F24:G24)</f>
        <v>2530</v>
      </c>
      <c r="F24" s="139">
        <f>4734-F25</f>
        <v>2530</v>
      </c>
      <c r="G24" s="1363"/>
      <c r="H24" s="973">
        <f>ROUND($D$3*I24/$E$3,2)</f>
        <v>6.36</v>
      </c>
      <c r="I24" s="116">
        <f t="shared" si="7"/>
        <v>90.08</v>
      </c>
      <c r="J24" s="1967"/>
      <c r="K24" s="2570">
        <f t="shared" si="3"/>
        <v>90.08</v>
      </c>
      <c r="L24" s="274">
        <f t="shared" si="4"/>
        <v>0</v>
      </c>
      <c r="M24" s="2571">
        <f t="shared" si="8"/>
        <v>90.08</v>
      </c>
      <c r="N24" s="2572"/>
      <c r="O24" s="2573"/>
      <c r="P24" s="2574">
        <f t="shared" si="9"/>
        <v>0</v>
      </c>
      <c r="R24" s="274">
        <f t="shared" si="5"/>
        <v>185.07000000000002</v>
      </c>
      <c r="S24" s="2284">
        <f t="shared" si="5"/>
        <v>2620.08</v>
      </c>
    </row>
    <row r="25" spans="1:19">
      <c r="A25" s="138"/>
      <c r="B25" s="115" t="s">
        <v>226</v>
      </c>
      <c r="C25" s="3182" t="s">
        <v>3167</v>
      </c>
      <c r="D25" s="111">
        <f t="shared" si="1"/>
        <v>155.68</v>
      </c>
      <c r="E25" s="134">
        <f t="shared" si="2"/>
        <v>2204</v>
      </c>
      <c r="F25" s="139">
        <v>2204</v>
      </c>
      <c r="G25" s="1363"/>
      <c r="H25" s="110">
        <f t="shared" si="6"/>
        <v>5.54</v>
      </c>
      <c r="I25" s="116">
        <f t="shared" si="7"/>
        <v>78.47</v>
      </c>
      <c r="J25" s="1967"/>
      <c r="K25" s="2570">
        <f t="shared" si="3"/>
        <v>78.47</v>
      </c>
      <c r="L25" s="274">
        <f t="shared" si="4"/>
        <v>0</v>
      </c>
      <c r="M25" s="2571">
        <f t="shared" si="8"/>
        <v>78.47</v>
      </c>
      <c r="N25" s="2572"/>
      <c r="O25" s="2573"/>
      <c r="P25" s="2574">
        <f t="shared" si="9"/>
        <v>0</v>
      </c>
      <c r="R25" s="274">
        <f t="shared" si="5"/>
        <v>161.22</v>
      </c>
      <c r="S25" s="2284">
        <f t="shared" si="5"/>
        <v>2282.4699999999998</v>
      </c>
    </row>
    <row r="26" spans="1:19">
      <c r="A26" s="138"/>
      <c r="B26" s="115" t="s">
        <v>226</v>
      </c>
      <c r="C26" s="141"/>
      <c r="D26" s="111">
        <f t="shared" si="1"/>
        <v>0</v>
      </c>
      <c r="E26" s="134">
        <f t="shared" si="2"/>
        <v>0</v>
      </c>
      <c r="F26" s="139"/>
      <c r="G26" s="1363"/>
      <c r="H26" s="110">
        <f t="shared" si="6"/>
        <v>0</v>
      </c>
      <c r="I26" s="116">
        <f t="shared" si="7"/>
        <v>0</v>
      </c>
      <c r="J26" s="1967"/>
      <c r="K26" s="2575">
        <f t="shared" si="3"/>
        <v>0</v>
      </c>
      <c r="L26" s="279">
        <f t="shared" si="4"/>
        <v>0</v>
      </c>
      <c r="M26" s="145">
        <f t="shared" si="8"/>
        <v>0</v>
      </c>
      <c r="N26" s="2576"/>
      <c r="O26" s="2577"/>
      <c r="P26" s="2578">
        <f t="shared" si="9"/>
        <v>0</v>
      </c>
      <c r="R26" s="274">
        <f t="shared" si="5"/>
        <v>0</v>
      </c>
      <c r="S26" s="2284">
        <f t="shared" si="5"/>
        <v>0</v>
      </c>
    </row>
    <row r="27" spans="1:19" ht="15.75" thickBot="1">
      <c r="A27" s="138"/>
      <c r="B27" s="111"/>
      <c r="C27" s="127" t="s">
        <v>215</v>
      </c>
      <c r="D27" s="134">
        <f>SUM(D19:D26)</f>
        <v>25311.87</v>
      </c>
      <c r="E27" s="142">
        <f>IF(SUM(E19:E26)='数据-基础表'!BA5,SUM(E19:E26),IF(F27="地上面积有误","面积有误","地下面积有误"))</f>
        <v>358347</v>
      </c>
      <c r="F27" s="134">
        <f>IF(SUM(F19:F26)=E8,SUM(F19:F26),"地上面积有误")</f>
        <v>259501</v>
      </c>
      <c r="G27" s="112">
        <f>SUM(G19:G26)</f>
        <v>98846</v>
      </c>
      <c r="H27" s="974">
        <f>SUM(H19:H26)</f>
        <v>1113.1299999999999</v>
      </c>
      <c r="I27" s="975">
        <f>SUM(I19:I26)</f>
        <v>15759</v>
      </c>
      <c r="J27" s="1967"/>
      <c r="K27" s="2579">
        <f>SUM(K19:K26)</f>
        <v>12759</v>
      </c>
      <c r="L27" s="2580">
        <f>SUM(L19:L26)</f>
        <v>3000</v>
      </c>
      <c r="M27" s="2581">
        <f>SUM(M19:M26)</f>
        <v>15759</v>
      </c>
      <c r="N27" s="2579">
        <f t="shared" ref="N27:O27" si="10">SUM(N19:N26)</f>
        <v>0</v>
      </c>
      <c r="O27" s="2580">
        <f t="shared" si="10"/>
        <v>0</v>
      </c>
      <c r="P27" s="2582">
        <f>SUM(P19:P26)</f>
        <v>0</v>
      </c>
      <c r="R27" s="2288">
        <f>IF(SUM(R19:R26)=$D$3,SUM(R19:R26),SUM(R19:R26)&amp;"误差"&amp;ROUND(SUM(R19:R26)-$D$3,2))</f>
        <v>26425</v>
      </c>
      <c r="S27" s="274">
        <f>IF(SUM(S19:S26)=$E$3,SUM(S19:S26),SUM(S19:S26)&amp;"误差"&amp;ROUND(SUM(S19:S26)-E3,2))</f>
        <v>374106</v>
      </c>
    </row>
    <row r="28" spans="1:19">
      <c r="A28" s="138"/>
      <c r="B28" s="115" t="s">
        <v>227</v>
      </c>
      <c r="C28" s="136" t="s">
        <v>228</v>
      </c>
      <c r="D28" s="111">
        <f>ROUND($D$3*E28/$E$3,2)</f>
        <v>901.23</v>
      </c>
      <c r="E28" s="134">
        <f>SUM(F28:G28)</f>
        <v>12759</v>
      </c>
      <c r="F28" s="143">
        <f>'数据-基础表'!BQ5+'数据-基础表'!BS5</f>
        <v>0</v>
      </c>
      <c r="G28" s="144">
        <f>'数据-基础表'!BR5+'数据-基础表'!BT5</f>
        <v>12759</v>
      </c>
      <c r="H28" s="1967"/>
      <c r="I28" s="1967"/>
      <c r="J28" s="1967"/>
      <c r="K28" s="1967"/>
      <c r="L28" s="1967"/>
    </row>
    <row r="29" spans="1:19">
      <c r="A29" s="138"/>
      <c r="B29" s="115" t="s">
        <v>227</v>
      </c>
      <c r="C29" s="2296" t="s">
        <v>2320</v>
      </c>
      <c r="D29" s="111">
        <f>ROUND($D$3*E29/$E$3,2)</f>
        <v>211.91</v>
      </c>
      <c r="E29" s="134">
        <f>SUM(F29:G29)</f>
        <v>3000</v>
      </c>
      <c r="F29" s="143">
        <f>'数据-基础表'!BM5+'数据-基础表'!BO5</f>
        <v>3000</v>
      </c>
      <c r="G29" s="145">
        <f>'数据-基础表'!BN5+'数据-基础表'!BP5</f>
        <v>0</v>
      </c>
      <c r="H29" s="1967"/>
      <c r="I29" s="1967"/>
      <c r="J29" s="1967"/>
      <c r="K29" s="1967"/>
      <c r="L29" s="1967"/>
    </row>
    <row r="30" spans="1:19">
      <c r="A30" s="138"/>
      <c r="B30" s="111"/>
      <c r="C30" s="146" t="s">
        <v>215</v>
      </c>
      <c r="D30" s="134">
        <f>SUM(D28:D29)</f>
        <v>1113.1400000000001</v>
      </c>
      <c r="E30" s="134">
        <f>SUM(E28:E29)</f>
        <v>15759</v>
      </c>
      <c r="F30" s="134">
        <f>SUM(F28:F29)</f>
        <v>3000</v>
      </c>
      <c r="G30" s="112">
        <f>SUM(G28:G29)</f>
        <v>12759</v>
      </c>
      <c r="H30" s="1967"/>
      <c r="I30" s="1967"/>
      <c r="J30" s="1967"/>
      <c r="K30" s="1967"/>
      <c r="L30" s="1967"/>
    </row>
    <row r="31" spans="1:19" ht="32.25" customHeight="1" thickBot="1">
      <c r="A31" s="1364"/>
      <c r="B31" s="1365" t="s">
        <v>229</v>
      </c>
      <c r="C31" s="2313" t="s">
        <v>2322</v>
      </c>
      <c r="D31" s="1366">
        <f>D27+D30</f>
        <v>26425.01</v>
      </c>
      <c r="E31" s="1366">
        <f>E27+E30</f>
        <v>374106</v>
      </c>
      <c r="F31" s="1367">
        <f>F27+F30</f>
        <v>262501</v>
      </c>
      <c r="G31" s="1368">
        <f>G27+G30</f>
        <v>111605</v>
      </c>
      <c r="H31" s="1967"/>
      <c r="I31" s="1967"/>
      <c r="J31" s="1967"/>
      <c r="K31" s="1967"/>
      <c r="L31" s="1967"/>
    </row>
    <row r="32" spans="1:19">
      <c r="A32" s="1967"/>
      <c r="B32" s="2325" t="s">
        <v>2321</v>
      </c>
      <c r="C32" s="2609"/>
      <c r="D32" s="1196"/>
      <c r="E32" s="1196">
        <f>SUMIF(C19:C26,"*住宅*",E19:E26)</f>
        <v>115829</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7"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8" t="s">
        <v>235</v>
      </c>
      <c r="B2" s="2321">
        <f>项目基本情况!D3</f>
        <v>43663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2828</v>
      </c>
      <c r="O5" s="162" t="s">
        <v>246</v>
      </c>
      <c r="P5" s="164" t="s">
        <v>247</v>
      </c>
      <c r="Q5" s="165" t="s">
        <v>248</v>
      </c>
      <c r="R5" s="166" t="s">
        <v>249</v>
      </c>
      <c r="S5" s="2583" t="s">
        <v>2572</v>
      </c>
      <c r="T5" s="167" t="s">
        <v>250</v>
      </c>
      <c r="U5" s="168" t="s">
        <v>251</v>
      </c>
      <c r="V5" s="158" t="s">
        <v>252</v>
      </c>
      <c r="W5" s="158" t="s">
        <v>253</v>
      </c>
      <c r="X5" s="1801"/>
      <c r="Y5" s="169" t="s">
        <v>254</v>
      </c>
      <c r="Z5" s="170" t="s">
        <v>255</v>
      </c>
      <c r="AA5" s="158" t="s">
        <v>252</v>
      </c>
      <c r="AB5" s="158" t="s">
        <v>253</v>
      </c>
      <c r="AC5" s="1802"/>
      <c r="AD5" s="171" t="s">
        <v>254</v>
      </c>
      <c r="AE5" s="1" t="s">
        <v>870</v>
      </c>
      <c r="AF5" s="158" t="s">
        <v>256</v>
      </c>
      <c r="AG5" s="169" t="s">
        <v>257</v>
      </c>
      <c r="AH5" s="1802" t="s">
        <v>2323</v>
      </c>
      <c r="AI5" s="170" t="s">
        <v>2292</v>
      </c>
      <c r="AJ5" s="170" t="s">
        <v>258</v>
      </c>
      <c r="AK5" s="158" t="s">
        <v>259</v>
      </c>
      <c r="AL5" s="158" t="s">
        <v>260</v>
      </c>
      <c r="AM5" s="171"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2" t="s">
        <v>923</v>
      </c>
      <c r="D6" s="2291">
        <f>SUMIF(项目基本情况!D$15:I$15,C6,项目基本情况!D$18:I$18)</f>
        <v>70</v>
      </c>
      <c r="E6" s="2292">
        <f>IF(B6="","",SUMIF(项目基本情况!D$15:I$15,C6,项目基本情况!D$17:I$17))</f>
        <v>69231</v>
      </c>
      <c r="F6" s="173">
        <f>SUMIF(项目基本情况!D$15:I$15,C6,项目基本情况!D$19:I$19)</f>
        <v>70</v>
      </c>
      <c r="G6" s="174">
        <f>IF(ISERROR(ROUND(POWER(1+H6,D6-F6)*(POWER(1+H6,F6)-1)/(POWER(1+H6,D6)-1),3)),0,ROUND(POWER(1+H6,D6-F6)*(POWER(1+H6,F6)-1)/(POWER(1+H6,D6)-1),3))</f>
        <v>1</v>
      </c>
      <c r="H6" s="2976">
        <v>4.4999999999999998E-2</v>
      </c>
      <c r="I6" s="2976">
        <v>0.05</v>
      </c>
      <c r="J6" s="175">
        <v>8.5000000000000006E-2</v>
      </c>
      <c r="K6" s="178">
        <f>SUMIF('数据-汇总表'!C$19:C$33,'数据-取费表'!A6,'数据-汇总表'!E$19:E$33)</f>
        <v>72805</v>
      </c>
      <c r="L6" s="2977">
        <v>5000</v>
      </c>
      <c r="M6" s="176">
        <f t="shared" ref="M6:M14" si="0">ROUND(K6*L6/10000,0)</f>
        <v>36403</v>
      </c>
      <c r="N6" s="2978">
        <v>0</v>
      </c>
      <c r="O6" s="176">
        <f>IF($N$5="成新度","——",ROUND(M6*N6,0))</f>
        <v>0</v>
      </c>
      <c r="P6" s="177">
        <f>IF($N$5="成新度","——",M6-O6)</f>
        <v>36403</v>
      </c>
      <c r="Q6" s="2979">
        <v>0.1</v>
      </c>
      <c r="R6" s="178">
        <f>SUMIF('数据-汇总表'!C$19:C$33,A6,'数据-汇总表'!R$19:R$33)</f>
        <v>5458.89</v>
      </c>
      <c r="S6" s="132">
        <f>IF('数据-汇总表'!$I$17="按面积比例",SUMIF('数据-汇总表'!C$19:C$33,A6,'数据-汇总表'!K$19:K$33),SUMIF('数据-汇总表'!C$19:C$33,A6,'数据-汇总表'!N$19:N$33))</f>
        <v>2592.23</v>
      </c>
      <c r="T6" s="2217">
        <f>IF($T$4="按面积比例",IF(ISERROR(ROUND($M$14*S6/S$16,0)),"0",ROUND($M$14*S6/S$16,0)),"需自行计算录入")</f>
        <v>1037</v>
      </c>
      <c r="U6" s="179"/>
      <c r="V6" s="180"/>
      <c r="W6" s="180"/>
      <c r="X6" s="2304"/>
      <c r="Y6" s="181"/>
      <c r="Z6" s="182"/>
      <c r="AA6" s="175"/>
      <c r="AB6" s="175"/>
      <c r="AC6" s="2307"/>
      <c r="AD6" s="183"/>
      <c r="AE6" s="971">
        <f ca="1">IF(AN6="",0,SUMIF(INDIRECT("'"&amp;AN6&amp;"'"&amp;"!E:E"),$AE$5,INDIRECT("'"&amp;AN6&amp;"'"&amp;"!F:F")))</f>
        <v>0</v>
      </c>
      <c r="AF6" s="140"/>
      <c r="AG6" s="1208">
        <f>IF(AF6="",0,AE6-AF6)</f>
        <v>0</v>
      </c>
      <c r="AH6" s="140"/>
      <c r="AI6" s="186"/>
      <c r="AJ6" s="187"/>
      <c r="AK6" s="188"/>
      <c r="AL6" s="189"/>
      <c r="AM6" s="2990"/>
      <c r="AN6" s="2354"/>
      <c r="AO6" s="1983"/>
      <c r="AP6" s="1199">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2" t="s">
        <v>3010</v>
      </c>
      <c r="D7" s="2291">
        <f>SUMIF(项目基本情况!D$15:I$15,C7,项目基本情况!D$18:I$18)</f>
        <v>40</v>
      </c>
      <c r="E7" s="2292">
        <f>IF(B7="","",SUMIF(项目基本情况!D$15:I$15,C7,项目基本情况!D$17:I$17))</f>
        <v>58273</v>
      </c>
      <c r="F7" s="173">
        <f>SUMIF(项目基本情况!D$15:I$15,C7,项目基本情况!D$19:I$19)</f>
        <v>40</v>
      </c>
      <c r="G7" s="174">
        <f t="shared" ref="G7:G11" si="2">IF(ISERROR(ROUND(POWER(1+H7,D7-F7)*(POWER(1+H7,F7)-1)/(POWER(1+H7,D7)-1),3)),0,ROUND(POWER(1+H7,D7-F7)*(POWER(1+H7,F7)-1)/(POWER(1+H7,D7)-1),3))</f>
        <v>1</v>
      </c>
      <c r="H7" s="2976">
        <v>0.05</v>
      </c>
      <c r="I7" s="2976">
        <v>5.5E-2</v>
      </c>
      <c r="J7" s="175">
        <v>8.5000000000000006E-2</v>
      </c>
      <c r="K7" s="178">
        <f>SUMIF('数据-汇总表'!C$19:C$33,'数据-取费表'!A7,'数据-汇总表'!E$19:E$33)</f>
        <v>69398</v>
      </c>
      <c r="L7" s="2977">
        <v>4500</v>
      </c>
      <c r="M7" s="176">
        <f t="shared" si="0"/>
        <v>31229</v>
      </c>
      <c r="N7" s="2978">
        <v>0</v>
      </c>
      <c r="O7" s="176">
        <f t="shared" ref="O7:O14" si="3">IF($N$5="成新度","——",ROUND(M7*N7,0))</f>
        <v>0</v>
      </c>
      <c r="P7" s="177">
        <f t="shared" ref="P7:P14" si="4">IF($N$5="成新度","——",M7-O7)</f>
        <v>31229</v>
      </c>
      <c r="Q7" s="2979">
        <v>0.1</v>
      </c>
      <c r="R7" s="178">
        <f>SUMIF('数据-汇总表'!C$19:C$33,A7,'数据-汇总表'!R$19:R$33)</f>
        <v>5076.46</v>
      </c>
      <c r="S7" s="132">
        <f>IF('数据-汇总表'!$I$17="按面积比例",SUMIF('数据-汇总表'!C$19:C$33,A7,'数据-汇总表'!K$19:K$33),SUMIF('数据-汇总表'!C$19:C$33,A7,'数据-汇总表'!N$19:N$33))</f>
        <v>2470.9299999999998</v>
      </c>
      <c r="T7" s="2217">
        <f t="shared" ref="T7:T13" si="5">IF($T$4="按面积比例",IF(ISERROR(ROUND($M$14*S7/S$16,0)),"0",ROUND($M$14*S7/S$16,0)),"需自行计算录入")</f>
        <v>988</v>
      </c>
      <c r="U7" s="179"/>
      <c r="V7" s="180"/>
      <c r="W7" s="180"/>
      <c r="X7" s="2304"/>
      <c r="Y7" s="181"/>
      <c r="Z7" s="182"/>
      <c r="AA7" s="175"/>
      <c r="AB7" s="175"/>
      <c r="AC7" s="2307"/>
      <c r="AD7" s="183"/>
      <c r="AE7" s="971">
        <f t="shared" ref="AE7:AE13" ca="1" si="6">IF(AN7="",0,SUMIF(INDIRECT("'"&amp;AN7&amp;"'"&amp;"!E:E"),$AE$5,INDIRECT("'"&amp;AN7&amp;"'"&amp;"!F:F")))</f>
        <v>0</v>
      </c>
      <c r="AF7" s="140"/>
      <c r="AG7" s="1208">
        <f t="shared" ref="AG7:AG13" si="7">IF(AF7="",0,AE7-AF7)</f>
        <v>0</v>
      </c>
      <c r="AH7" s="140"/>
      <c r="AI7" s="186"/>
      <c r="AJ7" s="187"/>
      <c r="AK7" s="188"/>
      <c r="AL7" s="189"/>
      <c r="AM7" s="2352"/>
      <c r="AN7" s="2354"/>
      <c r="AO7" s="1983"/>
      <c r="AP7" s="1199">
        <f t="shared" ref="AP7:AP13" si="8">ROUND(1-1/(1+H7)^F7,3)</f>
        <v>0.85799999999999998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办公</v>
      </c>
      <c r="B8" s="2320" t="str">
        <f t="shared" si="1"/>
        <v>经营性</v>
      </c>
      <c r="C8" s="172" t="s">
        <v>1677</v>
      </c>
      <c r="D8" s="2291">
        <f>SUMIF(项目基本情况!D$15:I$15,C8,项目基本情况!D$18:I$18)</f>
        <v>40</v>
      </c>
      <c r="E8" s="2292">
        <f>IF(B8="","",SUMIF(项目基本情况!D$15:I$15,C8,项目基本情况!D$17:I$17))</f>
        <v>58273</v>
      </c>
      <c r="F8" s="173">
        <f>SUMIF(项目基本情况!D$15:I$15,C8,项目基本情况!D$19:I$19)</f>
        <v>40</v>
      </c>
      <c r="G8" s="174">
        <f t="shared" si="2"/>
        <v>1</v>
      </c>
      <c r="H8" s="2976">
        <v>0.05</v>
      </c>
      <c r="I8" s="2976">
        <v>5.5E-2</v>
      </c>
      <c r="J8" s="175">
        <v>8.5000000000000006E-2</v>
      </c>
      <c r="K8" s="178">
        <f>SUMIF('数据-汇总表'!C$19:C$33,'数据-取费表'!A8,'数据-汇总表'!E$19:E$33)</f>
        <v>90459</v>
      </c>
      <c r="L8" s="2977">
        <f>4500</f>
        <v>4500</v>
      </c>
      <c r="M8" s="176">
        <f>ROUND(K8*L8/10000,0)</f>
        <v>40707</v>
      </c>
      <c r="N8" s="2978">
        <v>0</v>
      </c>
      <c r="O8" s="176">
        <f t="shared" si="3"/>
        <v>0</v>
      </c>
      <c r="P8" s="177">
        <f t="shared" si="4"/>
        <v>40707</v>
      </c>
      <c r="Q8" s="2979">
        <v>0.08</v>
      </c>
      <c r="R8" s="178">
        <f>SUMIF('数据-汇总表'!C$19:C$33,A8,'数据-汇总表'!R$19:R$33)</f>
        <v>6617.08</v>
      </c>
      <c r="S8" s="132">
        <f>IF('数据-汇总表'!$I$17="按面积比例",SUMIF('数据-汇总表'!C$19:C$33,A8,'数据-汇总表'!K$19:K$33),SUMIF('数据-汇总表'!C$19:C$33,A8,'数据-汇总表'!N$19:N$33))</f>
        <v>3220.81</v>
      </c>
      <c r="T8" s="2217">
        <f t="shared" si="5"/>
        <v>1288</v>
      </c>
      <c r="U8" s="179"/>
      <c r="V8" s="180"/>
      <c r="W8" s="180"/>
      <c r="X8" s="2304"/>
      <c r="Y8" s="181"/>
      <c r="Z8" s="182"/>
      <c r="AA8" s="175"/>
      <c r="AB8" s="175"/>
      <c r="AC8" s="2307"/>
      <c r="AD8" s="183"/>
      <c r="AE8" s="971">
        <f t="shared" ca="1" si="6"/>
        <v>0</v>
      </c>
      <c r="AF8" s="140"/>
      <c r="AG8" s="1208">
        <f t="shared" si="7"/>
        <v>0</v>
      </c>
      <c r="AH8" s="140"/>
      <c r="AI8" s="186"/>
      <c r="AJ8" s="187"/>
      <c r="AK8" s="188"/>
      <c r="AL8" s="189"/>
      <c r="AM8" s="2352"/>
      <c r="AN8" s="2354"/>
      <c r="AO8" s="1983"/>
      <c r="AP8" s="1199">
        <f t="shared" si="8"/>
        <v>0.85799999999999998</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车库</v>
      </c>
      <c r="B9" s="2320" t="str">
        <f t="shared" si="1"/>
        <v>经营性</v>
      </c>
      <c r="C9" s="172" t="s">
        <v>3019</v>
      </c>
      <c r="D9" s="2291">
        <f>SUMIF(项目基本情况!D$15:I$15,C9,项目基本情况!D$18:I$18)</f>
        <v>50</v>
      </c>
      <c r="E9" s="2292">
        <f>IF(B9="","",SUMIF(项目基本情况!D$15:I$15,C9,项目基本情况!D$17:I$17))</f>
        <v>61926</v>
      </c>
      <c r="F9" s="173">
        <f>SUMIF(项目基本情况!D$15:I$15,C9,项目基本情况!D$19:I$19)</f>
        <v>50</v>
      </c>
      <c r="G9" s="174">
        <f t="shared" si="2"/>
        <v>1</v>
      </c>
      <c r="H9" s="175">
        <v>0.04</v>
      </c>
      <c r="I9" s="175">
        <v>4.4999999999999998E-2</v>
      </c>
      <c r="J9" s="175">
        <v>8.5000000000000006E-2</v>
      </c>
      <c r="K9" s="178">
        <f>SUMIF('数据-汇总表'!C$19:C$33,'数据-取费表'!A9,'数据-汇总表'!E$19:E$33)</f>
        <v>77927</v>
      </c>
      <c r="L9" s="192">
        <v>4000</v>
      </c>
      <c r="M9" s="176">
        <f t="shared" si="0"/>
        <v>31171</v>
      </c>
      <c r="N9" s="193">
        <v>0</v>
      </c>
      <c r="O9" s="176">
        <f t="shared" si="3"/>
        <v>0</v>
      </c>
      <c r="P9" s="177">
        <f t="shared" si="4"/>
        <v>31171</v>
      </c>
      <c r="Q9" s="191">
        <v>0</v>
      </c>
      <c r="R9" s="178">
        <f>SUMIF('数据-汇总表'!C$19:C$33,A9,'数据-汇总表'!R$19:R$33)</f>
        <v>5700.36</v>
      </c>
      <c r="S9" s="132">
        <f>IF('数据-汇总表'!$I$17="按面积比例",SUMIF('数据-汇总表'!C$19:C$33,A9,'数据-汇总表'!K$19:K$33),SUMIF('数据-汇总表'!C$19:C$33,A9,'数据-汇总表'!N$19:N$33))</f>
        <v>2774.6</v>
      </c>
      <c r="T9" s="2217">
        <f t="shared" si="5"/>
        <v>1110</v>
      </c>
      <c r="U9" s="179"/>
      <c r="V9" s="180"/>
      <c r="W9" s="180"/>
      <c r="X9" s="2304"/>
      <c r="Y9" s="181"/>
      <c r="Z9" s="182"/>
      <c r="AA9" s="175"/>
      <c r="AB9" s="175"/>
      <c r="AC9" s="2307"/>
      <c r="AD9" s="183"/>
      <c r="AE9" s="971">
        <f t="shared" ca="1" si="6"/>
        <v>0</v>
      </c>
      <c r="AF9" s="140"/>
      <c r="AG9" s="1208">
        <f t="shared" si="7"/>
        <v>0</v>
      </c>
      <c r="AH9" s="140"/>
      <c r="AI9" s="186"/>
      <c r="AJ9" s="187"/>
      <c r="AK9" s="188"/>
      <c r="AL9" s="189"/>
      <c r="AM9" s="2352"/>
      <c r="AN9" s="2354"/>
      <c r="AO9" s="1983"/>
      <c r="AP9" s="1199">
        <f t="shared" si="8"/>
        <v>0.85899999999999999</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t="str">
        <f>'数据-汇总表'!C23</f>
        <v>回迁住宅</v>
      </c>
      <c r="B10" s="2320" t="str">
        <f t="shared" si="1"/>
        <v>经营性</v>
      </c>
      <c r="C10" s="172" t="s">
        <v>923</v>
      </c>
      <c r="D10" s="2291">
        <f>SUMIF(项目基本情况!D$15:I$15,C10,项目基本情况!D$18:I$18)</f>
        <v>70</v>
      </c>
      <c r="E10" s="2292">
        <f>IF(B10="","",SUMIF(项目基本情况!D$15:I$15,C10,项目基本情况!D$17:I$17))</f>
        <v>69231</v>
      </c>
      <c r="F10" s="173">
        <f>SUMIF(项目基本情况!D$15:I$15,C10,项目基本情况!D$19:I$19)</f>
        <v>70</v>
      </c>
      <c r="G10" s="174">
        <f t="shared" si="2"/>
        <v>1</v>
      </c>
      <c r="H10" s="175">
        <f>H6</f>
        <v>4.4999999999999998E-2</v>
      </c>
      <c r="I10" s="175">
        <f t="shared" ref="I10:J10" si="9">I6</f>
        <v>0.05</v>
      </c>
      <c r="J10" s="175">
        <f t="shared" si="9"/>
        <v>8.5000000000000006E-2</v>
      </c>
      <c r="K10" s="178">
        <f>SUMIF('数据-汇总表'!C$19:C$33,'数据-取费表'!A10,'数据-汇总表'!E$19:E$33)</f>
        <v>43024</v>
      </c>
      <c r="L10" s="192">
        <f>L6-500</f>
        <v>4500</v>
      </c>
      <c r="M10" s="176">
        <f t="shared" si="0"/>
        <v>19361</v>
      </c>
      <c r="N10" s="193">
        <v>0</v>
      </c>
      <c r="O10" s="176">
        <f t="shared" si="3"/>
        <v>0</v>
      </c>
      <c r="P10" s="177">
        <f t="shared" si="4"/>
        <v>19361</v>
      </c>
      <c r="Q10" s="191">
        <v>0</v>
      </c>
      <c r="R10" s="178">
        <f>SUMIF('数据-汇总表'!C$19:C$33,A10,'数据-汇总表'!R$19:R$33)</f>
        <v>3225.92</v>
      </c>
      <c r="S10" s="132">
        <f>IF('数据-汇总表'!$I$17="按面积比例",SUMIF('数据-汇总表'!C$19:C$33,A10,'数据-汇总表'!K$19:K$33),SUMIF('数据-汇总表'!C$19:C$33,A10,'数据-汇总表'!N$19:N$33))</f>
        <v>1531.88</v>
      </c>
      <c r="T10" s="2217">
        <f t="shared" si="5"/>
        <v>613</v>
      </c>
      <c r="U10" s="179"/>
      <c r="V10" s="180"/>
      <c r="W10" s="180"/>
      <c r="X10" s="2304"/>
      <c r="Y10" s="181"/>
      <c r="Z10" s="182"/>
      <c r="AA10" s="175"/>
      <c r="AB10" s="175"/>
      <c r="AC10" s="2307"/>
      <c r="AD10" s="183"/>
      <c r="AE10" s="971">
        <f t="shared" ca="1" si="6"/>
        <v>0</v>
      </c>
      <c r="AF10" s="140"/>
      <c r="AG10" s="1208">
        <f t="shared" si="7"/>
        <v>0</v>
      </c>
      <c r="AH10" s="140"/>
      <c r="AI10" s="186"/>
      <c r="AJ10" s="187"/>
      <c r="AK10" s="188"/>
      <c r="AL10" s="189"/>
      <c r="AM10" s="2352"/>
      <c r="AN10" s="2354"/>
      <c r="AO10" s="1983"/>
      <c r="AP10" s="1199">
        <f t="shared" si="8"/>
        <v>0.95399999999999996</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t="str">
        <f>'数据-汇总表'!C24</f>
        <v>回迁商业</v>
      </c>
      <c r="B11" s="2320" t="str">
        <f t="shared" si="1"/>
        <v>经营性</v>
      </c>
      <c r="C11" s="172" t="s">
        <v>3010</v>
      </c>
      <c r="D11" s="2291">
        <f>SUMIF(项目基本情况!D$15:I$15,C11,项目基本情况!D$18:I$18)</f>
        <v>40</v>
      </c>
      <c r="E11" s="2292">
        <f>IF(B11="","",SUMIF(项目基本情况!D$15:I$15,C11,项目基本情况!D$17:I$17))</f>
        <v>58273</v>
      </c>
      <c r="F11" s="173">
        <f>SUMIF(项目基本情况!D$15:I$15,C11,项目基本情况!D$19:I$19)</f>
        <v>40</v>
      </c>
      <c r="G11" s="174">
        <f t="shared" si="2"/>
        <v>1</v>
      </c>
      <c r="H11" s="175">
        <f>H7</f>
        <v>0.05</v>
      </c>
      <c r="I11" s="175">
        <f>I7</f>
        <v>5.5E-2</v>
      </c>
      <c r="J11" s="175">
        <f>J7</f>
        <v>8.5000000000000006E-2</v>
      </c>
      <c r="K11" s="178">
        <f>SUMIF('数据-汇总表'!C$19:C$33,'数据-取费表'!A11,'数据-汇总表'!E$19:E$33)</f>
        <v>2530</v>
      </c>
      <c r="L11" s="192">
        <f>L7-500</f>
        <v>4000</v>
      </c>
      <c r="M11" s="176">
        <f t="shared" si="0"/>
        <v>1012</v>
      </c>
      <c r="N11" s="193">
        <v>0</v>
      </c>
      <c r="O11" s="176">
        <f t="shared" si="3"/>
        <v>0</v>
      </c>
      <c r="P11" s="177">
        <f t="shared" si="4"/>
        <v>1012</v>
      </c>
      <c r="Q11" s="191">
        <v>0</v>
      </c>
      <c r="R11" s="178">
        <f>SUMIF('数据-汇总表'!C$19:C$33,A11,'数据-汇总表'!R$19:R$33)</f>
        <v>185.07000000000002</v>
      </c>
      <c r="S11" s="132">
        <f>IF('数据-汇总表'!$I$17="按面积比例",SUMIF('数据-汇总表'!C$19:C$33,A11,'数据-汇总表'!K$19:K$33),SUMIF('数据-汇总表'!C$19:C$33,A11,'数据-汇总表'!N$19:N$33))</f>
        <v>90.08</v>
      </c>
      <c r="T11" s="2217">
        <f t="shared" si="5"/>
        <v>36</v>
      </c>
      <c r="U11" s="184"/>
      <c r="V11" s="175"/>
      <c r="W11" s="175"/>
      <c r="X11" s="2307"/>
      <c r="Y11" s="181"/>
      <c r="Z11" s="194"/>
      <c r="AA11" s="175"/>
      <c r="AB11" s="175"/>
      <c r="AC11" s="2307"/>
      <c r="AD11" s="183"/>
      <c r="AE11" s="971">
        <f t="shared" ca="1" si="6"/>
        <v>0</v>
      </c>
      <c r="AF11" s="140"/>
      <c r="AG11" s="1208">
        <f t="shared" si="7"/>
        <v>0</v>
      </c>
      <c r="AH11" s="140"/>
      <c r="AI11" s="186"/>
      <c r="AJ11" s="187"/>
      <c r="AK11" s="195"/>
      <c r="AL11" s="196"/>
      <c r="AM11" s="1800"/>
      <c r="AN11" s="2354"/>
      <c r="AO11" s="1983"/>
      <c r="AP11" s="1199">
        <f t="shared" si="8"/>
        <v>0.85799999999999998</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t="str">
        <f>'数据-汇总表'!C25</f>
        <v>回迁办公</v>
      </c>
      <c r="B12" s="2320" t="str">
        <f t="shared" si="1"/>
        <v>经营性</v>
      </c>
      <c r="C12" s="172" t="s">
        <v>1677</v>
      </c>
      <c r="D12" s="2291">
        <f>SUMIF(项目基本情况!D$15:I$15,C12,项目基本情况!D$18:I$18)</f>
        <v>40</v>
      </c>
      <c r="E12" s="2292">
        <f>IF(B12="","",SUMIF(项目基本情况!D$15:I$15,C12,项目基本情况!D$17:I$17))</f>
        <v>58273</v>
      </c>
      <c r="F12" s="173">
        <f>SUMIF(项目基本情况!D$15:I$15,C12,项目基本情况!D$19:I$19)</f>
        <v>40</v>
      </c>
      <c r="G12" s="174">
        <f>IF(ISERROR(ROUND(POWER(1+H12,D12-F12)*(POWER(1+H12,F12)-1)/(POWER(1+H12,D12)-1),3)),0,ROUND(POWER(1+H12,D12-F12)*(POWER(1+H12,F12)-1)/(POWER(1+H12,D12)-1),3))</f>
        <v>1</v>
      </c>
      <c r="H12" s="175">
        <f>H8</f>
        <v>0.05</v>
      </c>
      <c r="I12" s="175">
        <f>I8</f>
        <v>5.5E-2</v>
      </c>
      <c r="J12" s="175">
        <f>J8</f>
        <v>8.5000000000000006E-2</v>
      </c>
      <c r="K12" s="178">
        <f>SUMIF('数据-汇总表'!C$19:C$33,'数据-取费表'!A12,'数据-汇总表'!E$19:E$33)</f>
        <v>2204</v>
      </c>
      <c r="L12" s="192">
        <f>L8</f>
        <v>4500</v>
      </c>
      <c r="M12" s="176">
        <f>ROUND(K12*L12/10000,0)</f>
        <v>992</v>
      </c>
      <c r="N12" s="193">
        <v>0</v>
      </c>
      <c r="O12" s="176">
        <f t="shared" si="3"/>
        <v>0</v>
      </c>
      <c r="P12" s="177">
        <f t="shared" si="4"/>
        <v>992</v>
      </c>
      <c r="Q12" s="191">
        <v>0</v>
      </c>
      <c r="R12" s="178">
        <f>SUMIF('数据-汇总表'!C$19:C$33,A12,'数据-汇总表'!R$19:R$33)</f>
        <v>161.22</v>
      </c>
      <c r="S12" s="132">
        <f>IF('数据-汇总表'!$I$17="按面积比例",SUMIF('数据-汇总表'!C$19:C$33,A12,'数据-汇总表'!K$19:K$33),SUMIF('数据-汇总表'!C$19:C$33,A12,'数据-汇总表'!N$19:N$33))</f>
        <v>78.47</v>
      </c>
      <c r="T12" s="2217">
        <f t="shared" si="5"/>
        <v>31</v>
      </c>
      <c r="U12" s="184"/>
      <c r="V12" s="175"/>
      <c r="W12" s="175"/>
      <c r="X12" s="2307"/>
      <c r="Y12" s="181"/>
      <c r="Z12" s="194"/>
      <c r="AA12" s="175"/>
      <c r="AB12" s="175"/>
      <c r="AC12" s="2307"/>
      <c r="AD12" s="183"/>
      <c r="AE12" s="971">
        <f t="shared" ca="1" si="6"/>
        <v>0</v>
      </c>
      <c r="AF12" s="140"/>
      <c r="AG12" s="1208">
        <f t="shared" si="7"/>
        <v>0</v>
      </c>
      <c r="AH12" s="140"/>
      <c r="AI12" s="186"/>
      <c r="AJ12" s="187"/>
      <c r="AK12" s="195"/>
      <c r="AL12" s="196"/>
      <c r="AM12" s="1800"/>
      <c r="AN12" s="2354"/>
      <c r="AO12" s="1983"/>
      <c r="AP12" s="1199">
        <f t="shared" si="8"/>
        <v>0.85799999999999998</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7">
        <f t="shared" si="5"/>
        <v>0</v>
      </c>
      <c r="U13" s="179"/>
      <c r="V13" s="180"/>
      <c r="W13" s="180"/>
      <c r="X13" s="2304"/>
      <c r="Y13" s="181"/>
      <c r="Z13" s="182"/>
      <c r="AA13" s="175"/>
      <c r="AB13" s="175"/>
      <c r="AC13" s="2307"/>
      <c r="AD13" s="183"/>
      <c r="AE13" s="971">
        <f t="shared" ca="1" si="6"/>
        <v>0</v>
      </c>
      <c r="AF13" s="140"/>
      <c r="AG13" s="1208">
        <f t="shared" si="7"/>
        <v>0</v>
      </c>
      <c r="AH13" s="140"/>
      <c r="AI13" s="186"/>
      <c r="AJ13" s="187"/>
      <c r="AK13" s="188"/>
      <c r="AL13" s="189"/>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3"/>
      <c r="G14" s="174"/>
      <c r="H14" s="2293"/>
      <c r="I14" s="2293"/>
      <c r="J14" s="2293"/>
      <c r="K14" s="178">
        <f>SUMIF('数据-汇总表'!C$19:C$33,'数据-取费表'!A14,'数据-汇总表'!E$19:E$33)</f>
        <v>12759</v>
      </c>
      <c r="L14" s="192">
        <f>L9</f>
        <v>4000</v>
      </c>
      <c r="M14" s="176">
        <f t="shared" si="0"/>
        <v>5104</v>
      </c>
      <c r="N14" s="193">
        <v>0</v>
      </c>
      <c r="O14" s="176">
        <f t="shared" si="3"/>
        <v>0</v>
      </c>
      <c r="P14" s="177">
        <f t="shared" si="4"/>
        <v>5104</v>
      </c>
      <c r="Q14" s="2301"/>
      <c r="R14" s="178"/>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3"/>
      <c r="G15" s="174"/>
      <c r="H15" s="2293"/>
      <c r="I15" s="2293"/>
      <c r="J15" s="2293"/>
      <c r="K15" s="178">
        <f>SUMIF('数据-汇总表'!C$19:C$33,'数据-取费表'!A15,'数据-汇总表'!E$19:E$33)</f>
        <v>3000</v>
      </c>
      <c r="L15" s="2299"/>
      <c r="M15" s="176"/>
      <c r="N15" s="2302"/>
      <c r="O15" s="176"/>
      <c r="P15" s="177"/>
      <c r="Q15" s="2301"/>
      <c r="R15" s="178"/>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7" t="s">
        <v>262</v>
      </c>
      <c r="B16" s="198"/>
      <c r="C16" s="199"/>
      <c r="D16" s="200"/>
      <c r="E16" s="198"/>
      <c r="F16" s="198"/>
      <c r="G16" s="201">
        <f>ROUND(SUMPRODUCT(G6:G13,K6:K13)/SUMPRODUCT((G6:G13&gt;0)*(K6:K13)),3)</f>
        <v>1</v>
      </c>
      <c r="H16" s="202">
        <f>ROUND(SUMPRODUCT(H6:H13,K6:K13)/SUMPRODUCT((H6:H13&gt;0)*(K6:K13)),3)</f>
        <v>4.5999999999999999E-2</v>
      </c>
      <c r="I16" s="203"/>
      <c r="J16" s="203"/>
      <c r="K16" s="204">
        <f>SUM(K6:K15)</f>
        <v>374106</v>
      </c>
      <c r="L16" s="205">
        <f>ROUND(M16*10000/SUM(K6:K14),0)</f>
        <v>4473</v>
      </c>
      <c r="M16" s="205">
        <f>SUM(M6:M14)</f>
        <v>165979</v>
      </c>
      <c r="N16" s="206">
        <f>ROUND(SUMPRODUCT(M6:M14,N6:N14)/M16,3)</f>
        <v>0</v>
      </c>
      <c r="O16" s="205">
        <f>SUM(O6:O14)</f>
        <v>0</v>
      </c>
      <c r="P16" s="205">
        <f>SUM(P6:P14)</f>
        <v>165979</v>
      </c>
      <c r="Q16" s="207">
        <f>ROUND(SUMPRODUCT(Q6:Q13,K6:K13)/SUMPRODUCT((Q6:Q13&gt;0)*(K6:K13)),2)</f>
        <v>0.09</v>
      </c>
      <c r="R16" s="2294">
        <f>SUM(R6:R13)</f>
        <v>26425</v>
      </c>
      <c r="S16" s="208">
        <f>SUM(S6:S13)</f>
        <v>12759</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9">
        <f>ROUND(SUMPRODUCT(AP6:AP13,K6:K13)/SUMPRODUCT((AP6:AP13&gt;0)*(K6:K13)),3)</f>
        <v>0.88900000000000001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49"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6" t="s">
        <v>264</v>
      </c>
      <c r="B19" s="217">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265</v>
      </c>
      <c r="B20" s="219">
        <v>2.5</v>
      </c>
      <c r="C20" s="2326" t="s">
        <v>2335</v>
      </c>
      <c r="D20" s="1976"/>
      <c r="E20" s="1975"/>
      <c r="F20" s="1975"/>
      <c r="G20" s="1975"/>
      <c r="H20" s="1975"/>
      <c r="I20" s="1975"/>
      <c r="J20" s="1975"/>
      <c r="K20" s="1974">
        <f>面积!C3</f>
        <v>75299</v>
      </c>
      <c r="L20" s="3183">
        <v>5000</v>
      </c>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266</v>
      </c>
      <c r="B21" s="219">
        <v>0</v>
      </c>
      <c r="C21" s="1975"/>
      <c r="D21" s="1976"/>
      <c r="E21" s="1975"/>
      <c r="F21" s="1975"/>
      <c r="G21" s="1975"/>
      <c r="H21" s="1975"/>
      <c r="I21" s="1975"/>
      <c r="J21" s="1975"/>
      <c r="K21" s="1974">
        <f>面积!C4</f>
        <v>17364</v>
      </c>
      <c r="L21" s="3183">
        <v>2800</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267</v>
      </c>
      <c r="B22" s="221">
        <f>B19+B20</f>
        <v>2.5</v>
      </c>
      <c r="C22" s="1975"/>
      <c r="D22" s="1976"/>
      <c r="E22" s="1975"/>
      <c r="F22" s="1975"/>
      <c r="G22" s="1975"/>
      <c r="H22" s="1975"/>
      <c r="I22" s="1975"/>
      <c r="J22" s="1975"/>
      <c r="K22" s="1974">
        <f>K20+K21</f>
        <v>92663</v>
      </c>
      <c r="L22" s="1974">
        <f>ROUND((K20*L20+K21*L21)/K22,0)</f>
        <v>4588</v>
      </c>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268</v>
      </c>
      <c r="B23" s="221">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269</v>
      </c>
      <c r="B24" s="223">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8" t="s">
        <v>270</v>
      </c>
      <c r="B26" s="224"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5" t="s">
        <v>2338</v>
      </c>
      <c r="B27" s="226">
        <v>253</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226</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80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120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5" t="s">
        <v>278</v>
      </c>
      <c r="B33" s="1373">
        <v>0.04</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0.05</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200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0.02</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0.02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4"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5"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10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1155</v>
      </c>
      <c r="C53" s="3026" t="s">
        <v>2905</v>
      </c>
      <c r="D53" s="3027"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2907</v>
      </c>
      <c r="B54" s="185"/>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2908</v>
      </c>
      <c r="B55" s="185">
        <v>10</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2909</v>
      </c>
      <c r="B56" s="185"/>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2910</v>
      </c>
      <c r="B57" s="185"/>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2911</v>
      </c>
      <c r="B58" s="185"/>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2912</v>
      </c>
      <c r="B59" s="185"/>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2913</v>
      </c>
      <c r="B60" s="185"/>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2914</v>
      </c>
      <c r="B61" s="185"/>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2915</v>
      </c>
      <c r="B62" s="185"/>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6" sqref="G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4" t="s">
        <v>1663</v>
      </c>
      <c r="B1" s="3295"/>
      <c r="C1" s="3295"/>
      <c r="D1" s="3295"/>
      <c r="E1" s="3295"/>
      <c r="F1" s="3295"/>
      <c r="G1" s="3295"/>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196" t="s">
        <v>3151</v>
      </c>
      <c r="D3" s="1992"/>
      <c r="E3" s="1224" t="s">
        <v>1666</v>
      </c>
      <c r="F3" s="1225" t="s">
        <v>1654</v>
      </c>
      <c r="G3" s="3033" t="s">
        <v>2921</v>
      </c>
      <c r="H3" s="1991"/>
      <c r="I3" s="1991"/>
      <c r="J3" s="1991"/>
      <c r="K3" s="1991"/>
      <c r="L3" s="1991"/>
      <c r="M3" s="1991"/>
      <c r="N3" s="1991"/>
      <c r="O3" s="1991"/>
      <c r="P3" s="1991"/>
      <c r="Q3" s="1991"/>
      <c r="R3" s="1991"/>
    </row>
    <row r="4" spans="1:18" ht="40.5">
      <c r="A4" s="1224"/>
      <c r="B4" s="1226" t="s">
        <v>1667</v>
      </c>
      <c r="C4" s="3197" t="s">
        <v>3147</v>
      </c>
      <c r="D4" s="1992"/>
      <c r="E4" s="1227"/>
      <c r="F4" s="1228" t="s">
        <v>1668</v>
      </c>
      <c r="G4" s="3031" t="s">
        <v>2918</v>
      </c>
      <c r="H4" s="1991"/>
      <c r="I4" s="1991"/>
      <c r="J4" s="1991"/>
      <c r="K4" s="1991"/>
      <c r="L4" s="1991"/>
      <c r="M4" s="1991"/>
      <c r="N4" s="1991"/>
      <c r="O4" s="1991"/>
      <c r="P4" s="1991"/>
      <c r="Q4" s="1991"/>
      <c r="R4" s="1991"/>
    </row>
    <row r="5" spans="1:18" ht="27">
      <c r="A5" s="1224"/>
      <c r="B5" s="1226" t="s">
        <v>1669</v>
      </c>
      <c r="C5" s="3197" t="s">
        <v>3146</v>
      </c>
      <c r="D5" s="1992"/>
      <c r="E5" s="1227"/>
      <c r="F5" s="1226" t="s">
        <v>2546</v>
      </c>
      <c r="G5" s="3031" t="s">
        <v>2919</v>
      </c>
      <c r="H5" s="1991"/>
      <c r="I5" s="1991"/>
      <c r="J5" s="1991"/>
      <c r="K5" s="1991"/>
      <c r="L5" s="1991"/>
      <c r="M5" s="1991"/>
      <c r="N5" s="1991"/>
      <c r="O5" s="1991"/>
      <c r="P5" s="1991"/>
      <c r="Q5" s="1991"/>
      <c r="R5" s="1991"/>
    </row>
    <row r="6" spans="1:18" ht="27">
      <c r="A6" s="1224"/>
      <c r="B6" s="1226" t="s">
        <v>1655</v>
      </c>
      <c r="C6" s="3198" t="s">
        <v>3148</v>
      </c>
      <c r="D6" s="1992"/>
      <c r="E6" s="1227"/>
      <c r="F6" s="1226" t="s">
        <v>2547</v>
      </c>
      <c r="G6" s="3031" t="s">
        <v>2917</v>
      </c>
      <c r="H6" s="1991"/>
      <c r="I6" s="1991"/>
      <c r="J6" s="1991"/>
      <c r="K6" s="1991"/>
      <c r="L6" s="1991"/>
      <c r="M6" s="1991"/>
      <c r="N6" s="1991"/>
      <c r="O6" s="1991"/>
      <c r="P6" s="1991"/>
      <c r="Q6" s="1991"/>
      <c r="R6" s="1991"/>
    </row>
    <row r="7" spans="1:18" ht="41.25" thickBot="1">
      <c r="A7" s="1224"/>
      <c r="B7" s="1226" t="s">
        <v>2546</v>
      </c>
      <c r="C7" s="3198" t="s">
        <v>3149</v>
      </c>
      <c r="D7" s="1993"/>
      <c r="E7" s="1229"/>
      <c r="F7" s="1230" t="s">
        <v>1670</v>
      </c>
      <c r="G7" s="3034" t="s">
        <v>2920</v>
      </c>
      <c r="H7" s="1991"/>
      <c r="I7" s="1991"/>
      <c r="J7" s="1991"/>
      <c r="K7" s="1991"/>
      <c r="L7" s="1991"/>
      <c r="M7" s="1991"/>
      <c r="N7" s="1991"/>
      <c r="O7" s="1991"/>
      <c r="P7" s="1991"/>
      <c r="Q7" s="1991"/>
      <c r="R7" s="1991"/>
    </row>
    <row r="8" spans="1:18">
      <c r="A8" s="1224"/>
      <c r="B8" s="1226" t="s">
        <v>2547</v>
      </c>
      <c r="C8" s="3198" t="s">
        <v>1984</v>
      </c>
      <c r="D8" s="1993"/>
      <c r="E8" s="1993"/>
      <c r="F8" s="1538"/>
      <c r="G8" s="1538"/>
      <c r="H8" s="1991"/>
      <c r="I8" s="1991"/>
      <c r="J8" s="1991"/>
      <c r="K8" s="1991"/>
      <c r="L8" s="1991"/>
      <c r="M8" s="1991"/>
      <c r="N8" s="1991"/>
      <c r="O8" s="1991"/>
      <c r="P8" s="1991"/>
      <c r="Q8" s="1991"/>
      <c r="R8" s="1991"/>
    </row>
    <row r="9" spans="1:18">
      <c r="A9" s="1224"/>
      <c r="B9" s="1226" t="s">
        <v>1656</v>
      </c>
      <c r="C9" s="3197" t="s">
        <v>3149</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40.5">
      <c r="A15" s="2550" t="s">
        <v>1657</v>
      </c>
      <c r="B15" s="1237" t="s">
        <v>1653</v>
      </c>
      <c r="C15" s="1238" t="str">
        <f>C3</f>
        <v>较好</v>
      </c>
      <c r="D15" s="1992"/>
      <c r="E15" s="2547" t="s">
        <v>1658</v>
      </c>
      <c r="F15" s="1237" t="s">
        <v>1673</v>
      </c>
      <c r="G15" s="1239" t="str">
        <f>G3</f>
        <v>估价对象位于XX开发区，园区建设成熟度XX，产业集聚程度XX</v>
      </c>
    </row>
    <row r="16" spans="1:18" ht="40.5">
      <c r="A16" s="2551"/>
      <c r="B16" s="1240" t="s">
        <v>1667</v>
      </c>
      <c r="C16" s="1241" t="str">
        <f>C4</f>
        <v>较好</v>
      </c>
      <c r="D16" s="1992"/>
      <c r="E16" s="2548"/>
      <c r="F16" s="1242" t="s">
        <v>1668</v>
      </c>
      <c r="G16" s="1004" t="str">
        <f>G4</f>
        <v>估价对象周边道路状况、公共交通通达情况、停车便捷程度，综合评价交通便捷度较好</v>
      </c>
    </row>
    <row r="17" spans="1:7" ht="14.25">
      <c r="A17" s="2551"/>
      <c r="B17" s="1240" t="s">
        <v>1669</v>
      </c>
      <c r="C17" s="1241" t="str">
        <f>C5</f>
        <v>较好</v>
      </c>
      <c r="D17" s="1993"/>
      <c r="E17" s="2548"/>
      <c r="F17" s="1242" t="s">
        <v>1674</v>
      </c>
      <c r="G17" s="2748"/>
    </row>
    <row r="18" spans="1:7" ht="40.5">
      <c r="A18" s="2551"/>
      <c r="B18" s="1242" t="s">
        <v>1655</v>
      </c>
      <c r="C18" s="1004" t="str">
        <f>C6</f>
        <v>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27">
      <c r="A20" s="2551"/>
      <c r="B20" s="1242" t="s">
        <v>1660</v>
      </c>
      <c r="C20" s="1241" t="str">
        <f>C9</f>
        <v>较好</v>
      </c>
      <c r="D20" s="1993"/>
      <c r="E20" s="2548"/>
      <c r="F20" s="1226" t="s">
        <v>2547</v>
      </c>
      <c r="G20" s="1004" t="str">
        <f>G6</f>
        <v>估价对象所在区域基础设施水平</v>
      </c>
    </row>
    <row r="21" spans="1:7" ht="14.25">
      <c r="A21" s="2551"/>
      <c r="B21" s="1226" t="s">
        <v>2546</v>
      </c>
      <c r="C21" s="1004" t="str">
        <f>C7</f>
        <v>较好</v>
      </c>
      <c r="D21" s="1992"/>
      <c r="E21" s="2548"/>
      <c r="F21" s="1242" t="s">
        <v>1661</v>
      </c>
      <c r="G21" s="3035"/>
    </row>
    <row r="22" spans="1:7" ht="14.25">
      <c r="A22" s="2551"/>
      <c r="B22" s="1226" t="s">
        <v>2547</v>
      </c>
      <c r="C22" s="1004" t="str">
        <f>C8</f>
        <v>七通</v>
      </c>
      <c r="D22" s="1992"/>
      <c r="E22" s="2548"/>
      <c r="F22" s="1242" t="s">
        <v>1671</v>
      </c>
      <c r="G22" s="2748"/>
    </row>
    <row r="23" spans="1:7" ht="15" thickBot="1">
      <c r="A23" s="2551"/>
      <c r="B23" s="1242" t="s">
        <v>1661</v>
      </c>
      <c r="C23" s="3035"/>
      <c r="E23" s="2549"/>
      <c r="F23" s="1243" t="s">
        <v>1675</v>
      </c>
      <c r="G23" s="3036"/>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2844</v>
      </c>
      <c r="B1" s="2995">
        <f>SUM(B14:B23)</f>
        <v>374106</v>
      </c>
      <c r="C1" s="2996"/>
      <c r="D1" s="2996"/>
      <c r="E1" s="2996"/>
      <c r="F1" s="2996"/>
    </row>
    <row r="2" spans="1:9" ht="16.5">
      <c r="A2" s="2995" t="s">
        <v>2845</v>
      </c>
      <c r="B2" s="2995">
        <f>SUM(C14:C23)</f>
        <v>26425</v>
      </c>
      <c r="C2" s="2996"/>
      <c r="D2" s="2996"/>
      <c r="E2" s="2996"/>
      <c r="F2" s="2996"/>
    </row>
    <row r="3" spans="1:9" ht="16.5">
      <c r="A3" s="2995" t="s">
        <v>2846</v>
      </c>
      <c r="B3" s="2997">
        <f>项目基本情况!D3</f>
        <v>43663</v>
      </c>
      <c r="C3" s="2996"/>
      <c r="D3" s="2996"/>
      <c r="E3" s="2996"/>
      <c r="F3" s="2996"/>
    </row>
    <row r="4" spans="1:9" ht="33">
      <c r="A4" s="2995" t="s">
        <v>2847</v>
      </c>
      <c r="B4" s="2995" t="s">
        <v>2848</v>
      </c>
      <c r="C4" s="2995" t="s">
        <v>2849</v>
      </c>
      <c r="D4" s="2995" t="s">
        <v>2850</v>
      </c>
      <c r="E4" s="2996"/>
      <c r="F4" s="2996"/>
    </row>
    <row r="5" spans="1:9" ht="16.5">
      <c r="A5" s="2995" t="s">
        <v>2851</v>
      </c>
      <c r="B5" s="2995">
        <f ca="1">SUM(D14:D23)</f>
        <v>160704</v>
      </c>
      <c r="C5" s="2995">
        <f ca="1">ROUND(B5*10000/$B$1,0)</f>
        <v>4296</v>
      </c>
      <c r="D5" s="2995">
        <f ca="1">ROUND(B5*10000/$B$2,0)</f>
        <v>60815</v>
      </c>
      <c r="E5" s="2996"/>
      <c r="F5" s="2996"/>
    </row>
    <row r="6" spans="1:9" ht="16.5">
      <c r="A6" s="2995" t="s">
        <v>2852</v>
      </c>
      <c r="B6" s="2995">
        <f ca="1">SUM(G14:G23)</f>
        <v>160704</v>
      </c>
      <c r="C6" s="2995">
        <f t="shared" ref="C6:C8" ca="1" si="0">ROUND(B6*10000/$B$1,0)</f>
        <v>4296</v>
      </c>
      <c r="D6" s="2995">
        <f t="shared" ref="D6:D8" ca="1" si="1">ROUND(B6*10000/$B$2,0)</f>
        <v>60815</v>
      </c>
      <c r="E6" s="2996"/>
      <c r="F6" s="2996"/>
    </row>
    <row r="7" spans="1:9" ht="16.5">
      <c r="A7" s="2995" t="s">
        <v>2853</v>
      </c>
      <c r="B7" s="2995">
        <f>SUM(H14:H23)</f>
        <v>0</v>
      </c>
      <c r="C7" s="2995">
        <f t="shared" si="0"/>
        <v>0</v>
      </c>
      <c r="D7" s="2995">
        <f t="shared" si="1"/>
        <v>0</v>
      </c>
      <c r="E7" s="2996"/>
      <c r="F7" s="2996"/>
    </row>
    <row r="8" spans="1:9" ht="16.5">
      <c r="A8" s="2995" t="s">
        <v>2854</v>
      </c>
      <c r="B8" s="2995">
        <f>SUM(I14:I23)</f>
        <v>0</v>
      </c>
      <c r="C8" s="2995">
        <f t="shared" si="0"/>
        <v>0</v>
      </c>
      <c r="D8" s="2995">
        <f t="shared" si="1"/>
        <v>0</v>
      </c>
      <c r="E8" s="2996"/>
      <c r="F8" s="2996"/>
    </row>
    <row r="9" spans="1:9" ht="16.5">
      <c r="A9" s="2995" t="s">
        <v>2855</v>
      </c>
      <c r="B9" s="2998"/>
      <c r="C9" s="2996"/>
      <c r="D9" s="2996"/>
      <c r="E9" s="2996"/>
      <c r="F9" s="2996"/>
    </row>
    <row r="10" spans="1:9" ht="16.5">
      <c r="A10" s="2995" t="s">
        <v>2856</v>
      </c>
      <c r="B10" s="2998"/>
      <c r="C10" s="2996"/>
      <c r="D10" s="2996"/>
      <c r="E10" s="2996"/>
      <c r="F10" s="2996"/>
    </row>
    <row r="11" spans="1:9" ht="16.5">
      <c r="A11" s="2995" t="s">
        <v>2873</v>
      </c>
      <c r="B11" s="2998"/>
      <c r="C11" s="2996"/>
      <c r="D11" s="2996"/>
      <c r="E11" s="2996"/>
      <c r="F11" s="2996"/>
    </row>
    <row r="12" spans="1:9" ht="16.5">
      <c r="A12" s="2996"/>
      <c r="B12" s="2996"/>
      <c r="C12" s="2996"/>
      <c r="D12" s="2996"/>
      <c r="E12" s="2996"/>
      <c r="F12" s="2996"/>
    </row>
    <row r="13" spans="1:9" ht="33">
      <c r="A13" s="3001" t="s">
        <v>2872</v>
      </c>
      <c r="B13" s="2999" t="s">
        <v>2844</v>
      </c>
      <c r="C13" s="2999" t="s">
        <v>2845</v>
      </c>
      <c r="D13" s="2999" t="s">
        <v>2857</v>
      </c>
      <c r="E13" s="2995" t="s">
        <v>2871</v>
      </c>
      <c r="F13" s="2995" t="s">
        <v>2850</v>
      </c>
      <c r="G13" s="2999" t="s">
        <v>2858</v>
      </c>
      <c r="H13" s="2999" t="s">
        <v>2859</v>
      </c>
      <c r="I13" s="2999" t="s">
        <v>2860</v>
      </c>
    </row>
    <row r="14" spans="1:9" ht="16.5">
      <c r="A14" s="3002" t="s">
        <v>2870</v>
      </c>
      <c r="B14" s="2999">
        <f>结果表!L38</f>
        <v>374106</v>
      </c>
      <c r="C14" s="2999">
        <f>结果表!K38</f>
        <v>26425</v>
      </c>
      <c r="D14" s="2999">
        <f ca="1">结果表!C42</f>
        <v>160704</v>
      </c>
      <c r="E14" s="2999">
        <f ca="1">ROUND(D14*10000/B14,0)</f>
        <v>4296</v>
      </c>
      <c r="F14" s="2999">
        <f ca="1">ROUND(D14*10000/C14,0)</f>
        <v>60815</v>
      </c>
      <c r="G14" s="2999">
        <f ca="1">结果表!C44</f>
        <v>160704</v>
      </c>
      <c r="H14" s="2999" t="str">
        <f>结果表!C45</f>
        <v>——</v>
      </c>
      <c r="I14" s="2999" t="str">
        <f>结果表!C46</f>
        <v>——</v>
      </c>
    </row>
    <row r="15" spans="1:9" ht="16.5">
      <c r="A15" s="3002" t="s">
        <v>2861</v>
      </c>
      <c r="B15" s="3003"/>
      <c r="C15" s="3003"/>
      <c r="D15" s="3003"/>
      <c r="E15" s="2999" t="e">
        <f t="shared" ref="E15:E23" si="2">ROUND(D15*10000/B15,0)</f>
        <v>#DIV/0!</v>
      </c>
      <c r="F15" s="2999" t="e">
        <f t="shared" ref="F15:F23" si="3">ROUND(D15*10000/C15,0)</f>
        <v>#DIV/0!</v>
      </c>
      <c r="G15" s="3000"/>
      <c r="H15" s="3000"/>
      <c r="I15" s="3003"/>
    </row>
    <row r="16" spans="1:9" ht="16.5">
      <c r="A16" s="3002" t="s">
        <v>2862</v>
      </c>
      <c r="B16" s="3003"/>
      <c r="C16" s="3003"/>
      <c r="D16" s="3003"/>
      <c r="E16" s="2999" t="e">
        <f t="shared" si="2"/>
        <v>#DIV/0!</v>
      </c>
      <c r="F16" s="2999" t="e">
        <f t="shared" si="3"/>
        <v>#DIV/0!</v>
      </c>
      <c r="G16" s="3000"/>
      <c r="H16" s="3000"/>
      <c r="I16" s="3003"/>
    </row>
    <row r="17" spans="1:9" ht="16.5">
      <c r="A17" s="3002" t="s">
        <v>2863</v>
      </c>
      <c r="B17" s="3003"/>
      <c r="C17" s="3003"/>
      <c r="D17" s="3003"/>
      <c r="E17" s="2999" t="e">
        <f t="shared" si="2"/>
        <v>#DIV/0!</v>
      </c>
      <c r="F17" s="2999" t="e">
        <f t="shared" si="3"/>
        <v>#DIV/0!</v>
      </c>
      <c r="G17" s="3000"/>
      <c r="H17" s="3000"/>
      <c r="I17" s="3003"/>
    </row>
    <row r="18" spans="1:9" ht="16.5">
      <c r="A18" s="3002" t="s">
        <v>2864</v>
      </c>
      <c r="B18" s="3003"/>
      <c r="C18" s="3003"/>
      <c r="D18" s="3003"/>
      <c r="E18" s="2999" t="e">
        <f t="shared" si="2"/>
        <v>#DIV/0!</v>
      </c>
      <c r="F18" s="2999" t="e">
        <f t="shared" si="3"/>
        <v>#DIV/0!</v>
      </c>
      <c r="G18" s="3003"/>
      <c r="H18" s="3003"/>
      <c r="I18" s="3003"/>
    </row>
    <row r="19" spans="1:9" ht="16.5">
      <c r="A19" s="3002" t="s">
        <v>2865</v>
      </c>
      <c r="B19" s="3003"/>
      <c r="C19" s="3003"/>
      <c r="D19" s="3003"/>
      <c r="E19" s="2999" t="e">
        <f t="shared" si="2"/>
        <v>#DIV/0!</v>
      </c>
      <c r="F19" s="2999" t="e">
        <f t="shared" si="3"/>
        <v>#DIV/0!</v>
      </c>
      <c r="G19" s="3003"/>
      <c r="H19" s="3003"/>
      <c r="I19" s="3003"/>
    </row>
    <row r="20" spans="1:9" ht="16.5">
      <c r="A20" s="3002" t="s">
        <v>2866</v>
      </c>
      <c r="B20" s="3003"/>
      <c r="C20" s="3003"/>
      <c r="D20" s="3003"/>
      <c r="E20" s="2999" t="e">
        <f t="shared" si="2"/>
        <v>#DIV/0!</v>
      </c>
      <c r="F20" s="2999" t="e">
        <f t="shared" si="3"/>
        <v>#DIV/0!</v>
      </c>
      <c r="G20" s="3003"/>
      <c r="H20" s="3003"/>
      <c r="I20" s="3003"/>
    </row>
    <row r="21" spans="1:9" ht="16.5">
      <c r="A21" s="3002" t="s">
        <v>2867</v>
      </c>
      <c r="B21" s="3003"/>
      <c r="C21" s="3003"/>
      <c r="D21" s="3003"/>
      <c r="E21" s="2999" t="e">
        <f t="shared" si="2"/>
        <v>#DIV/0!</v>
      </c>
      <c r="F21" s="2999" t="e">
        <f t="shared" si="3"/>
        <v>#DIV/0!</v>
      </c>
      <c r="G21" s="3003"/>
      <c r="H21" s="3003"/>
      <c r="I21" s="3003"/>
    </row>
    <row r="22" spans="1:9" ht="16.5">
      <c r="A22" s="3002" t="s">
        <v>2868</v>
      </c>
      <c r="B22" s="3003"/>
      <c r="C22" s="3003"/>
      <c r="D22" s="3003"/>
      <c r="E22" s="2999" t="e">
        <f t="shared" si="2"/>
        <v>#DIV/0!</v>
      </c>
      <c r="F22" s="2999" t="e">
        <f t="shared" si="3"/>
        <v>#DIV/0!</v>
      </c>
      <c r="G22" s="3003"/>
      <c r="H22" s="3003"/>
      <c r="I22" s="3003"/>
    </row>
    <row r="23" spans="1:9" ht="16.5">
      <c r="A23" s="3002" t="s">
        <v>2869</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3332" t="str">
        <f>项目基本情况!K2</f>
        <v>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4.25">
      <c r="A3" s="3325" t="s">
        <v>298</v>
      </c>
      <c r="B3" s="3326"/>
      <c r="C3" s="3326"/>
      <c r="D3" s="3326"/>
      <c r="E3" s="3326"/>
      <c r="F3" s="3326"/>
      <c r="G3" s="3326"/>
      <c r="H3" s="3326"/>
      <c r="I3" s="3326"/>
      <c r="J3" s="2013"/>
      <c r="K3" s="2012"/>
      <c r="L3" s="2012"/>
      <c r="M3" s="2012"/>
      <c r="N3" s="2012"/>
      <c r="O3" s="2012"/>
      <c r="P3" s="2012"/>
      <c r="Q3" s="2012"/>
      <c r="R3" s="2012"/>
      <c r="S3" s="2012"/>
      <c r="T3" s="2012"/>
      <c r="U3" s="2012"/>
      <c r="V3" s="2012"/>
    </row>
    <row r="4" spans="1:22" ht="14.25">
      <c r="A4" s="257" t="s">
        <v>299</v>
      </c>
      <c r="B4" s="258" t="s">
        <v>300</v>
      </c>
      <c r="C4" s="259" t="s">
        <v>3028</v>
      </c>
      <c r="D4" s="259" t="s">
        <v>3029</v>
      </c>
      <c r="E4" s="3297" t="s">
        <v>301</v>
      </c>
      <c r="F4" s="3298"/>
      <c r="G4" s="3298"/>
      <c r="H4" s="3298"/>
      <c r="I4" s="3327"/>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6" t="s">
        <v>302</v>
      </c>
      <c r="B5" s="3322">
        <v>25</v>
      </c>
      <c r="C5" s="3320"/>
      <c r="D5" s="3324"/>
      <c r="E5" s="260" t="s">
        <v>303</v>
      </c>
      <c r="F5" s="261"/>
      <c r="G5" s="261"/>
      <c r="H5" s="261"/>
      <c r="I5" s="262"/>
      <c r="J5" s="2013"/>
      <c r="K5" s="2012"/>
      <c r="L5" s="2012"/>
      <c r="M5" s="2012"/>
      <c r="N5" s="2012"/>
      <c r="O5" s="2012"/>
      <c r="P5" s="2012"/>
      <c r="Q5" s="2012"/>
      <c r="R5" s="2012"/>
      <c r="S5" s="2012"/>
      <c r="T5" s="2012"/>
      <c r="U5" s="2012"/>
      <c r="V5" s="2012"/>
    </row>
    <row r="6" spans="1:22" ht="14.25">
      <c r="A6" s="3296"/>
      <c r="B6" s="3322"/>
      <c r="C6" s="3323"/>
      <c r="D6" s="3324"/>
      <c r="E6" s="260" t="s">
        <v>304</v>
      </c>
      <c r="F6" s="261"/>
      <c r="G6" s="261"/>
      <c r="H6" s="261"/>
      <c r="I6" s="262"/>
      <c r="J6" s="2013"/>
      <c r="K6" s="2012"/>
      <c r="L6" s="2012"/>
      <c r="M6" s="2012"/>
      <c r="N6" s="2012"/>
      <c r="O6" s="2012"/>
      <c r="P6" s="2012"/>
      <c r="Q6" s="2012"/>
      <c r="R6" s="2012"/>
      <c r="S6" s="2012"/>
      <c r="T6" s="2012"/>
      <c r="U6" s="2012"/>
      <c r="V6" s="2012"/>
    </row>
    <row r="7" spans="1:22" ht="14.25">
      <c r="A7" s="3296"/>
      <c r="B7" s="3322"/>
      <c r="C7" s="3321"/>
      <c r="D7" s="3324"/>
      <c r="E7" s="260" t="s">
        <v>305</v>
      </c>
      <c r="F7" s="261"/>
      <c r="G7" s="261"/>
      <c r="H7" s="261"/>
      <c r="I7" s="262"/>
      <c r="J7" s="2013"/>
      <c r="K7" s="2012"/>
      <c r="L7" s="2012"/>
      <c r="M7" s="2012"/>
      <c r="N7" s="2012"/>
      <c r="O7" s="2012"/>
      <c r="P7" s="2012"/>
      <c r="Q7" s="2012"/>
      <c r="R7" s="2012"/>
      <c r="S7" s="2012"/>
      <c r="T7" s="2012"/>
      <c r="U7" s="2012"/>
      <c r="V7" s="2012"/>
    </row>
    <row r="8" spans="1:22" ht="14.25">
      <c r="A8" s="3296" t="s">
        <v>306</v>
      </c>
      <c r="B8" s="3322">
        <v>15</v>
      </c>
      <c r="C8" s="3320"/>
      <c r="D8" s="3324"/>
      <c r="E8" s="260" t="s">
        <v>307</v>
      </c>
      <c r="F8" s="261"/>
      <c r="G8" s="261"/>
      <c r="H8" s="261"/>
      <c r="I8" s="262"/>
      <c r="J8" s="2013"/>
      <c r="K8" s="2012"/>
      <c r="L8" s="2012"/>
      <c r="M8" s="2012"/>
      <c r="N8" s="2012"/>
      <c r="O8" s="2012"/>
      <c r="P8" s="2012"/>
      <c r="Q8" s="2012"/>
      <c r="R8" s="2012"/>
      <c r="S8" s="2012"/>
      <c r="T8" s="2012"/>
      <c r="U8" s="2012"/>
      <c r="V8" s="2012"/>
    </row>
    <row r="9" spans="1:22" ht="14.25">
      <c r="A9" s="3296"/>
      <c r="B9" s="3322"/>
      <c r="C9" s="3321"/>
      <c r="D9" s="3324"/>
      <c r="E9" s="260" t="s">
        <v>308</v>
      </c>
      <c r="F9" s="261"/>
      <c r="G9" s="261"/>
      <c r="H9" s="261"/>
      <c r="I9" s="262"/>
      <c r="J9" s="2013"/>
      <c r="K9" s="2012"/>
      <c r="L9" s="2012"/>
      <c r="M9" s="2012"/>
      <c r="N9" s="2012"/>
      <c r="O9" s="2012"/>
      <c r="P9" s="2012"/>
      <c r="Q9" s="2012"/>
      <c r="R9" s="2012"/>
      <c r="S9" s="2012"/>
      <c r="T9" s="2012"/>
      <c r="U9" s="2012"/>
      <c r="V9" s="2012"/>
    </row>
    <row r="10" spans="1:22" ht="14.25">
      <c r="A10" s="3296" t="s">
        <v>309</v>
      </c>
      <c r="B10" s="3322">
        <v>15</v>
      </c>
      <c r="C10" s="3320"/>
      <c r="D10" s="3324"/>
      <c r="E10" s="260" t="s">
        <v>310</v>
      </c>
      <c r="F10" s="261"/>
      <c r="G10" s="261"/>
      <c r="H10" s="261"/>
      <c r="I10" s="262"/>
      <c r="J10" s="2013"/>
      <c r="K10" s="2012"/>
      <c r="L10" s="2012"/>
      <c r="M10" s="2012"/>
      <c r="N10" s="2012"/>
      <c r="O10" s="2012"/>
      <c r="P10" s="2012"/>
      <c r="Q10" s="2012"/>
      <c r="R10" s="2012"/>
      <c r="S10" s="2012"/>
      <c r="T10" s="2012"/>
      <c r="U10" s="2012"/>
      <c r="V10" s="2012"/>
    </row>
    <row r="11" spans="1:22" ht="14.25">
      <c r="A11" s="3296"/>
      <c r="B11" s="3322"/>
      <c r="C11" s="3321"/>
      <c r="D11" s="3324"/>
      <c r="E11" s="260" t="s">
        <v>311</v>
      </c>
      <c r="F11" s="261"/>
      <c r="G11" s="261"/>
      <c r="H11" s="261"/>
      <c r="I11" s="262"/>
      <c r="J11" s="2013"/>
      <c r="K11" s="2012"/>
      <c r="L11" s="2012"/>
      <c r="M11" s="2012"/>
      <c r="N11" s="2012"/>
      <c r="O11" s="2012"/>
      <c r="P11" s="2012"/>
      <c r="Q11" s="2012"/>
      <c r="R11" s="2012"/>
      <c r="S11" s="2012"/>
      <c r="T11" s="2012"/>
      <c r="U11" s="2012"/>
      <c r="V11" s="2012"/>
    </row>
    <row r="12" spans="1:22" ht="14.25">
      <c r="A12" s="3296" t="s">
        <v>312</v>
      </c>
      <c r="B12" s="3322">
        <v>15</v>
      </c>
      <c r="C12" s="3320"/>
      <c r="D12" s="3324"/>
      <c r="E12" s="260" t="s">
        <v>313</v>
      </c>
      <c r="F12" s="261"/>
      <c r="G12" s="261"/>
      <c r="H12" s="261"/>
      <c r="I12" s="262"/>
      <c r="J12" s="2013"/>
      <c r="K12" s="2012"/>
      <c r="L12" s="2012"/>
      <c r="M12" s="2012"/>
      <c r="N12" s="2012"/>
      <c r="O12" s="2012"/>
      <c r="P12" s="2012"/>
      <c r="Q12" s="2012"/>
      <c r="R12" s="2012"/>
      <c r="S12" s="2012"/>
      <c r="T12" s="2012"/>
      <c r="U12" s="2012"/>
      <c r="V12" s="2012"/>
    </row>
    <row r="13" spans="1:22" ht="14.25">
      <c r="A13" s="3296"/>
      <c r="B13" s="3322"/>
      <c r="C13" s="3321"/>
      <c r="D13" s="3324"/>
      <c r="E13" s="260" t="s">
        <v>314</v>
      </c>
      <c r="F13" s="261"/>
      <c r="G13" s="261"/>
      <c r="H13" s="261"/>
      <c r="I13" s="262"/>
      <c r="J13" s="2013"/>
      <c r="K13" s="2012"/>
      <c r="L13" s="2012"/>
      <c r="M13" s="2012"/>
      <c r="N13" s="2012"/>
      <c r="O13" s="2012"/>
      <c r="P13" s="2012"/>
      <c r="Q13" s="2012"/>
      <c r="R13" s="2012"/>
      <c r="S13" s="2012"/>
      <c r="T13" s="2012"/>
      <c r="U13" s="2012"/>
      <c r="V13" s="2012"/>
    </row>
    <row r="14" spans="1:22" ht="14.25">
      <c r="A14" s="3296" t="s">
        <v>315</v>
      </c>
      <c r="B14" s="3322">
        <v>30</v>
      </c>
      <c r="C14" s="3320">
        <v>7</v>
      </c>
      <c r="D14" s="3324">
        <v>3</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96"/>
      <c r="B15" s="3322"/>
      <c r="C15" s="3323"/>
      <c r="D15" s="3324"/>
      <c r="E15" s="260" t="s">
        <v>317</v>
      </c>
      <c r="F15" s="261"/>
      <c r="G15" s="261"/>
      <c r="H15" s="261"/>
      <c r="I15" s="262"/>
      <c r="J15" s="2013"/>
      <c r="K15" s="2012"/>
      <c r="L15" s="2012"/>
      <c r="M15" s="2012"/>
      <c r="N15" s="2012"/>
      <c r="O15" s="2012"/>
      <c r="P15" s="2012"/>
      <c r="Q15" s="2012"/>
      <c r="R15" s="2012"/>
      <c r="S15" s="2012"/>
      <c r="T15" s="2012"/>
      <c r="U15" s="2012"/>
      <c r="V15" s="2012"/>
    </row>
    <row r="16" spans="1:22" ht="14.25">
      <c r="A16" s="3296"/>
      <c r="B16" s="3322"/>
      <c r="C16" s="3321"/>
      <c r="D16" s="3324"/>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3"/>
      <c r="C17" s="264">
        <f>SUM(C5:C16)</f>
        <v>7</v>
      </c>
      <c r="D17" s="264">
        <f>SUM(D5:D16)</f>
        <v>3</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0.7</v>
      </c>
      <c r="D18" s="266">
        <f>1-C18</f>
        <v>0.30000000000000004</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176149</v>
      </c>
      <c r="D19" s="270">
        <f ca="1">SUMIF(INDIRECT("'"&amp;D4&amp;"'"&amp;"!A:A"),结果表!B19,INDIRECT("'"&amp;D4&amp;"'"&amp;"!B:B"))</f>
        <v>124664</v>
      </c>
      <c r="E19" s="267" t="s">
        <v>323</v>
      </c>
      <c r="F19" s="268" t="s">
        <v>322</v>
      </c>
      <c r="G19" s="271">
        <f ca="1">ROUND(C19*$C$18+D19*$D$18,0)</f>
        <v>160704</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4709</v>
      </c>
      <c r="D20" s="276">
        <f ca="1">SUMIF(INDIRECT("'"&amp;D4&amp;"'"&amp;"!A:A"),结果表!B20,INDIRECT("'"&amp;D4&amp;"'"&amp;"!B:B"))</f>
        <v>3332</v>
      </c>
      <c r="E20" s="273"/>
      <c r="F20" s="274" t="s">
        <v>325</v>
      </c>
      <c r="G20" s="277">
        <f ca="1">ROUND(C20*$C$18+D20*$D$18,0)</f>
        <v>4296</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66660</v>
      </c>
      <c r="D21" s="150">
        <f ca="1">SUMIF(INDIRECT("'"&amp;D4&amp;"'"&amp;"!A:A"),结果表!B21,INDIRECT("'"&amp;D4&amp;"'"&amp;"!B:B"))</f>
        <v>47177</v>
      </c>
      <c r="E21" s="273"/>
      <c r="F21" s="279" t="s">
        <v>327</v>
      </c>
      <c r="G21" s="281">
        <f ca="1">ROUND(C21*$C$18+D21*$D$18,0)</f>
        <v>60815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0.41299011743566716</v>
      </c>
      <c r="E22" s="283"/>
      <c r="F22" s="284"/>
      <c r="G22" s="285">
        <f ca="1">ROUND(G19/('数据-汇总表'!D3/666.67),0)</f>
        <v>4054</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2"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3"/>
      <c r="B25" s="1316" t="s">
        <v>331</v>
      </c>
      <c r="C25" s="289">
        <f>IF(B30=0,0,C30)</f>
        <v>0</v>
      </c>
      <c r="D25" s="290"/>
      <c r="E25" s="310"/>
      <c r="F25" s="310"/>
      <c r="G25" s="310"/>
      <c r="H25" s="310"/>
      <c r="I25" s="310"/>
      <c r="J25" s="2012"/>
      <c r="K25" s="1250" t="str">
        <f ca="1">项目基本情况!B16&amp;"国有建设用地使用权价格："&amp;O38&amp;"万元"</f>
        <v>出让国有建设用地使用权价格：160704万元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大写金额：人民币壹拾陆亿零柒佰零肆万元整</v>
      </c>
      <c r="L26" s="1247"/>
      <c r="M26" s="1247"/>
      <c r="N26" s="1247"/>
      <c r="O26" s="1246"/>
      <c r="P26" s="2012"/>
      <c r="Q26" s="2012"/>
      <c r="R26" s="2012"/>
      <c r="S26" s="2012"/>
      <c r="T26" s="2012"/>
      <c r="U26" s="2012"/>
      <c r="V26" s="2012"/>
      <c r="W26" s="291"/>
      <c r="X26" s="291"/>
      <c r="Y26" s="291"/>
      <c r="Z26" s="291"/>
    </row>
    <row r="27" spans="1:26" ht="18">
      <c r="A27" s="292">
        <f ca="1">G19/'数据-汇总表'!F27*10000</f>
        <v>6192.8085055548918</v>
      </c>
      <c r="B27" s="293"/>
      <c r="C27" s="293"/>
      <c r="D27" s="294"/>
      <c r="E27" s="310"/>
      <c r="F27" s="310"/>
      <c r="G27" s="310"/>
      <c r="H27" s="310"/>
      <c r="I27" s="310"/>
      <c r="J27" s="2012"/>
      <c r="K27" s="1253" t="str">
        <f ca="1">"单位面积地价："&amp;M38&amp;"元/平方米"</f>
        <v>单位面积地价：60815元/平方米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楼面地价：4296元/平方米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抵押价格：160704万元</v>
      </c>
      <c r="L29" s="1247"/>
      <c r="M29" s="1247"/>
      <c r="N29" s="1247"/>
      <c r="O29" s="1246"/>
      <c r="P29" s="2012"/>
      <c r="V29" s="2012"/>
    </row>
    <row r="30" spans="1:26" ht="18.75" thickBot="1">
      <c r="A30" s="3078" t="s">
        <v>336</v>
      </c>
      <c r="B30" s="308"/>
      <c r="C30" s="308"/>
      <c r="D30" s="309"/>
      <c r="E30" s="3079" t="s">
        <v>2965</v>
      </c>
      <c r="F30" s="310"/>
      <c r="G30" s="310"/>
      <c r="H30" s="310"/>
      <c r="I30" s="310"/>
      <c r="J30" s="2012"/>
      <c r="K30" s="1253" t="str">
        <f ca="1">IF(K29="——","——","大写金额：人民币"&amp;NUMBERSTRING(INT(O39*10000),2)&amp;"元整")</f>
        <v>大写金额：人民币壹拾陆亿零柒佰零肆万元整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160704</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4296</v>
      </c>
      <c r="D33" s="1380" t="s">
        <v>1691</v>
      </c>
      <c r="E33" s="3302" t="s">
        <v>338</v>
      </c>
      <c r="F33" s="295" t="s">
        <v>339</v>
      </c>
      <c r="G33" s="296"/>
      <c r="H33" s="979"/>
      <c r="I33" s="1254"/>
      <c r="J33" s="2012"/>
      <c r="K33" s="1253" t="str">
        <f>IF(项目基本情况!E9="——","——","抵押净值："&amp;C46&amp;"万元")</f>
        <v>——</v>
      </c>
      <c r="L33" s="1247"/>
      <c r="M33" s="1247"/>
      <c r="N33" s="1247"/>
      <c r="O33" s="1246"/>
      <c r="P33" s="2012"/>
      <c r="V33" s="2012"/>
    </row>
    <row r="34" spans="1:26" s="1249" customFormat="1" ht="18.75" thickBot="1">
      <c r="A34" s="299"/>
      <c r="B34" s="1381" t="s">
        <v>1692</v>
      </c>
      <c r="C34" s="263">
        <f ca="1">ROUND(C32*10000/'数据-汇总表'!D3,0)</f>
        <v>60815</v>
      </c>
      <c r="D34" s="1382" t="s">
        <v>1691</v>
      </c>
      <c r="E34" s="3343"/>
      <c r="F34" s="127" t="s">
        <v>341</v>
      </c>
      <c r="G34" s="298"/>
      <c r="H34" s="105"/>
      <c r="I34" s="310"/>
      <c r="J34" s="2012"/>
      <c r="K34" s="1256" t="str">
        <f>IF(K33="——","——","大写金额：人民币"&amp;NUMBERSTRING(INT(O41*10000),2)&amp;"元整")</f>
        <v>——</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4054</v>
      </c>
      <c r="D35" s="1385" t="s">
        <v>1693</v>
      </c>
      <c r="E35" s="3344"/>
      <c r="F35" s="300" t="s">
        <v>342</v>
      </c>
      <c r="G35" s="981"/>
      <c r="H35" s="980" t="s">
        <v>343</v>
      </c>
      <c r="I35" s="310"/>
      <c r="J35" s="2012"/>
      <c r="K35" s="3317" t="s">
        <v>350</v>
      </c>
      <c r="L35" s="3317" t="s">
        <v>351</v>
      </c>
      <c r="M35" s="1259" t="s">
        <v>352</v>
      </c>
      <c r="N35" s="3317" t="s">
        <v>353</v>
      </c>
      <c r="O35" s="3317" t="s">
        <v>354</v>
      </c>
      <c r="P35" s="2012"/>
      <c r="V35" s="2012"/>
    </row>
    <row r="36" spans="1:26" ht="16.5" customHeight="1">
      <c r="A36" s="302" t="s">
        <v>344</v>
      </c>
      <c r="B36" s="303" t="s">
        <v>333</v>
      </c>
      <c r="C36" s="304" t="s">
        <v>345</v>
      </c>
      <c r="D36" s="304" t="s">
        <v>346</v>
      </c>
      <c r="E36" s="305" t="s">
        <v>347</v>
      </c>
      <c r="F36" s="310"/>
      <c r="G36" s="310"/>
      <c r="H36" s="310"/>
      <c r="I36" s="310"/>
      <c r="J36" s="2014"/>
      <c r="K36" s="3318"/>
      <c r="L36" s="3318"/>
      <c r="M36" s="1261" t="s">
        <v>355</v>
      </c>
      <c r="N36" s="3318"/>
      <c r="O36" s="3318"/>
      <c r="P36" s="2012"/>
      <c r="V36" s="2012"/>
    </row>
    <row r="37" spans="1:26" ht="16.5" customHeight="1" thickBot="1">
      <c r="A37" s="1255" t="s">
        <v>348</v>
      </c>
      <c r="B37" s="306"/>
      <c r="C37" s="293"/>
      <c r="D37" s="293"/>
      <c r="E37" s="294"/>
      <c r="F37" s="310"/>
      <c r="G37" s="310"/>
      <c r="H37" s="310"/>
      <c r="I37" s="310"/>
      <c r="J37" s="2014"/>
      <c r="K37" s="3319"/>
      <c r="L37" s="3319"/>
      <c r="M37" s="1262"/>
      <c r="N37" s="3319"/>
      <c r="O37" s="3319"/>
      <c r="P37" s="2012"/>
      <c r="V37" s="2012"/>
    </row>
    <row r="38" spans="1:26" ht="16.5" customHeight="1" thickBot="1">
      <c r="A38" s="1255" t="s">
        <v>349</v>
      </c>
      <c r="B38" s="306"/>
      <c r="C38" s="293"/>
      <c r="D38" s="293"/>
      <c r="E38" s="294"/>
      <c r="F38" s="310"/>
      <c r="G38" s="310"/>
      <c r="H38" s="310"/>
      <c r="I38" s="310"/>
      <c r="J38" s="2014"/>
      <c r="K38" s="1263">
        <f>'数据-汇总表'!D3</f>
        <v>26425</v>
      </c>
      <c r="L38" s="1264">
        <f>'数据-汇总表'!E3</f>
        <v>374106</v>
      </c>
      <c r="M38" s="1264">
        <f ca="1">C34</f>
        <v>60815</v>
      </c>
      <c r="N38" s="1264">
        <f ca="1">C33</f>
        <v>4296</v>
      </c>
      <c r="O38" s="1265">
        <f ca="1">C32</f>
        <v>160704</v>
      </c>
      <c r="P38" s="2012"/>
      <c r="V38" s="2012"/>
    </row>
    <row r="39" spans="1:26" ht="16.5" customHeight="1" thickBot="1">
      <c r="A39" s="1260"/>
      <c r="B39" s="307"/>
      <c r="C39" s="308"/>
      <c r="D39" s="308"/>
      <c r="E39" s="309"/>
      <c r="F39" s="310"/>
      <c r="G39" s="310"/>
      <c r="H39" s="310"/>
      <c r="I39" s="310"/>
      <c r="J39" s="2014"/>
      <c r="K39" s="3362" t="str">
        <f>MID(A44,3,LEN(A44)-2)</f>
        <v>抵押价格</v>
      </c>
      <c r="L39" s="3363"/>
      <c r="M39" s="3363"/>
      <c r="N39" s="3364"/>
      <c r="O39" s="1387">
        <f ca="1">C44</f>
        <v>160704</v>
      </c>
      <c r="P39" s="2012"/>
      <c r="V39" s="2012"/>
    </row>
    <row r="40" spans="1:26" ht="19.5" thickBot="1">
      <c r="A40" s="104" t="s">
        <v>873</v>
      </c>
      <c r="B40" s="310"/>
      <c r="C40" s="310"/>
      <c r="D40" s="310"/>
      <c r="E40" s="310"/>
      <c r="F40" s="310"/>
      <c r="G40" s="310"/>
      <c r="H40" s="310"/>
      <c r="I40" s="310"/>
      <c r="J40" s="2014"/>
      <c r="K40" s="3362" t="str">
        <f t="shared" ref="K40:K41" si="0">MID(A45,3,LEN(A45)-2)</f>
        <v/>
      </c>
      <c r="L40" s="3363"/>
      <c r="M40" s="3363"/>
      <c r="N40" s="3364"/>
      <c r="O40" s="1387" t="str">
        <f>C45</f>
        <v>——</v>
      </c>
      <c r="P40" s="2012"/>
      <c r="V40" s="2012"/>
    </row>
    <row r="41" spans="1:26" ht="16.5" thickBot="1">
      <c r="A41" s="311" t="s">
        <v>356</v>
      </c>
      <c r="B41" s="312"/>
      <c r="C41" s="313" t="s">
        <v>357</v>
      </c>
      <c r="D41" s="314" t="s">
        <v>358</v>
      </c>
      <c r="E41" s="314" t="s">
        <v>359</v>
      </c>
      <c r="F41" s="315" t="s">
        <v>360</v>
      </c>
      <c r="G41" s="310"/>
      <c r="H41" s="310"/>
      <c r="I41" s="310"/>
      <c r="J41" s="2014"/>
      <c r="K41" s="3362" t="str">
        <f t="shared" si="0"/>
        <v/>
      </c>
      <c r="L41" s="3363"/>
      <c r="M41" s="3363"/>
      <c r="N41" s="3364"/>
      <c r="O41" s="1387" t="str">
        <f>C46</f>
        <v>——</v>
      </c>
      <c r="P41" s="2012"/>
      <c r="V41" s="2012"/>
    </row>
    <row r="42" spans="1:26" ht="29.25">
      <c r="A42" s="3304" t="s">
        <v>2067</v>
      </c>
      <c r="B42" s="3305"/>
      <c r="C42" s="263">
        <f ca="1">C32</f>
        <v>160704</v>
      </c>
      <c r="D42" s="316">
        <f ca="1">C33</f>
        <v>4296</v>
      </c>
      <c r="E42" s="316">
        <f ca="1">C34</f>
        <v>60815</v>
      </c>
      <c r="F42" s="317">
        <f ca="1">C35</f>
        <v>4054</v>
      </c>
      <c r="G42" s="310"/>
      <c r="H42" s="310"/>
      <c r="I42" s="318"/>
      <c r="J42" s="2014"/>
      <c r="K42" s="1266" t="s">
        <v>361</v>
      </c>
      <c r="L42" s="2031" t="s">
        <v>362</v>
      </c>
      <c r="M42" s="1267" t="s">
        <v>363</v>
      </c>
      <c r="N42" s="2032" t="s">
        <v>364</v>
      </c>
      <c r="O42" s="2033" t="s">
        <v>365</v>
      </c>
      <c r="P42" s="2012"/>
      <c r="V42" s="2012"/>
    </row>
    <row r="43" spans="1:26" ht="30">
      <c r="A43" s="3315" t="s">
        <v>2730</v>
      </c>
      <c r="B43" s="3316"/>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176149</v>
      </c>
      <c r="M43" s="1270">
        <f>C18</f>
        <v>0.7</v>
      </c>
      <c r="N43" s="1271">
        <f ca="1">IF(N42="测算结果/万元",G19,G20)</f>
        <v>160704</v>
      </c>
      <c r="O43" s="1272">
        <f ca="1">IF(O42="最终结果/万元",C32,C33)</f>
        <v>160704</v>
      </c>
      <c r="P43" s="2012"/>
      <c r="V43" s="2012"/>
    </row>
    <row r="44" spans="1:26" ht="30.75" thickBot="1">
      <c r="A44" s="3304" t="str">
        <f>IF(OR(项目基本情况!E8="抵押价格",项目基本情况!E8="已注销及未注销"),"3.抵押价格","——")</f>
        <v>3.抵押价格</v>
      </c>
      <c r="B44" s="3305"/>
      <c r="C44" s="263">
        <f ca="1">IF(A44="——","——",C42-C43)</f>
        <v>160704</v>
      </c>
      <c r="D44" s="316">
        <f ca="1">ROUND(C44*10000/'数据-汇总表'!E3,0)</f>
        <v>4296</v>
      </c>
      <c r="E44" s="316">
        <f ca="1">ROUND(C44*10000/'数据-汇总表'!D3,0)</f>
        <v>60815</v>
      </c>
      <c r="F44" s="317">
        <f ca="1">ROUND(C44/('数据-汇总表'!D3/666.67),0)</f>
        <v>4054</v>
      </c>
      <c r="G44" s="310"/>
      <c r="H44" s="310"/>
      <c r="I44" s="318"/>
      <c r="J44" s="2014"/>
      <c r="K44" s="1273" t="str">
        <f>D4</f>
        <v>剩余法-待开发</v>
      </c>
      <c r="L44" s="1274">
        <f ca="1">IF(L42="估价结果/万元",D19,D20)</f>
        <v>124664</v>
      </c>
      <c r="M44" s="1275">
        <f>D18</f>
        <v>0.30000000000000004</v>
      </c>
      <c r="N44" s="1276"/>
      <c r="O44" s="1277"/>
      <c r="P44" s="2012"/>
      <c r="V44" s="2012"/>
    </row>
    <row r="45" spans="1:26" ht="15">
      <c r="A45" s="3310" t="str">
        <f>IF(项目基本情况!E8="已注销及未注销","4.抵押担保权已注销时的抵押价格",IF(项目基本情况!E8="已注销","3.抵押担保权已注销时的抵押价格","——"))</f>
        <v>——</v>
      </c>
      <c r="B45" s="3311"/>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06" t="str">
        <f>IF(项目基本情况!E9="抵押净值",IF(A45="——","4.抵押净值","5.抵押净值"),"——")</f>
        <v>——</v>
      </c>
      <c r="B46" s="3307"/>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1" t="s">
        <v>374</v>
      </c>
      <c r="B63" s="3352"/>
      <c r="C63" s="3353"/>
      <c r="D63" s="340">
        <f ca="1">ROUND(C42*F63,0)</f>
        <v>96422</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12" t="s">
        <v>378</v>
      </c>
      <c r="B64" s="3313"/>
      <c r="C64" s="3313"/>
      <c r="D64" s="3313"/>
      <c r="E64" s="3313"/>
      <c r="F64" s="3313"/>
      <c r="G64" s="3314"/>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08" t="s">
        <v>386</v>
      </c>
      <c r="B66" s="3309"/>
      <c r="C66" s="3309"/>
      <c r="D66" s="260">
        <f ca="1">IF(H66="情况1",0,IF(H66="情况2",D70,IF(H66="情况3",D71,IF(H66="情况4",D72))))</f>
        <v>5143</v>
      </c>
      <c r="E66" s="992" t="str">
        <f>IF(H66="情况4","(销售额-原购置价)×税（费）率","销售额×税（费）率")</f>
        <v>销售额×税（费）率</v>
      </c>
      <c r="F66" s="349">
        <f>IF(H66="情况1","免征",'数据-取费表'!B41)</f>
        <v>5.6000000000000001E-2</v>
      </c>
      <c r="G66" s="350" t="s">
        <v>387</v>
      </c>
      <c r="H66" s="190" t="s">
        <v>388</v>
      </c>
      <c r="I66" s="1283"/>
      <c r="J66" s="2018"/>
      <c r="K66" s="1286">
        <v>1</v>
      </c>
      <c r="L66" s="3366" t="s">
        <v>385</v>
      </c>
      <c r="M66" s="3367"/>
      <c r="N66" s="2421"/>
      <c r="O66" s="2422"/>
      <c r="P66" s="2423"/>
      <c r="Q66" s="2012"/>
      <c r="R66" s="2012"/>
      <c r="S66" s="2012"/>
      <c r="T66" s="2012"/>
      <c r="U66" s="2012"/>
      <c r="V66" s="2012"/>
    </row>
    <row r="67" spans="1:22" ht="25.5" customHeight="1">
      <c r="A67" s="351" t="s">
        <v>390</v>
      </c>
      <c r="B67" s="3299" t="s">
        <v>391</v>
      </c>
      <c r="C67" s="3299"/>
      <c r="D67" s="352">
        <v>0</v>
      </c>
      <c r="E67" s="41" t="s">
        <v>392</v>
      </c>
      <c r="F67" s="62" t="s">
        <v>21</v>
      </c>
      <c r="G67" s="3354"/>
      <c r="H67" s="310"/>
      <c r="I67" s="1287"/>
      <c r="J67" s="2019"/>
      <c r="K67" s="1960">
        <v>2</v>
      </c>
      <c r="L67" s="3365" t="s">
        <v>389</v>
      </c>
      <c r="M67" s="3365"/>
      <c r="N67" s="1320">
        <f>'数据-取费表'!B2</f>
        <v>43663</v>
      </c>
      <c r="O67" s="1320"/>
      <c r="P67" s="1320"/>
      <c r="Q67" s="2012"/>
      <c r="R67" s="2012"/>
      <c r="S67" s="2012"/>
      <c r="T67" s="2012"/>
      <c r="U67" s="2012"/>
      <c r="V67" s="2012"/>
    </row>
    <row r="68" spans="1:22" ht="25.5" customHeight="1">
      <c r="A68" s="353"/>
      <c r="B68" s="3299" t="s">
        <v>394</v>
      </c>
      <c r="C68" s="3299"/>
      <c r="D68" s="354"/>
      <c r="E68" s="77"/>
      <c r="F68" s="355"/>
      <c r="G68" s="3355"/>
      <c r="H68" s="310"/>
      <c r="I68" s="1287"/>
      <c r="J68" s="2019"/>
      <c r="K68" s="1960">
        <v>3</v>
      </c>
      <c r="L68" s="3365" t="s">
        <v>393</v>
      </c>
      <c r="M68" s="3365"/>
      <c r="N68" s="1288">
        <f ca="1">C42</f>
        <v>160704</v>
      </c>
      <c r="O68" s="1288"/>
      <c r="P68" s="1288"/>
      <c r="Q68" s="2012"/>
      <c r="R68" s="2012"/>
      <c r="S68" s="2012"/>
      <c r="T68" s="2012"/>
      <c r="U68" s="2012"/>
      <c r="V68" s="2012"/>
    </row>
    <row r="69" spans="1:22" ht="12" customHeight="1">
      <c r="A69" s="356"/>
      <c r="B69" s="3299" t="s">
        <v>395</v>
      </c>
      <c r="C69" s="3299"/>
      <c r="D69" s="357"/>
      <c r="E69" s="73"/>
      <c r="F69" s="355"/>
      <c r="G69" s="3356"/>
      <c r="H69" s="310"/>
      <c r="I69" s="1287"/>
      <c r="J69" s="2019"/>
      <c r="K69" s="1289">
        <v>4</v>
      </c>
      <c r="L69" s="3370" t="s">
        <v>2883</v>
      </c>
      <c r="M69" s="3371"/>
      <c r="N69" s="1290">
        <f ca="1">C44</f>
        <v>160704</v>
      </c>
      <c r="O69" s="1290"/>
      <c r="P69" s="1290"/>
      <c r="Q69" s="2012"/>
      <c r="R69" s="2012"/>
      <c r="S69" s="2012"/>
      <c r="T69" s="2012"/>
      <c r="U69" s="2012"/>
      <c r="V69" s="2012"/>
    </row>
    <row r="70" spans="1:22" ht="24" customHeight="1">
      <c r="A70" s="358" t="s">
        <v>396</v>
      </c>
      <c r="B70" s="3299" t="s">
        <v>397</v>
      </c>
      <c r="C70" s="3299"/>
      <c r="D70" s="357">
        <f ca="1">ROUND(D63*'数据-取费表'!B41/(1+'数据-取费表'!C42),0)</f>
        <v>5143</v>
      </c>
      <c r="E70" s="17" t="s">
        <v>398</v>
      </c>
      <c r="F70" s="359">
        <f>'数据-取费表'!B41</f>
        <v>5.6000000000000001E-2</v>
      </c>
      <c r="G70" s="360"/>
      <c r="H70" s="310"/>
      <c r="I70" s="1287"/>
      <c r="J70" s="2019"/>
      <c r="K70" s="3012"/>
      <c r="L70" s="3013"/>
      <c r="M70" s="3013"/>
      <c r="N70" s="3014" t="s">
        <v>2888</v>
      </c>
      <c r="O70" s="3013"/>
      <c r="P70" s="3015"/>
      <c r="Q70" s="2012"/>
      <c r="R70" s="2012"/>
      <c r="S70" s="2012"/>
      <c r="T70" s="2012"/>
      <c r="U70" s="2012"/>
      <c r="V70" s="2012"/>
    </row>
    <row r="71" spans="1:22" ht="12" customHeight="1">
      <c r="A71" s="358" t="s">
        <v>404</v>
      </c>
      <c r="B71" s="3300" t="s">
        <v>405</v>
      </c>
      <c r="C71" s="3301"/>
      <c r="D71" s="357">
        <f ca="1">ROUND(D63*'数据-取费表'!B41/(1+'数据-取费表'!C42),0)</f>
        <v>5143</v>
      </c>
      <c r="E71" s="17" t="s">
        <v>398</v>
      </c>
      <c r="F71" s="359">
        <f>'数据-取费表'!B41</f>
        <v>5.6000000000000001E-2</v>
      </c>
      <c r="G71" s="360"/>
      <c r="H71" s="310"/>
      <c r="I71" s="1287"/>
      <c r="J71" s="2019"/>
      <c r="K71" s="3011" t="s">
        <v>399</v>
      </c>
      <c r="L71" s="3372" t="s">
        <v>400</v>
      </c>
      <c r="M71" s="3372"/>
      <c r="N71" s="3011" t="s">
        <v>401</v>
      </c>
      <c r="O71" s="3011" t="s">
        <v>402</v>
      </c>
      <c r="P71" s="3011" t="s">
        <v>403</v>
      </c>
      <c r="Q71" s="2012"/>
      <c r="R71" s="2012"/>
      <c r="S71" s="2012"/>
      <c r="T71" s="2012"/>
      <c r="U71" s="2012"/>
      <c r="V71" s="2012"/>
    </row>
    <row r="72" spans="1:22" ht="12" customHeight="1">
      <c r="A72" s="358" t="s">
        <v>407</v>
      </c>
      <c r="B72" s="3300" t="s">
        <v>408</v>
      </c>
      <c r="C72" s="3301"/>
      <c r="D72" s="357">
        <f ca="1">C86</f>
        <v>5030</v>
      </c>
      <c r="E72" s="73" t="s">
        <v>409</v>
      </c>
      <c r="F72" s="359">
        <f>'数据-取费表'!B41</f>
        <v>5.6000000000000001E-2</v>
      </c>
      <c r="G72" s="360"/>
      <c r="H72" s="1293"/>
      <c r="I72" s="1287"/>
      <c r="J72" s="2019"/>
      <c r="K72" s="1960">
        <v>1</v>
      </c>
      <c r="L72" s="3347" t="s">
        <v>406</v>
      </c>
      <c r="M72" s="3347"/>
      <c r="N72" s="1291">
        <f ca="1">D66</f>
        <v>5143</v>
      </c>
      <c r="O72" s="1843" t="str">
        <f>E66</f>
        <v>销售额×税（费）率</v>
      </c>
      <c r="P72" s="1292">
        <f>F66</f>
        <v>5.6000000000000001E-2</v>
      </c>
      <c r="Q72" s="2012"/>
      <c r="R72" s="2012"/>
      <c r="S72" s="2012"/>
      <c r="T72" s="2012"/>
      <c r="U72" s="2012"/>
      <c r="V72" s="2012"/>
    </row>
    <row r="73" spans="1:22" ht="24" customHeight="1">
      <c r="A73" s="3341" t="s">
        <v>411</v>
      </c>
      <c r="B73" s="3309"/>
      <c r="C73" s="3309"/>
      <c r="D73" s="361">
        <f>IF(H73="个人住宅",0,ROUND(D63*I73,0))</f>
        <v>0</v>
      </c>
      <c r="E73" s="17" t="s">
        <v>412</v>
      </c>
      <c r="F73" s="359" t="str">
        <f>IF(H73="正常",I73,"免征")</f>
        <v>免征</v>
      </c>
      <c r="G73" s="360"/>
      <c r="H73" s="190" t="s">
        <v>2455</v>
      </c>
      <c r="I73" s="359">
        <f>'数据-取费表'!B49</f>
        <v>5.0000000000000001E-4</v>
      </c>
      <c r="J73" s="2019"/>
      <c r="K73" s="1960">
        <v>2</v>
      </c>
      <c r="L73" s="3347" t="s">
        <v>410</v>
      </c>
      <c r="M73" s="3347"/>
      <c r="N73" s="1291">
        <f t="shared" ref="N73:P74" si="1">D73</f>
        <v>0</v>
      </c>
      <c r="O73" s="1843" t="str">
        <f t="shared" si="1"/>
        <v>销售额×税（费）率</v>
      </c>
      <c r="P73" s="1292" t="str">
        <f t="shared" si="1"/>
        <v>免征</v>
      </c>
      <c r="Q73" s="2012"/>
      <c r="R73" s="2012"/>
      <c r="S73" s="2012"/>
      <c r="T73" s="2012"/>
      <c r="U73" s="2012"/>
      <c r="V73" s="2012"/>
    </row>
    <row r="74" spans="1:22" ht="24.75">
      <c r="A74" s="3341" t="s">
        <v>415</v>
      </c>
      <c r="B74" s="3309"/>
      <c r="C74" s="3309"/>
      <c r="D74" s="361">
        <f ca="1">IF(H74="个人住宅",D75,D76)</f>
        <v>53919</v>
      </c>
      <c r="E74" s="17" t="s">
        <v>416</v>
      </c>
      <c r="F74" s="359" t="str">
        <f>IF(H74="正常",F76,"免征")</f>
        <v>——</v>
      </c>
      <c r="G74" s="982" t="s">
        <v>417</v>
      </c>
      <c r="H74" s="362" t="s">
        <v>413</v>
      </c>
      <c r="I74" s="42"/>
      <c r="J74" s="2019"/>
      <c r="K74" s="1960">
        <v>3</v>
      </c>
      <c r="L74" s="3347" t="s">
        <v>414</v>
      </c>
      <c r="M74" s="3347"/>
      <c r="N74" s="1291">
        <f t="shared" ca="1" si="1"/>
        <v>53919</v>
      </c>
      <c r="O74" s="1843" t="str">
        <f t="shared" si="1"/>
        <v>增值额×税（费）率</v>
      </c>
      <c r="P74" s="1294" t="str">
        <f t="shared" si="1"/>
        <v>——</v>
      </c>
      <c r="Q74" s="2012"/>
      <c r="R74" s="2012"/>
      <c r="S74" s="2012"/>
      <c r="T74" s="2012"/>
      <c r="U74" s="2012"/>
      <c r="V74" s="2012"/>
    </row>
    <row r="75" spans="1:22" ht="24">
      <c r="A75" s="358" t="s">
        <v>418</v>
      </c>
      <c r="B75" s="3297" t="s">
        <v>419</v>
      </c>
      <c r="C75" s="3327"/>
      <c r="D75" s="363">
        <v>0</v>
      </c>
      <c r="E75" s="41" t="s">
        <v>420</v>
      </c>
      <c r="F75" s="364"/>
      <c r="G75" s="360"/>
      <c r="H75" s="42"/>
      <c r="I75" s="42"/>
      <c r="J75" s="2019"/>
      <c r="K75" s="3004">
        <f>IF(H77="非个人房产","",4)</f>
        <v>4</v>
      </c>
      <c r="L75" s="3347" t="str">
        <f>IF(H77="非个人房产","——","个人所得税")</f>
        <v>个人所得税</v>
      </c>
      <c r="M75" s="3347"/>
      <c r="N75" s="1295">
        <f ca="1">D77</f>
        <v>964</v>
      </c>
      <c r="O75" s="1856" t="str">
        <f>E77</f>
        <v>销售额×税（费）率</v>
      </c>
      <c r="P75" s="1296">
        <f>F77</f>
        <v>0.01</v>
      </c>
      <c r="Q75" s="2012"/>
      <c r="R75" s="2012"/>
      <c r="S75" s="2012"/>
      <c r="T75" s="2012"/>
      <c r="U75" s="2012"/>
      <c r="V75" s="2012"/>
    </row>
    <row r="76" spans="1:22" ht="24.75">
      <c r="A76" s="358" t="s">
        <v>396</v>
      </c>
      <c r="B76" s="3297" t="s">
        <v>422</v>
      </c>
      <c r="C76" s="3298"/>
      <c r="D76" s="361">
        <f ca="1">IF(H76="转让取得",C99,C115)</f>
        <v>53919</v>
      </c>
      <c r="E76" s="17" t="s">
        <v>423</v>
      </c>
      <c r="F76" s="53" t="s">
        <v>21</v>
      </c>
      <c r="G76" s="360"/>
      <c r="H76" s="362" t="s">
        <v>424</v>
      </c>
      <c r="I76" s="42"/>
      <c r="J76" s="2019"/>
      <c r="K76" s="3004" t="str">
        <f>IF(项目基本情况!K6="上海银行",IF(K75="",4,K75+1),"")</f>
        <v/>
      </c>
      <c r="L76" s="3358" t="str">
        <f>IF(项目基本情况!K6="上海银行","其他处置费用","")</f>
        <v/>
      </c>
      <c r="M76" s="3359"/>
      <c r="N76" s="1291" t="str">
        <f>IF(项目基本情况!K6="上海银行",N89,"")</f>
        <v/>
      </c>
      <c r="O76" s="3360" t="str">
        <f>IF(项目基本情况!K6="上海银行","包含处置中涉及的律师、诉讼、拍卖、评估等费用","")</f>
        <v/>
      </c>
      <c r="P76" s="3361"/>
      <c r="Q76" s="2012"/>
      <c r="R76" s="2012"/>
      <c r="S76" s="2012"/>
      <c r="T76" s="2012"/>
      <c r="U76" s="2012"/>
      <c r="V76" s="2012"/>
    </row>
    <row r="77" spans="1:22" ht="26.25" thickBot="1">
      <c r="A77" s="3349" t="s">
        <v>426</v>
      </c>
      <c r="B77" s="3350"/>
      <c r="C77" s="3350"/>
      <c r="D77" s="365">
        <f ca="1">IF(H77="非个人房产","——",IF(H77="个人住宅",0,ROUND(D63*I77,0)))</f>
        <v>964</v>
      </c>
      <c r="E77" s="366" t="str">
        <f>IF(H77="非个人房产","——","销售额×税（费）率")</f>
        <v>销售额×税（费）率</v>
      </c>
      <c r="F77" s="367">
        <f>IF(H77="非个人房产","——",IF(H77="个人住宅","免征",I77))</f>
        <v>0.01</v>
      </c>
      <c r="G77" s="983" t="s">
        <v>417</v>
      </c>
      <c r="H77" s="362" t="s">
        <v>2884</v>
      </c>
      <c r="I77" s="368">
        <v>0.01</v>
      </c>
      <c r="J77" s="2019"/>
      <c r="K77" s="3348">
        <f>IF(AND(K75="",K76=""),4,IF(项目基本情况!K6="上海银行",K76+1,K75+1))</f>
        <v>5</v>
      </c>
      <c r="L77" s="3347" t="s">
        <v>2885</v>
      </c>
      <c r="M77" s="3010" t="s">
        <v>421</v>
      </c>
      <c r="N77" s="1297"/>
      <c r="O77" s="1298">
        <f ca="1">SUMIF(N72:N76,"&lt;9e307")</f>
        <v>60026</v>
      </c>
      <c r="P77" s="1299"/>
      <c r="Q77" s="3008">
        <f ca="1">O77/N69</f>
        <v>0.37351901632815609</v>
      </c>
      <c r="R77" s="2012"/>
      <c r="S77" s="2012"/>
      <c r="T77" s="2012"/>
      <c r="U77" s="2012"/>
      <c r="V77" s="2012"/>
    </row>
    <row r="78" spans="1:22" ht="12" customHeight="1">
      <c r="A78" s="1300"/>
      <c r="B78" s="310"/>
      <c r="C78" s="310"/>
      <c r="D78" s="310"/>
      <c r="E78" s="42"/>
      <c r="F78" s="42"/>
      <c r="G78" s="42"/>
      <c r="H78" s="1002"/>
      <c r="I78" s="310"/>
      <c r="J78" s="2019"/>
      <c r="K78" s="3348"/>
      <c r="L78" s="3347"/>
      <c r="M78" s="3010" t="s">
        <v>425</v>
      </c>
      <c r="N78" s="1297"/>
      <c r="O78" s="1298" t="str">
        <f ca="1">NUMBERSTRING(INT(O77*10000),2)&amp;"元整"</f>
        <v>陆亿零贰拾陆万元整</v>
      </c>
      <c r="P78" s="1299"/>
      <c r="Q78" s="2012"/>
      <c r="R78" s="2012"/>
      <c r="S78" s="2012"/>
      <c r="T78" s="2012"/>
      <c r="U78" s="2012"/>
      <c r="V78" s="2012"/>
    </row>
    <row r="79" spans="1:22" ht="13.5" thickBot="1">
      <c r="A79" s="3342" t="s">
        <v>427</v>
      </c>
      <c r="B79" s="3342"/>
      <c r="C79" s="3342"/>
      <c r="D79" s="3342"/>
      <c r="E79" s="3342"/>
      <c r="F79" s="42"/>
      <c r="G79" s="42"/>
      <c r="H79" s="1002"/>
      <c r="I79" s="310"/>
      <c r="J79" s="2019"/>
      <c r="K79" s="3368">
        <f>K77+1</f>
        <v>6</v>
      </c>
      <c r="L79" s="3347" t="s">
        <v>2886</v>
      </c>
      <c r="M79" s="3010" t="s">
        <v>421</v>
      </c>
      <c r="N79" s="1297"/>
      <c r="O79" s="1298">
        <f ca="1">N69-O77</f>
        <v>100678</v>
      </c>
      <c r="P79" s="1299"/>
      <c r="Q79" s="2012"/>
      <c r="R79" s="2012"/>
      <c r="S79" s="2012"/>
      <c r="T79" s="2012"/>
      <c r="U79" s="2012"/>
      <c r="V79" s="2012"/>
    </row>
    <row r="80" spans="1:22" ht="25.5">
      <c r="A80" s="3337" t="s">
        <v>428</v>
      </c>
      <c r="B80" s="3338"/>
      <c r="C80" s="993"/>
      <c r="D80" s="993" t="s">
        <v>429</v>
      </c>
      <c r="E80" s="369" t="s">
        <v>430</v>
      </c>
      <c r="F80" s="42"/>
      <c r="G80" s="42"/>
      <c r="H80" s="1002"/>
      <c r="I80" s="310"/>
      <c r="J80" s="2012"/>
      <c r="K80" s="3369"/>
      <c r="L80" s="3347"/>
      <c r="M80" s="3010" t="s">
        <v>425</v>
      </c>
      <c r="N80" s="1297"/>
      <c r="O80" s="1298" t="str">
        <f ca="1">NUMBERSTRING(INT(O79*10000),2)&amp;"元整"</f>
        <v>壹拾亿零陆佰柒拾捌万元整</v>
      </c>
      <c r="P80" s="1299"/>
      <c r="Q80" s="2012"/>
      <c r="R80" s="2012"/>
      <c r="S80" s="2012"/>
      <c r="T80" s="2012"/>
      <c r="U80" s="2012"/>
      <c r="V80" s="2012"/>
    </row>
    <row r="81" spans="1:26" ht="13.5" thickBot="1">
      <c r="A81" s="380" t="s">
        <v>1823</v>
      </c>
      <c r="B81" s="370" t="s">
        <v>431</v>
      </c>
      <c r="C81" s="371">
        <f ca="1">ROUND((C82+C83)/(1+'数据-取费表'!C42),0)</f>
        <v>91830</v>
      </c>
      <c r="D81" s="372"/>
      <c r="E81" s="373"/>
      <c r="F81" s="42"/>
      <c r="G81" s="42"/>
      <c r="H81" s="1002"/>
      <c r="I81" s="310"/>
      <c r="J81" s="2012"/>
      <c r="K81" s="3004">
        <f>K79+1</f>
        <v>7</v>
      </c>
      <c r="L81" s="3345" t="s">
        <v>2887</v>
      </c>
      <c r="M81" s="3346"/>
      <c r="N81" s="1301"/>
      <c r="O81" s="1302">
        <f ca="1">ROUND(O79*10000/'数据-汇总表'!E3,0)</f>
        <v>2691</v>
      </c>
      <c r="P81" s="1303"/>
      <c r="Q81" s="2012"/>
      <c r="R81" s="2012"/>
      <c r="S81" s="2012"/>
      <c r="T81" s="2012"/>
      <c r="U81" s="2012"/>
      <c r="V81" s="2012"/>
    </row>
    <row r="82" spans="1:26" ht="13.5" thickTop="1">
      <c r="A82" s="374" t="s">
        <v>1824</v>
      </c>
      <c r="B82" s="375" t="s">
        <v>432</v>
      </c>
      <c r="C82" s="376">
        <f ca="1">D63</f>
        <v>96422</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57" t="s">
        <v>2874</v>
      </c>
      <c r="L83" s="3016" t="s">
        <v>2875</v>
      </c>
      <c r="M83" s="3006">
        <f ca="1">IF(N69&gt;10000,N69*0.5%,IF(AND(N69&gt;1000,N69&lt;=10000),N69*1%,IF(AND(N69&gt;100,N69&lt;=1000),N69*3%,IF(AND(N69&gt;10,N69&lt;=100),N69*5%,N69*8%))))</f>
        <v>803.52</v>
      </c>
      <c r="N83" s="53">
        <f ca="1">ROUND(M83,1)</f>
        <v>803.5</v>
      </c>
      <c r="O83" s="3009"/>
      <c r="P83" s="2012"/>
      <c r="Q83" s="2012"/>
      <c r="R83" s="2012"/>
      <c r="S83" s="2012"/>
      <c r="T83" s="2012"/>
      <c r="U83" s="2012"/>
      <c r="V83" s="2012"/>
    </row>
    <row r="84" spans="1:26" ht="12.75">
      <c r="A84" s="380" t="s">
        <v>1826</v>
      </c>
      <c r="B84" s="381" t="s">
        <v>434</v>
      </c>
      <c r="C84" s="382">
        <v>2000</v>
      </c>
      <c r="D84" s="383" t="s">
        <v>19</v>
      </c>
      <c r="E84" s="3049" t="s">
        <v>2938</v>
      </c>
      <c r="F84" s="42"/>
      <c r="G84" s="42"/>
      <c r="H84" s="1002"/>
      <c r="I84" s="310"/>
      <c r="J84" s="2012"/>
      <c r="K84" s="3357"/>
      <c r="L84" s="3016" t="s">
        <v>2876</v>
      </c>
      <c r="M84" s="3006">
        <f ca="1">IF(N69&gt;2000,N69*0.5%,IF(AND(N69&gt;1000,N69&lt;=2000),N69*0.6%,IF(AND(N69&gt;500,N69&lt;=1000),N69*0.7%,IF(AND(N69&gt;200,N69&lt;=500),N69*0.8%,IF(AND(N69&gt;100,N69&lt;=200),N69*0.9%,IF(AND(N69&gt;50,N69&lt;=100),N69*1%,IF(AND(N69&gt;20,N69&lt;=50),N69*1.5%,IF(AND(N69&gt;10,N69&lt;=20),N69*2%,IF(AND(N69&gt;1,N69&lt;=10),N69*2.5%)))))))))</f>
        <v>803.52</v>
      </c>
      <c r="N84" s="53">
        <f t="shared" ref="N84:N85" ca="1" si="2">ROUND(M84,1)</f>
        <v>803.5</v>
      </c>
      <c r="O84" s="2012" t="s">
        <v>2877</v>
      </c>
      <c r="P84" s="2012"/>
      <c r="Q84" s="2012"/>
      <c r="R84" s="2012"/>
      <c r="S84" s="2012"/>
      <c r="T84" s="2012"/>
      <c r="U84" s="2012"/>
      <c r="V84" s="2012"/>
    </row>
    <row r="85" spans="1:26" ht="12.75">
      <c r="A85" s="380" t="s">
        <v>1827</v>
      </c>
      <c r="B85" s="381" t="s">
        <v>435</v>
      </c>
      <c r="C85" s="384">
        <f ca="1">C81-C84</f>
        <v>89830</v>
      </c>
      <c r="D85" s="377" t="s">
        <v>19</v>
      </c>
      <c r="E85" s="378"/>
      <c r="F85" s="42"/>
      <c r="G85" s="42"/>
      <c r="H85" s="1002"/>
      <c r="I85" s="310"/>
      <c r="J85" s="2012"/>
      <c r="K85" s="3357"/>
      <c r="L85" s="3016" t="s">
        <v>2878</v>
      </c>
      <c r="M85" s="3006">
        <f ca="1">IF(N69&gt;1000,N69*0.1%,IF(AND(N69&gt;500,N69&lt;=1000),N69*0.5%,IF(AND(N69&gt;50,N69&lt;=500),N69*1%,IF(AND(N69&gt;1,N69&lt;=50),N69*1.5%))))</f>
        <v>160.70400000000001</v>
      </c>
      <c r="N85" s="53">
        <f t="shared" ca="1" si="2"/>
        <v>160.69999999999999</v>
      </c>
      <c r="O85" s="2012" t="s">
        <v>2877</v>
      </c>
      <c r="P85" s="2012"/>
      <c r="Q85" s="2012"/>
      <c r="R85" s="2012"/>
      <c r="S85" s="2012"/>
      <c r="T85" s="2012"/>
      <c r="U85" s="2012"/>
      <c r="V85" s="2012"/>
    </row>
    <row r="86" spans="1:26" ht="13.5" thickBot="1">
      <c r="A86" s="385" t="s">
        <v>1828</v>
      </c>
      <c r="B86" s="386" t="s">
        <v>436</v>
      </c>
      <c r="C86" s="387">
        <f ca="1">IF(C85&lt;=0,0,ROUND(C85*D86,0))</f>
        <v>5030</v>
      </c>
      <c r="D86" s="388">
        <f>'数据-取费表'!B41</f>
        <v>5.6000000000000001E-2</v>
      </c>
      <c r="E86" s="389"/>
      <c r="F86" s="42"/>
      <c r="G86" s="42"/>
      <c r="H86" s="1002"/>
      <c r="I86" s="310"/>
      <c r="J86" s="2012"/>
      <c r="K86" s="3357"/>
      <c r="L86" s="3016" t="s">
        <v>2879</v>
      </c>
      <c r="M86" s="3006">
        <f ca="1">N69*0.5%</f>
        <v>803.52</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57"/>
      <c r="L87" s="3016" t="s">
        <v>2881</v>
      </c>
      <c r="M87" s="3006">
        <f ca="1">IF(N69&gt;=10000,(8.25+(N69-10000)*0.01%),IF(AND(N69&gt;=8000,N69&lt;10000),(7.85+(N69-8000)*0.02%),IF(AND(N69&gt;=5000,N69&lt;8000),(6.65+(N69-5000)*0.04%),IF(AND(N69&gt;=2000,N69&lt;5000),(4.25+(PN69-2000)*0.08%),IF(AND(N69&gt;=1000,N69&lt;2000),(2.75+(N69-1000)*0.15%),IF(AND(N69&gt;=100,N69&lt;1000),(0.5+(N69-100)*0.25%),IF(AND(N69&gt;0,N69&lt;100),N69*0.5%)))))))</f>
        <v>23.320399999999999</v>
      </c>
      <c r="N87" s="53">
        <f ca="1">ROUND(M87*0.9,1)</f>
        <v>21</v>
      </c>
      <c r="O87" s="3009"/>
      <c r="P87" s="310"/>
      <c r="Q87" s="2012"/>
      <c r="R87" s="2012"/>
      <c r="S87" s="2012"/>
      <c r="T87" s="2012"/>
      <c r="U87" s="2012"/>
      <c r="V87" s="2012"/>
      <c r="W87" s="291"/>
      <c r="X87" s="291"/>
      <c r="Y87" s="291"/>
      <c r="Z87" s="291"/>
    </row>
    <row r="88" spans="1:26" s="1309" customFormat="1" ht="15" thickBot="1">
      <c r="A88" s="3339" t="s">
        <v>437</v>
      </c>
      <c r="B88" s="3340"/>
      <c r="C88" s="3340"/>
      <c r="D88" s="3340"/>
      <c r="E88" s="3340"/>
      <c r="F88" s="3340"/>
      <c r="G88" s="3340"/>
      <c r="H88" s="3340"/>
      <c r="I88" s="1310"/>
      <c r="J88" s="2020"/>
      <c r="K88" s="3357"/>
      <c r="L88" s="3016" t="s">
        <v>2882</v>
      </c>
      <c r="M88" s="3006">
        <f ca="1">IF(N69&gt;10000,N69*0.5%,IF(AND(N69&gt;5000,N69&lt;=10000),N69*1%,IF(AND(N69&gt;1000,N69&lt;=5000),N69*2%,IF(AND(N69&gt;200,N69&lt;=1000),N69*3%,N69*5%))))</f>
        <v>803.52</v>
      </c>
      <c r="N88" s="53">
        <f ca="1">ROUND(M88,1)</f>
        <v>803.5</v>
      </c>
      <c r="O88" s="3009"/>
      <c r="P88" s="11"/>
      <c r="Q88" s="2017"/>
      <c r="R88" s="2017"/>
      <c r="S88" s="2017"/>
      <c r="T88" s="2017"/>
      <c r="U88" s="2017"/>
      <c r="V88" s="2017"/>
      <c r="W88" s="2021"/>
      <c r="X88" s="2021"/>
      <c r="Y88" s="2021"/>
      <c r="Z88" s="2021"/>
    </row>
    <row r="89" spans="1:26" s="1309" customFormat="1" ht="14.25">
      <c r="A89" s="3337" t="s">
        <v>428</v>
      </c>
      <c r="B89" s="3338"/>
      <c r="C89" s="993"/>
      <c r="D89" s="993" t="s">
        <v>429</v>
      </c>
      <c r="E89" s="390" t="s">
        <v>438</v>
      </c>
      <c r="F89" s="391"/>
      <c r="G89" s="391"/>
      <c r="H89" s="392"/>
      <c r="I89" s="1311"/>
      <c r="J89" s="2022"/>
      <c r="K89" s="3357"/>
      <c r="L89" s="3016" t="s">
        <v>27</v>
      </c>
      <c r="M89" s="3007"/>
      <c r="N89" s="53">
        <f ca="1">ROUND(SUM(N83:N88),0)</f>
        <v>2593</v>
      </c>
      <c r="O89" s="3017">
        <f ca="1">N89/N69</f>
        <v>1.6135254878534448E-2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91830</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3112</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00" t="s">
        <v>447</v>
      </c>
      <c r="F94" s="3299"/>
      <c r="G94" s="3299"/>
      <c r="H94" s="3336"/>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551</v>
      </c>
      <c r="D96" s="405">
        <f>'数据-取费表'!B43</f>
        <v>6.000000000000001E-3</v>
      </c>
      <c r="E96" s="3328" t="s">
        <v>2428</v>
      </c>
      <c r="F96" s="3329"/>
      <c r="G96" s="3329"/>
      <c r="H96" s="3330"/>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88718</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28.508354755784062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52142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9" t="s">
        <v>454</v>
      </c>
      <c r="B101" s="3340"/>
      <c r="C101" s="3340"/>
      <c r="D101" s="3340"/>
      <c r="E101" s="3340"/>
      <c r="F101" s="3340"/>
      <c r="G101" s="3340"/>
      <c r="H101" s="334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37" t="s">
        <v>428</v>
      </c>
      <c r="B102" s="3338"/>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91830</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1241</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31" t="s">
        <v>462</v>
      </c>
      <c r="F109" s="3329"/>
      <c r="G109" s="3329"/>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31" t="s">
        <v>464</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551</v>
      </c>
      <c r="D111" s="405">
        <f>'数据-取费表'!B43</f>
        <v>6.000000000000001E-3</v>
      </c>
      <c r="E111" s="3328" t="s">
        <v>2428</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31" t="s">
        <v>2453</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90589</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72.996776792908946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53919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F51" sqref="F5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176149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4709</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66660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4444</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82" t="s">
        <v>522</v>
      </c>
      <c r="D6" s="3383"/>
      <c r="E6" s="3382" t="s">
        <v>523</v>
      </c>
      <c r="F6" s="3383"/>
      <c r="G6" s="3382" t="s">
        <v>524</v>
      </c>
      <c r="H6" s="3383"/>
      <c r="I6" s="3382" t="s">
        <v>525</v>
      </c>
      <c r="J6" s="3383"/>
      <c r="K6" s="513" t="s">
        <v>526</v>
      </c>
      <c r="L6" s="2117"/>
      <c r="M6" s="2116"/>
      <c r="N6" s="2116"/>
      <c r="O6" s="2118"/>
      <c r="P6" s="3384" t="s">
        <v>527</v>
      </c>
      <c r="Q6" s="3385"/>
      <c r="R6" s="3390" t="s">
        <v>523</v>
      </c>
      <c r="S6" s="3391"/>
      <c r="T6" s="3390" t="s">
        <v>524</v>
      </c>
      <c r="U6" s="3391"/>
      <c r="V6" s="3377" t="s">
        <v>525</v>
      </c>
      <c r="W6" s="3377"/>
      <c r="X6" s="1552"/>
      <c r="Y6" s="3390" t="s">
        <v>527</v>
      </c>
      <c r="Z6" s="3391"/>
      <c r="AA6" s="3379" t="s">
        <v>523</v>
      </c>
      <c r="AB6" s="3380" t="s">
        <v>524</v>
      </c>
      <c r="AC6" s="3379" t="s">
        <v>525</v>
      </c>
    </row>
    <row r="7" spans="1:30" ht="20.25">
      <c r="A7" s="514"/>
      <c r="B7" s="515"/>
      <c r="C7" s="3398" t="s">
        <v>2927</v>
      </c>
      <c r="D7" s="3399"/>
      <c r="E7" s="3398" t="s">
        <v>2928</v>
      </c>
      <c r="F7" s="3399"/>
      <c r="G7" s="3398" t="s">
        <v>2929</v>
      </c>
      <c r="H7" s="3399"/>
      <c r="I7" s="3398" t="s">
        <v>2930</v>
      </c>
      <c r="J7" s="3399"/>
      <c r="K7" s="513"/>
      <c r="L7" s="2117"/>
      <c r="M7" s="2116"/>
      <c r="N7" s="2116"/>
      <c r="O7" s="2118"/>
      <c r="P7" s="3386"/>
      <c r="Q7" s="3387"/>
      <c r="R7" s="3392"/>
      <c r="S7" s="3393"/>
      <c r="T7" s="3392"/>
      <c r="U7" s="3393"/>
      <c r="V7" s="3377"/>
      <c r="W7" s="3377"/>
      <c r="X7" s="1552"/>
      <c r="Y7" s="3392"/>
      <c r="Z7" s="3393"/>
      <c r="AA7" s="3380"/>
      <c r="AB7" s="3380"/>
      <c r="AC7" s="3380"/>
    </row>
    <row r="8" spans="1:30" ht="21" thickBot="1">
      <c r="A8" s="514"/>
      <c r="B8" s="515"/>
      <c r="C8" s="3400" t="s">
        <v>2931</v>
      </c>
      <c r="D8" s="3401"/>
      <c r="E8" s="3400" t="s">
        <v>2931</v>
      </c>
      <c r="F8" s="3401"/>
      <c r="G8" s="3396" t="s">
        <v>2931</v>
      </c>
      <c r="H8" s="3397"/>
      <c r="I8" s="3396" t="s">
        <v>2931</v>
      </c>
      <c r="J8" s="3397"/>
      <c r="K8" s="513" t="s">
        <v>528</v>
      </c>
      <c r="L8" s="2117"/>
      <c r="M8" s="2116"/>
      <c r="N8" s="2116"/>
      <c r="O8" s="2118"/>
      <c r="P8" s="3388"/>
      <c r="Q8" s="3389"/>
      <c r="R8" s="3392"/>
      <c r="S8" s="3393"/>
      <c r="T8" s="3394"/>
      <c r="U8" s="3395"/>
      <c r="V8" s="3377"/>
      <c r="W8" s="3377"/>
      <c r="X8" s="1552"/>
      <c r="Y8" s="3394"/>
      <c r="Z8" s="3395"/>
      <c r="AA8" s="3381"/>
      <c r="AB8" s="3381"/>
      <c r="AC8" s="3381"/>
    </row>
    <row r="9" spans="1:30" s="1215" customFormat="1" ht="21" thickBot="1">
      <c r="A9" s="2866"/>
      <c r="B9" s="2873" t="s">
        <v>529</v>
      </c>
      <c r="C9" s="2865">
        <f>'数据-取费表'!B2</f>
        <v>43663</v>
      </c>
      <c r="D9" s="519">
        <v>100</v>
      </c>
      <c r="E9" s="520" t="str">
        <f>土地案例!I5</f>
        <v>2019-04-26</v>
      </c>
      <c r="F9" s="521">
        <f>SUMIF(72:72,YEAR(E9)&amp;"-"&amp;INT((MONTH(E9)+2)/3),73:73)</f>
        <v>99</v>
      </c>
      <c r="G9" s="522" t="str">
        <f>土地案例!I8</f>
        <v>2018-12-24</v>
      </c>
      <c r="H9" s="519">
        <f>SUMIF(72:72,YEAR(G9)&amp;"-"&amp;INT((MONTH(G9)+2)/3),73:73)</f>
        <v>97</v>
      </c>
      <c r="I9" s="522" t="str">
        <f>土地案例!I17</f>
        <v>2018-09-03</v>
      </c>
      <c r="J9" s="519">
        <f>SUMIF(72:72,YEAR(I9)&amp;"-"&amp;INT((MONTH(I9)+2)/3),73:73)</f>
        <v>96</v>
      </c>
      <c r="K9" s="523"/>
      <c r="L9" s="2119"/>
      <c r="M9" s="2116"/>
      <c r="N9" s="2116"/>
      <c r="O9" s="2120"/>
      <c r="P9" s="3407" t="s">
        <v>530</v>
      </c>
      <c r="Q9" s="3409"/>
      <c r="R9" s="1553" t="s">
        <v>8</v>
      </c>
      <c r="S9" s="1554">
        <f t="shared" ref="S9:S17" si="0">F9</f>
        <v>99</v>
      </c>
      <c r="T9" s="1553" t="s">
        <v>8</v>
      </c>
      <c r="U9" s="1554">
        <f t="shared" ref="U9:U17" si="1">H9</f>
        <v>97</v>
      </c>
      <c r="V9" s="1553" t="s">
        <v>8</v>
      </c>
      <c r="W9" s="1554">
        <f t="shared" ref="W9:W17" si="2">J9</f>
        <v>96</v>
      </c>
      <c r="X9" s="1555"/>
      <c r="Y9" s="3407" t="s">
        <v>530</v>
      </c>
      <c r="Z9" s="3408"/>
      <c r="AA9" s="1556">
        <f>D9/F9</f>
        <v>1.0101010101010102</v>
      </c>
      <c r="AB9" s="1556">
        <f>D9/H9</f>
        <v>1.0309278350515463</v>
      </c>
      <c r="AC9" s="1556">
        <f>D9/J9</f>
        <v>1.0416666666666667</v>
      </c>
    </row>
    <row r="10" spans="1:30" s="1215" customFormat="1" ht="21" thickBot="1">
      <c r="A10" s="2867"/>
      <c r="B10" s="2874" t="s">
        <v>531</v>
      </c>
      <c r="C10" s="855" t="s">
        <v>532</v>
      </c>
      <c r="D10" s="519">
        <v>100</v>
      </c>
      <c r="E10" s="524" t="s">
        <v>3030</v>
      </c>
      <c r="F10" s="521">
        <f>SUMIF(75:75,E10,76:76)-SUMIF(75:75,C10,76:76)+100</f>
        <v>100</v>
      </c>
      <c r="G10" s="524" t="s">
        <v>3030</v>
      </c>
      <c r="H10" s="519">
        <f>SUMIF(75:75,G10,76:76)-SUMIF(75:75,C10,76:76)+100</f>
        <v>100</v>
      </c>
      <c r="I10" s="524" t="s">
        <v>3030</v>
      </c>
      <c r="J10" s="519">
        <f>SUMIF(75:75,I10,76:76)-SUMIF(75:75,C10,76:76)+100</f>
        <v>100</v>
      </c>
      <c r="K10" s="523"/>
      <c r="L10" s="2119"/>
      <c r="M10" s="2116"/>
      <c r="N10" s="2116"/>
      <c r="O10" s="2120"/>
      <c r="P10" s="3407" t="s">
        <v>533</v>
      </c>
      <c r="Q10" s="3408"/>
      <c r="R10" s="1553" t="s">
        <v>8</v>
      </c>
      <c r="S10" s="1554">
        <f t="shared" si="0"/>
        <v>100</v>
      </c>
      <c r="T10" s="1553" t="s">
        <v>8</v>
      </c>
      <c r="U10" s="1554">
        <f t="shared" si="1"/>
        <v>100</v>
      </c>
      <c r="V10" s="1553" t="s">
        <v>8</v>
      </c>
      <c r="W10" s="1554">
        <f t="shared" si="2"/>
        <v>100</v>
      </c>
      <c r="X10" s="1555"/>
      <c r="Y10" s="3407" t="s">
        <v>533</v>
      </c>
      <c r="Z10" s="3408"/>
      <c r="AA10" s="1556">
        <f t="shared" ref="AA10:AA47" si="3">D10/F10</f>
        <v>1</v>
      </c>
      <c r="AB10" s="1556">
        <f t="shared" ref="AB10:AB47" si="4">D10/H10</f>
        <v>1</v>
      </c>
      <c r="AC10" s="1556">
        <f t="shared" ref="AC10:AC47" si="5">D10/J10</f>
        <v>1</v>
      </c>
    </row>
    <row r="11" spans="1:30" s="1215" customFormat="1" ht="20.25">
      <c r="A11" s="2868"/>
      <c r="B11" s="2875" t="s">
        <v>2756</v>
      </c>
      <c r="C11" s="2862"/>
      <c r="D11" s="253">
        <v>100</v>
      </c>
      <c r="E11" s="525"/>
      <c r="F11" s="253">
        <f>SUMIF(77:77,E11,78:78)-SUMIF(77:77,C11,78:78)+100</f>
        <v>100</v>
      </c>
      <c r="G11" s="525"/>
      <c r="H11" s="253">
        <f>SUMIF(77:77,G11,78:78)-SUMIF(77:77,C11,78:78)+100</f>
        <v>100</v>
      </c>
      <c r="I11" s="525"/>
      <c r="J11" s="253">
        <f>SUMIF(77:77,I11,78:78)-SUMIF(77:77,C11,78:78)+100</f>
        <v>100</v>
      </c>
      <c r="K11" s="523"/>
      <c r="L11" s="2119"/>
      <c r="M11" s="2116"/>
      <c r="N11" s="2116"/>
      <c r="O11" s="2121"/>
      <c r="P11" s="3376" t="s">
        <v>535</v>
      </c>
      <c r="Q11" s="1146" t="str">
        <f t="shared" ref="Q11:Q17" si="6">B11</f>
        <v>用途</v>
      </c>
      <c r="R11" s="1553" t="s">
        <v>8</v>
      </c>
      <c r="S11" s="1554">
        <f t="shared" si="0"/>
        <v>100</v>
      </c>
      <c r="T11" s="1553" t="s">
        <v>8</v>
      </c>
      <c r="U11" s="1554">
        <f t="shared" si="1"/>
        <v>100</v>
      </c>
      <c r="V11" s="1553" t="s">
        <v>8</v>
      </c>
      <c r="W11" s="1554">
        <f t="shared" si="2"/>
        <v>100</v>
      </c>
      <c r="X11" s="1555"/>
      <c r="Y11" s="3322"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376"/>
      <c r="Q12" s="1146" t="str">
        <f t="shared" si="6"/>
        <v>土地使用年限（年）</v>
      </c>
      <c r="R12" s="1553" t="s">
        <v>8</v>
      </c>
      <c r="S12" s="1554">
        <f t="shared" si="0"/>
        <v>100</v>
      </c>
      <c r="T12" s="1553" t="s">
        <v>8</v>
      </c>
      <c r="U12" s="1554">
        <f t="shared" si="1"/>
        <v>100</v>
      </c>
      <c r="V12" s="1553" t="s">
        <v>8</v>
      </c>
      <c r="W12" s="1554">
        <f t="shared" si="2"/>
        <v>100</v>
      </c>
      <c r="X12" s="1555"/>
      <c r="Y12" s="3322"/>
      <c r="Z12" s="1145" t="str">
        <f t="shared" si="7"/>
        <v>土地使用年限（年）</v>
      </c>
      <c r="AA12" s="1556">
        <f t="shared" si="3"/>
        <v>1</v>
      </c>
      <c r="AB12" s="1556">
        <f t="shared" si="4"/>
        <v>1</v>
      </c>
      <c r="AC12" s="1556">
        <f t="shared" si="5"/>
        <v>1</v>
      </c>
    </row>
    <row r="13" spans="1:30" ht="20.25">
      <c r="A13" s="2870"/>
      <c r="B13" s="2874" t="s">
        <v>2758</v>
      </c>
      <c r="C13" s="533">
        <f>'数据-汇总表'!I4</f>
        <v>9.93</v>
      </c>
      <c r="D13" s="254">
        <v>100</v>
      </c>
      <c r="E13" s="532">
        <f>土地案例!G5</f>
        <v>3.55</v>
      </c>
      <c r="F13" s="254">
        <f>LOOKUP(E13,82:82,83:83)-LOOKUP(C13,82:82,83:83)+100</f>
        <v>112</v>
      </c>
      <c r="G13" s="533">
        <f>土地案例!G8</f>
        <v>1.28</v>
      </c>
      <c r="H13" s="254">
        <f>LOOKUP(G13,82:82,83:83)-LOOKUP(C13,82:82,83:83)+100</f>
        <v>116</v>
      </c>
      <c r="I13" s="532">
        <f>土地案例!G17</f>
        <v>1.3</v>
      </c>
      <c r="J13" s="254">
        <f>LOOKUP(I13,82:82,83:83)-LOOKUP(C13,82:82,83:83)+100</f>
        <v>116</v>
      </c>
      <c r="K13" s="534">
        <v>2</v>
      </c>
      <c r="L13" s="2124"/>
      <c r="M13" s="2116"/>
      <c r="N13" s="2116"/>
      <c r="O13" s="2125"/>
      <c r="P13" s="3376"/>
      <c r="Q13" s="1146" t="str">
        <f t="shared" si="6"/>
        <v>容积率</v>
      </c>
      <c r="R13" s="1553" t="s">
        <v>8</v>
      </c>
      <c r="S13" s="1554">
        <f t="shared" si="0"/>
        <v>112</v>
      </c>
      <c r="T13" s="1553" t="s">
        <v>8</v>
      </c>
      <c r="U13" s="1554">
        <f t="shared" si="1"/>
        <v>116</v>
      </c>
      <c r="V13" s="1553" t="s">
        <v>8</v>
      </c>
      <c r="W13" s="1554">
        <f t="shared" si="2"/>
        <v>116</v>
      </c>
      <c r="X13" s="1555"/>
      <c r="Y13" s="3322"/>
      <c r="Z13" s="1145" t="str">
        <f t="shared" si="7"/>
        <v>容积率</v>
      </c>
      <c r="AA13" s="1556">
        <f t="shared" si="3"/>
        <v>0.8928571428571429</v>
      </c>
      <c r="AB13" s="1556">
        <f t="shared" si="4"/>
        <v>0.86206896551724133</v>
      </c>
      <c r="AC13" s="1556">
        <f t="shared" si="5"/>
        <v>0.86206896551724133</v>
      </c>
    </row>
    <row r="14" spans="1:30" s="1215" customFormat="1" ht="20.25">
      <c r="A14" s="2867"/>
      <c r="B14" s="2876" t="s">
        <v>2759</v>
      </c>
      <c r="C14" s="2863" t="s">
        <v>3158</v>
      </c>
      <c r="D14" s="537">
        <v>100</v>
      </c>
      <c r="E14" s="1369" t="s">
        <v>3160</v>
      </c>
      <c r="F14" s="254">
        <f>SUMIF(84:84,E14,85:85)-SUMIF(84:84,C14,85:85)+100</f>
        <v>103</v>
      </c>
      <c r="G14" s="3204" t="s">
        <v>3159</v>
      </c>
      <c r="H14" s="254">
        <f>SUMIF(84:84,G14,85:85)-SUMIF(84:84,C14,85:85)+100</f>
        <v>103</v>
      </c>
      <c r="I14" s="3205" t="s">
        <v>3159</v>
      </c>
      <c r="J14" s="254">
        <f>SUMIF(84:84,I14,85:85)-SUMIF(84:84,C14,85:85)+100</f>
        <v>103</v>
      </c>
      <c r="K14" s="530"/>
      <c r="L14" s="2119"/>
      <c r="M14" s="2116"/>
      <c r="N14" s="2116"/>
      <c r="O14" s="2121"/>
      <c r="P14" s="3376"/>
      <c r="Q14" s="1146" t="str">
        <f t="shared" si="6"/>
        <v>配建</v>
      </c>
      <c r="R14" s="1553" t="s">
        <v>8</v>
      </c>
      <c r="S14" s="1554">
        <f t="shared" si="0"/>
        <v>103</v>
      </c>
      <c r="T14" s="1553" t="s">
        <v>8</v>
      </c>
      <c r="U14" s="1554">
        <f t="shared" si="1"/>
        <v>103</v>
      </c>
      <c r="V14" s="1553" t="s">
        <v>8</v>
      </c>
      <c r="W14" s="1554">
        <f t="shared" si="2"/>
        <v>103</v>
      </c>
      <c r="X14" s="1555"/>
      <c r="Y14" s="3322"/>
      <c r="Z14" s="1145" t="str">
        <f t="shared" si="7"/>
        <v>配建</v>
      </c>
      <c r="AA14" s="1556">
        <f>D14/F14</f>
        <v>0.970873786407767</v>
      </c>
      <c r="AB14" s="1556">
        <f>D14/H14</f>
        <v>0.970873786407767</v>
      </c>
      <c r="AC14" s="1556">
        <f>D14/J14</f>
        <v>0.970873786407767</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6"/>
      <c r="Q15" s="1146">
        <f t="shared" si="6"/>
        <v>111</v>
      </c>
      <c r="R15" s="1553" t="s">
        <v>8</v>
      </c>
      <c r="S15" s="1554">
        <f t="shared" si="0"/>
        <v>100</v>
      </c>
      <c r="T15" s="1553" t="s">
        <v>8</v>
      </c>
      <c r="U15" s="1554">
        <f t="shared" si="1"/>
        <v>100</v>
      </c>
      <c r="V15" s="1553" t="s">
        <v>8</v>
      </c>
      <c r="W15" s="1554">
        <f t="shared" si="2"/>
        <v>100</v>
      </c>
      <c r="X15" s="1555"/>
      <c r="Y15" s="3322"/>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6"/>
      <c r="Q16" s="1146">
        <f t="shared" si="6"/>
        <v>111</v>
      </c>
      <c r="R16" s="1553" t="s">
        <v>8</v>
      </c>
      <c r="S16" s="1554">
        <f t="shared" si="0"/>
        <v>100</v>
      </c>
      <c r="T16" s="1553" t="s">
        <v>8</v>
      </c>
      <c r="U16" s="1554">
        <f t="shared" si="1"/>
        <v>100</v>
      </c>
      <c r="V16" s="1553" t="s">
        <v>8</v>
      </c>
      <c r="W16" s="1554">
        <f t="shared" si="2"/>
        <v>100</v>
      </c>
      <c r="X16" s="1555"/>
      <c r="Y16" s="3322"/>
      <c r="Z16" s="1145">
        <f t="shared" si="7"/>
        <v>111</v>
      </c>
      <c r="AA16" s="1556">
        <f>D16/F16</f>
        <v>1</v>
      </c>
      <c r="AB16" s="1556">
        <f>D16/H16</f>
        <v>1</v>
      </c>
      <c r="AC16" s="1556">
        <f>D16/J16</f>
        <v>1</v>
      </c>
    </row>
    <row r="17" spans="1:29" ht="20.25">
      <c r="A17" s="2864" t="s">
        <v>2754</v>
      </c>
      <c r="B17" s="577" t="s">
        <v>295</v>
      </c>
      <c r="C17" s="547" t="str">
        <f>估价对象房地状况!C15</f>
        <v>较好</v>
      </c>
      <c r="D17" s="550">
        <v>100</v>
      </c>
      <c r="E17" s="551"/>
      <c r="F17" s="548">
        <f>SUMIF(90:90,E18,91:91)-SUMIF(90:90,C18,91:91)+100</f>
        <v>97</v>
      </c>
      <c r="G17" s="549"/>
      <c r="H17" s="548">
        <f>SUMIF(90:90,G18,91:91)-SUMIF(90:90,C18,91:91)+100</f>
        <v>100</v>
      </c>
      <c r="I17" s="551"/>
      <c r="J17" s="548">
        <f>SUMIF(90:90,I18,91:91)-SUMIF(90:90,C18,91:91)+100</f>
        <v>97</v>
      </c>
      <c r="K17" s="534">
        <v>3</v>
      </c>
      <c r="L17" s="2126"/>
      <c r="M17" s="2116"/>
      <c r="N17" s="2116"/>
      <c r="O17" s="2125"/>
      <c r="P17" s="3410" t="s">
        <v>540</v>
      </c>
      <c r="Q17" s="1557" t="str">
        <f t="shared" si="6"/>
        <v>居住社区成熟度</v>
      </c>
      <c r="R17" s="1558" t="s">
        <v>8</v>
      </c>
      <c r="S17" s="1559">
        <f t="shared" si="0"/>
        <v>97</v>
      </c>
      <c r="T17" s="1558" t="s">
        <v>8</v>
      </c>
      <c r="U17" s="1559">
        <f t="shared" si="1"/>
        <v>100</v>
      </c>
      <c r="V17" s="1558" t="s">
        <v>8</v>
      </c>
      <c r="W17" s="1559">
        <f t="shared" si="2"/>
        <v>97</v>
      </c>
      <c r="X17" s="1552"/>
      <c r="Y17" s="3410" t="s">
        <v>540</v>
      </c>
      <c r="Z17" s="1560" t="str">
        <f t="shared" si="7"/>
        <v>居住社区成熟度</v>
      </c>
      <c r="AA17" s="1561">
        <f t="shared" si="3"/>
        <v>1.0309278350515463</v>
      </c>
      <c r="AB17" s="1561">
        <f t="shared" si="4"/>
        <v>1</v>
      </c>
      <c r="AC17" s="1561">
        <f t="shared" si="5"/>
        <v>1.0309278350515463</v>
      </c>
    </row>
    <row r="18" spans="1:29" ht="20.25">
      <c r="A18" s="531"/>
      <c r="B18" s="552"/>
      <c r="C18" s="553" t="s">
        <v>3145</v>
      </c>
      <c r="D18" s="556"/>
      <c r="E18" s="557" t="s">
        <v>3150</v>
      </c>
      <c r="F18" s="554"/>
      <c r="G18" s="555" t="s">
        <v>3145</v>
      </c>
      <c r="H18" s="558"/>
      <c r="I18" s="557" t="s">
        <v>3150</v>
      </c>
      <c r="J18" s="554"/>
      <c r="K18" s="530"/>
      <c r="L18" s="2126"/>
      <c r="M18" s="2116"/>
      <c r="N18" s="2116"/>
      <c r="O18" s="2125"/>
      <c r="P18" s="3411"/>
      <c r="Q18" s="1557"/>
      <c r="R18" s="1558"/>
      <c r="S18" s="1559"/>
      <c r="T18" s="1558"/>
      <c r="U18" s="1559"/>
      <c r="V18" s="1558"/>
      <c r="W18" s="1559"/>
      <c r="X18" s="1552"/>
      <c r="Y18" s="3411"/>
      <c r="Z18" s="1560"/>
      <c r="AA18" s="1561">
        <v>1</v>
      </c>
      <c r="AB18" s="1561">
        <v>1</v>
      </c>
      <c r="AC18" s="1561">
        <v>1</v>
      </c>
    </row>
    <row r="19" spans="1:29" ht="20.25">
      <c r="A19" s="531"/>
      <c r="B19" s="559" t="s">
        <v>541</v>
      </c>
      <c r="C19" s="560" t="str">
        <f>估价对象房地状况!C16</f>
        <v>较好</v>
      </c>
      <c r="D19" s="562">
        <v>100</v>
      </c>
      <c r="E19" s="563"/>
      <c r="F19" s="558">
        <f>SUMIF(92:92,E20,93:93)-SUMIF(92:92,C20,93:93)+100</f>
        <v>97</v>
      </c>
      <c r="G19" s="561"/>
      <c r="H19" s="564">
        <f>SUMIF(92:92,G20,93:93)-SUMIF(92:92,C20,93:93)+100</f>
        <v>97</v>
      </c>
      <c r="I19" s="563"/>
      <c r="J19" s="564">
        <f>SUMIF(92:92,I20,93:93)-SUMIF(92:92,C20,93:93)+100</f>
        <v>97</v>
      </c>
      <c r="K19" s="534">
        <v>3</v>
      </c>
      <c r="L19" s="2126"/>
      <c r="M19" s="2116"/>
      <c r="N19" s="2116"/>
      <c r="O19" s="2125"/>
      <c r="P19" s="3411"/>
      <c r="Q19" s="1557" t="str">
        <f>B19</f>
        <v>商业繁华度</v>
      </c>
      <c r="R19" s="1558" t="s">
        <v>8</v>
      </c>
      <c r="S19" s="1559">
        <f>F19</f>
        <v>97</v>
      </c>
      <c r="T19" s="1558" t="s">
        <v>8</v>
      </c>
      <c r="U19" s="1559">
        <f>H19</f>
        <v>97</v>
      </c>
      <c r="V19" s="1558" t="s">
        <v>8</v>
      </c>
      <c r="W19" s="1559">
        <f>J19</f>
        <v>97</v>
      </c>
      <c r="X19" s="1552"/>
      <c r="Y19" s="3411"/>
      <c r="Z19" s="1560" t="str">
        <f>Q19</f>
        <v>商业繁华度</v>
      </c>
      <c r="AA19" s="1561">
        <f t="shared" si="3"/>
        <v>1.0309278350515463</v>
      </c>
      <c r="AB19" s="1561">
        <f t="shared" si="4"/>
        <v>1.0309278350515463</v>
      </c>
      <c r="AC19" s="1561">
        <f t="shared" si="5"/>
        <v>1.0309278350515463</v>
      </c>
    </row>
    <row r="20" spans="1:29" ht="20.25">
      <c r="A20" s="531"/>
      <c r="B20" s="565"/>
      <c r="C20" s="566" t="s">
        <v>3145</v>
      </c>
      <c r="D20" s="562"/>
      <c r="E20" s="568" t="s">
        <v>3150</v>
      </c>
      <c r="F20" s="558"/>
      <c r="G20" s="567" t="s">
        <v>3150</v>
      </c>
      <c r="H20" s="554"/>
      <c r="I20" s="568" t="s">
        <v>3150</v>
      </c>
      <c r="J20" s="554"/>
      <c r="K20" s="530"/>
      <c r="L20" s="2126"/>
      <c r="M20" s="2116"/>
      <c r="N20" s="2116"/>
      <c r="O20" s="2125"/>
      <c r="P20" s="3411"/>
      <c r="Q20" s="1557"/>
      <c r="R20" s="1558"/>
      <c r="S20" s="1559"/>
      <c r="T20" s="1558"/>
      <c r="U20" s="1559"/>
      <c r="V20" s="1558"/>
      <c r="W20" s="1559"/>
      <c r="X20" s="1552"/>
      <c r="Y20" s="3411"/>
      <c r="Z20" s="1560"/>
      <c r="AA20" s="1561">
        <v>1</v>
      </c>
      <c r="AB20" s="1561">
        <v>1</v>
      </c>
      <c r="AC20" s="1561">
        <v>1</v>
      </c>
    </row>
    <row r="21" spans="1:29" ht="20.25">
      <c r="A21" s="531"/>
      <c r="B21" s="559" t="s">
        <v>542</v>
      </c>
      <c r="C21" s="560" t="str">
        <f>估价对象房地状况!C17</f>
        <v>较好</v>
      </c>
      <c r="D21" s="570">
        <v>100</v>
      </c>
      <c r="E21" s="571"/>
      <c r="F21" s="564">
        <f>SUMIF(94:94,E22,95:95)-SUMIF(94:94,C22,95:95)+100</f>
        <v>97</v>
      </c>
      <c r="G21" s="569"/>
      <c r="H21" s="558">
        <f>SUMIF(94:94,G22,95:95)-SUMIF(94:94,C22,95:95)+100</f>
        <v>97</v>
      </c>
      <c r="I21" s="571"/>
      <c r="J21" s="558">
        <f>SUMIF(94:94,I22,95:95)-SUMIF(94:94,C22,95:95)+100</f>
        <v>97</v>
      </c>
      <c r="K21" s="534">
        <v>3</v>
      </c>
      <c r="L21" s="2126"/>
      <c r="M21" s="2116"/>
      <c r="N21" s="2116"/>
      <c r="O21" s="2125"/>
      <c r="P21" s="3411"/>
      <c r="Q21" s="1557" t="str">
        <f>B21</f>
        <v>办公集聚程度</v>
      </c>
      <c r="R21" s="1558" t="s">
        <v>8</v>
      </c>
      <c r="S21" s="1559">
        <f>F21</f>
        <v>97</v>
      </c>
      <c r="T21" s="1558" t="s">
        <v>8</v>
      </c>
      <c r="U21" s="1559">
        <f>H21</f>
        <v>97</v>
      </c>
      <c r="V21" s="1558" t="s">
        <v>8</v>
      </c>
      <c r="W21" s="1559">
        <f>J21</f>
        <v>97</v>
      </c>
      <c r="X21" s="1552"/>
      <c r="Y21" s="3411"/>
      <c r="Z21" s="1560" t="str">
        <f>Q21</f>
        <v>办公集聚程度</v>
      </c>
      <c r="AA21" s="1561">
        <f t="shared" si="3"/>
        <v>1.0309278350515463</v>
      </c>
      <c r="AB21" s="1561">
        <f t="shared" si="4"/>
        <v>1.0309278350515463</v>
      </c>
      <c r="AC21" s="1561">
        <f t="shared" si="5"/>
        <v>1.0309278350515463</v>
      </c>
    </row>
    <row r="22" spans="1:29" ht="20.25">
      <c r="A22" s="531"/>
      <c r="B22" s="565"/>
      <c r="C22" s="553" t="s">
        <v>3145</v>
      </c>
      <c r="D22" s="556"/>
      <c r="E22" s="557" t="s">
        <v>3150</v>
      </c>
      <c r="F22" s="554"/>
      <c r="G22" s="555" t="s">
        <v>3150</v>
      </c>
      <c r="H22" s="554"/>
      <c r="I22" s="557" t="s">
        <v>3150</v>
      </c>
      <c r="J22" s="554"/>
      <c r="K22" s="530"/>
      <c r="L22" s="2126"/>
      <c r="M22" s="2116"/>
      <c r="N22" s="2116"/>
      <c r="O22" s="2125"/>
      <c r="P22" s="3411"/>
      <c r="Q22" s="1557"/>
      <c r="R22" s="1558"/>
      <c r="S22" s="1559"/>
      <c r="T22" s="1558"/>
      <c r="U22" s="1559"/>
      <c r="V22" s="1558"/>
      <c r="W22" s="1559"/>
      <c r="X22" s="1552"/>
      <c r="Y22" s="3411"/>
      <c r="Z22" s="1560"/>
      <c r="AA22" s="1561">
        <v>1</v>
      </c>
      <c r="AB22" s="1561">
        <v>1</v>
      </c>
      <c r="AC22" s="1561">
        <v>1</v>
      </c>
    </row>
    <row r="23" spans="1:29" ht="20.25">
      <c r="A23" s="531"/>
      <c r="B23" s="559" t="s">
        <v>543</v>
      </c>
      <c r="C23" s="572" t="str">
        <f>估价对象房地状况!C18</f>
        <v>较好</v>
      </c>
      <c r="D23" s="562">
        <v>100</v>
      </c>
      <c r="E23" s="563"/>
      <c r="F23" s="564">
        <f>SUMIF(96:96,E24,97:97)-SUMIF(96:96,C24,97:97)+100</f>
        <v>98</v>
      </c>
      <c r="G23" s="561"/>
      <c r="H23" s="558">
        <f>SUMIF(96:96,G24,97:97)-SUMIF(96:96,C24,97:97)+100</f>
        <v>98</v>
      </c>
      <c r="I23" s="563"/>
      <c r="J23" s="558">
        <f>SUMIF(96:96,I24,97:97)-SUMIF(96:96,C24,97:97)+100</f>
        <v>98</v>
      </c>
      <c r="K23" s="534">
        <v>2</v>
      </c>
      <c r="L23" s="2126"/>
      <c r="M23" s="2116"/>
      <c r="N23" s="2116"/>
      <c r="O23" s="2125"/>
      <c r="P23" s="3411"/>
      <c r="Q23" s="1557" t="str">
        <f>B23</f>
        <v>交通便捷度</v>
      </c>
      <c r="R23" s="1558" t="s">
        <v>8</v>
      </c>
      <c r="S23" s="1559">
        <f>F23</f>
        <v>98</v>
      </c>
      <c r="T23" s="1558" t="s">
        <v>8</v>
      </c>
      <c r="U23" s="1559">
        <f>H23</f>
        <v>98</v>
      </c>
      <c r="V23" s="1558" t="s">
        <v>8</v>
      </c>
      <c r="W23" s="1559">
        <f>J23</f>
        <v>98</v>
      </c>
      <c r="X23" s="1552"/>
      <c r="Y23" s="3411"/>
      <c r="Z23" s="1560" t="str">
        <f>Q23</f>
        <v>交通便捷度</v>
      </c>
      <c r="AA23" s="1561">
        <f t="shared" si="3"/>
        <v>1.0204081632653061</v>
      </c>
      <c r="AB23" s="1561">
        <f t="shared" si="4"/>
        <v>1.0204081632653061</v>
      </c>
      <c r="AC23" s="1561">
        <f t="shared" si="5"/>
        <v>1.0204081632653061</v>
      </c>
    </row>
    <row r="24" spans="1:29" ht="20.25">
      <c r="A24" s="531"/>
      <c r="B24" s="577"/>
      <c r="C24" s="553" t="s">
        <v>3145</v>
      </c>
      <c r="D24" s="556"/>
      <c r="E24" s="557" t="s">
        <v>3150</v>
      </c>
      <c r="F24" s="554"/>
      <c r="G24" s="555" t="s">
        <v>3150</v>
      </c>
      <c r="H24" s="554"/>
      <c r="I24" s="557" t="s">
        <v>3150</v>
      </c>
      <c r="J24" s="554"/>
      <c r="K24" s="530"/>
      <c r="L24" s="2126"/>
      <c r="M24" s="2116"/>
      <c r="N24" s="2116"/>
      <c r="O24" s="2125"/>
      <c r="P24" s="3411"/>
      <c r="Q24" s="1557"/>
      <c r="R24" s="1558"/>
      <c r="S24" s="1559"/>
      <c r="T24" s="1558"/>
      <c r="U24" s="1559"/>
      <c r="V24" s="1558"/>
      <c r="W24" s="1559"/>
      <c r="X24" s="1552"/>
      <c r="Y24" s="3411"/>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11"/>
      <c r="Q25" s="1557" t="str">
        <f t="shared" ref="Q25:Q39" si="8">B25</f>
        <v>区域土地利用方向</v>
      </c>
      <c r="R25" s="1558" t="s">
        <v>8</v>
      </c>
      <c r="S25" s="1559">
        <f>F25</f>
        <v>100</v>
      </c>
      <c r="T25" s="1558" t="s">
        <v>8</v>
      </c>
      <c r="U25" s="1559">
        <f>H25</f>
        <v>100</v>
      </c>
      <c r="V25" s="1558" t="s">
        <v>8</v>
      </c>
      <c r="W25" s="1559">
        <f>J25</f>
        <v>100</v>
      </c>
      <c r="X25" s="1552"/>
      <c r="Y25" s="3411"/>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11"/>
      <c r="Q26" s="1557"/>
      <c r="R26" s="1558"/>
      <c r="S26" s="1559"/>
      <c r="T26" s="1558"/>
      <c r="U26" s="1559"/>
      <c r="V26" s="1558"/>
      <c r="W26" s="1559"/>
      <c r="X26" s="1552"/>
      <c r="Y26" s="3411"/>
      <c r="Z26" s="1560"/>
      <c r="AA26" s="1561"/>
      <c r="AB26" s="1561"/>
      <c r="AC26" s="1561"/>
    </row>
    <row r="27" spans="1:29" ht="27">
      <c r="A27" s="514"/>
      <c r="B27" s="577" t="s">
        <v>545</v>
      </c>
      <c r="C27" s="560" t="str">
        <f>估价对象房地状况!C20</f>
        <v>较好</v>
      </c>
      <c r="D27" s="562">
        <v>100</v>
      </c>
      <c r="E27" s="563"/>
      <c r="F27" s="558">
        <f>SUMIF(100:100,E28,101:101)-SUMIF(100:100,C28,101:101)+100</f>
        <v>98</v>
      </c>
      <c r="G27" s="561"/>
      <c r="H27" s="558">
        <f>SUMIF(100:100,G28,101:101)-SUMIF(100:100,C28,101:101)+100</f>
        <v>100</v>
      </c>
      <c r="I27" s="563"/>
      <c r="J27" s="558">
        <f>SUMIF(100:100,I28,101:101)-SUMIF(100:100,C28,101:101)+100</f>
        <v>98</v>
      </c>
      <c r="K27" s="534">
        <v>2</v>
      </c>
      <c r="L27" s="2126"/>
      <c r="M27" s="2116"/>
      <c r="N27" s="2116"/>
      <c r="O27" s="2125"/>
      <c r="P27" s="3411"/>
      <c r="Q27" s="1557" t="str">
        <f t="shared" si="8"/>
        <v>自然及人文环境状况</v>
      </c>
      <c r="R27" s="1558" t="s">
        <v>8</v>
      </c>
      <c r="S27" s="1559">
        <f>F27</f>
        <v>98</v>
      </c>
      <c r="T27" s="1558" t="s">
        <v>8</v>
      </c>
      <c r="U27" s="1559">
        <f>H27</f>
        <v>100</v>
      </c>
      <c r="V27" s="1558" t="s">
        <v>8</v>
      </c>
      <c r="W27" s="1559">
        <f>J27</f>
        <v>98</v>
      </c>
      <c r="X27" s="1552"/>
      <c r="Y27" s="3411"/>
      <c r="Z27" s="1560" t="str">
        <f>Q27</f>
        <v>自然及人文环境状况</v>
      </c>
      <c r="AA27" s="1561">
        <f t="shared" si="3"/>
        <v>1.0204081632653061</v>
      </c>
      <c r="AB27" s="1561">
        <f t="shared" si="4"/>
        <v>1</v>
      </c>
      <c r="AC27" s="1561">
        <f t="shared" si="5"/>
        <v>1.0204081632653061</v>
      </c>
    </row>
    <row r="28" spans="1:29" ht="20.25">
      <c r="A28" s="514"/>
      <c r="B28" s="565"/>
      <c r="C28" s="553" t="s">
        <v>3145</v>
      </c>
      <c r="D28" s="556"/>
      <c r="E28" s="575" t="s">
        <v>3150</v>
      </c>
      <c r="F28" s="554"/>
      <c r="G28" s="553" t="s">
        <v>3145</v>
      </c>
      <c r="H28" s="554"/>
      <c r="I28" s="575" t="s">
        <v>3150</v>
      </c>
      <c r="J28" s="554"/>
      <c r="K28" s="530"/>
      <c r="L28" s="2126"/>
      <c r="M28" s="2116"/>
      <c r="N28" s="2116"/>
      <c r="O28" s="2125"/>
      <c r="P28" s="3411"/>
      <c r="Q28" s="1557"/>
      <c r="R28" s="1558"/>
      <c r="S28" s="1559"/>
      <c r="T28" s="1558"/>
      <c r="U28" s="1559"/>
      <c r="V28" s="1558"/>
      <c r="W28" s="1559"/>
      <c r="X28" s="1552"/>
      <c r="Y28" s="3411"/>
      <c r="Z28" s="1560"/>
      <c r="AA28" s="1561">
        <v>1</v>
      </c>
      <c r="AB28" s="1561">
        <v>1</v>
      </c>
      <c r="AC28" s="1561">
        <v>1</v>
      </c>
    </row>
    <row r="29" spans="1:29" s="1215" customFormat="1" ht="20.25">
      <c r="A29" s="576"/>
      <c r="B29" s="2554" t="s">
        <v>2548</v>
      </c>
      <c r="C29" s="572" t="str">
        <f>估价对象房地状况!C21</f>
        <v>较好</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19"/>
      <c r="M29" s="2116"/>
      <c r="N29" s="2116"/>
      <c r="O29" s="2121"/>
      <c r="P29" s="3411"/>
      <c r="Q29" s="1146" t="str">
        <f t="shared" si="8"/>
        <v>公共配套设施</v>
      </c>
      <c r="R29" s="1553" t="s">
        <v>8</v>
      </c>
      <c r="S29" s="1554">
        <f>F29</f>
        <v>98</v>
      </c>
      <c r="T29" s="1553" t="s">
        <v>8</v>
      </c>
      <c r="U29" s="1554">
        <f>H29</f>
        <v>98</v>
      </c>
      <c r="V29" s="1553" t="s">
        <v>8</v>
      </c>
      <c r="W29" s="1554">
        <f>J29</f>
        <v>98</v>
      </c>
      <c r="X29" s="1555"/>
      <c r="Y29" s="3411"/>
      <c r="Z29" s="1145" t="str">
        <f>Q29</f>
        <v>公共配套设施</v>
      </c>
      <c r="AA29" s="1561">
        <f>D29/F29</f>
        <v>1.0204081632653061</v>
      </c>
      <c r="AB29" s="1561">
        <f>D29/H29</f>
        <v>1.0204081632653061</v>
      </c>
      <c r="AC29" s="1561">
        <f>D29/J29</f>
        <v>1.0204081632653061</v>
      </c>
    </row>
    <row r="30" spans="1:29" s="1215" customFormat="1" ht="20.25">
      <c r="A30" s="576"/>
      <c r="B30" s="565"/>
      <c r="C30" s="578" t="s">
        <v>3145</v>
      </c>
      <c r="D30" s="556"/>
      <c r="E30" s="575" t="s">
        <v>3150</v>
      </c>
      <c r="F30" s="554"/>
      <c r="G30" s="553" t="s">
        <v>3150</v>
      </c>
      <c r="H30" s="554"/>
      <c r="I30" s="575" t="s">
        <v>3150</v>
      </c>
      <c r="J30" s="554"/>
      <c r="K30" s="530"/>
      <c r="L30" s="2119"/>
      <c r="M30" s="2116"/>
      <c r="N30" s="2116"/>
      <c r="O30" s="2121"/>
      <c r="P30" s="3411"/>
      <c r="Q30" s="1146"/>
      <c r="R30" s="1553"/>
      <c r="S30" s="1554"/>
      <c r="T30" s="1553"/>
      <c r="U30" s="1554"/>
      <c r="V30" s="1553"/>
      <c r="W30" s="1554"/>
      <c r="X30" s="1555"/>
      <c r="Y30" s="3411"/>
      <c r="Z30" s="1145"/>
      <c r="AA30" s="1561">
        <v>1</v>
      </c>
      <c r="AB30" s="1561">
        <v>1</v>
      </c>
      <c r="AC30" s="1561">
        <v>1</v>
      </c>
    </row>
    <row r="31" spans="1:29" s="1215" customFormat="1" ht="20.25">
      <c r="A31" s="576"/>
      <c r="B31" s="2554" t="s">
        <v>2549</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11"/>
      <c r="Q31" s="2541" t="str">
        <f t="shared" ref="Q31" si="9">B31</f>
        <v>基础设施水平</v>
      </c>
      <c r="R31" s="1553" t="s">
        <v>8</v>
      </c>
      <c r="S31" s="1554">
        <f>F31</f>
        <v>100</v>
      </c>
      <c r="T31" s="1553" t="s">
        <v>8</v>
      </c>
      <c r="U31" s="1554">
        <f>H31</f>
        <v>100</v>
      </c>
      <c r="V31" s="1553" t="s">
        <v>8</v>
      </c>
      <c r="W31" s="1554">
        <f>J31</f>
        <v>100</v>
      </c>
      <c r="X31" s="1555"/>
      <c r="Y31" s="3411"/>
      <c r="Z31" s="2538" t="str">
        <f>Q31</f>
        <v>基础设施水平</v>
      </c>
      <c r="AA31" s="1561">
        <f>D31/F31</f>
        <v>1</v>
      </c>
      <c r="AB31" s="1561">
        <f>D31/H31</f>
        <v>1</v>
      </c>
      <c r="AC31" s="1561">
        <f>D31/J31</f>
        <v>1</v>
      </c>
    </row>
    <row r="32" spans="1:29" s="1215" customFormat="1" ht="20.25">
      <c r="A32" s="576"/>
      <c r="B32" s="565"/>
      <c r="C32" s="578"/>
      <c r="D32" s="556"/>
      <c r="E32" s="2555"/>
      <c r="F32" s="554"/>
      <c r="G32" s="578"/>
      <c r="H32" s="554"/>
      <c r="I32" s="578"/>
      <c r="J32" s="554"/>
      <c r="K32" s="530"/>
      <c r="L32" s="2119"/>
      <c r="M32" s="2116"/>
      <c r="N32" s="2116"/>
      <c r="O32" s="2121"/>
      <c r="P32" s="3411"/>
      <c r="Q32" s="2541"/>
      <c r="R32" s="1553"/>
      <c r="S32" s="1554"/>
      <c r="T32" s="1553"/>
      <c r="U32" s="1554"/>
      <c r="V32" s="1553"/>
      <c r="W32" s="1554"/>
      <c r="X32" s="1555"/>
      <c r="Y32" s="3411"/>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1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1"/>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11"/>
      <c r="Q34" s="1557" t="str">
        <f t="shared" si="8"/>
        <v>毗邻道路的类型与等级</v>
      </c>
      <c r="R34" s="1558" t="s">
        <v>8</v>
      </c>
      <c r="S34" s="1559">
        <f t="shared" si="10"/>
        <v>100</v>
      </c>
      <c r="T34" s="1558" t="s">
        <v>8</v>
      </c>
      <c r="U34" s="1559">
        <f t="shared" si="11"/>
        <v>100</v>
      </c>
      <c r="V34" s="1558" t="s">
        <v>8</v>
      </c>
      <c r="W34" s="1559">
        <f t="shared" si="12"/>
        <v>100</v>
      </c>
      <c r="X34" s="1552"/>
      <c r="Y34" s="3411"/>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411"/>
      <c r="Q35" s="1557"/>
      <c r="R35" s="1558"/>
      <c r="S35" s="1559"/>
      <c r="T35" s="1558"/>
      <c r="U35" s="1559"/>
      <c r="V35" s="1558"/>
      <c r="W35" s="1559"/>
      <c r="X35" s="1552"/>
      <c r="Y35" s="3411"/>
      <c r="Z35" s="1560"/>
      <c r="AA35" s="1561">
        <v>1</v>
      </c>
      <c r="AB35" s="1561">
        <v>1</v>
      </c>
      <c r="AC35" s="1561">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11"/>
      <c r="Q36" s="1557" t="str">
        <f t="shared" si="8"/>
        <v>土地级别</v>
      </c>
      <c r="R36" s="1558" t="s">
        <v>8</v>
      </c>
      <c r="S36" s="1559">
        <f t="shared" si="10"/>
        <v>100</v>
      </c>
      <c r="T36" s="1558" t="s">
        <v>8</v>
      </c>
      <c r="U36" s="1559">
        <f t="shared" si="11"/>
        <v>100</v>
      </c>
      <c r="V36" s="1558" t="s">
        <v>8</v>
      </c>
      <c r="W36" s="1559">
        <f t="shared" si="12"/>
        <v>100</v>
      </c>
      <c r="X36" s="1552"/>
      <c r="Y36" s="3411"/>
      <c r="Z36" s="1560" t="str">
        <f t="shared" si="13"/>
        <v>土地级别</v>
      </c>
      <c r="AA36" s="1561">
        <f t="shared" si="3"/>
        <v>1</v>
      </c>
      <c r="AB36" s="1561">
        <f t="shared" si="4"/>
        <v>1</v>
      </c>
      <c r="AC36" s="1561">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11"/>
      <c r="Q37" s="1557">
        <f t="shared" si="8"/>
        <v>111</v>
      </c>
      <c r="R37" s="1558" t="s">
        <v>8</v>
      </c>
      <c r="S37" s="1559">
        <f t="shared" si="10"/>
        <v>100</v>
      </c>
      <c r="T37" s="1558" t="s">
        <v>8</v>
      </c>
      <c r="U37" s="1559">
        <f t="shared" si="11"/>
        <v>100</v>
      </c>
      <c r="V37" s="1558" t="s">
        <v>8</v>
      </c>
      <c r="W37" s="1559">
        <f t="shared" si="12"/>
        <v>100</v>
      </c>
      <c r="X37" s="1552"/>
      <c r="Y37" s="3411"/>
      <c r="Z37" s="1560">
        <f t="shared" si="13"/>
        <v>111</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12" t="s">
        <v>550</v>
      </c>
      <c r="Q38" s="1557">
        <f t="shared" si="8"/>
        <v>111</v>
      </c>
      <c r="R38" s="1558" t="s">
        <v>8</v>
      </c>
      <c r="S38" s="1559">
        <f t="shared" si="10"/>
        <v>100</v>
      </c>
      <c r="T38" s="1558" t="s">
        <v>8</v>
      </c>
      <c r="U38" s="1559">
        <f t="shared" si="11"/>
        <v>100</v>
      </c>
      <c r="V38" s="1558" t="s">
        <v>8</v>
      </c>
      <c r="W38" s="1559">
        <f t="shared" si="12"/>
        <v>100</v>
      </c>
      <c r="X38" s="1552"/>
      <c r="Y38" s="3413" t="s">
        <v>550</v>
      </c>
      <c r="Z38" s="1560">
        <f t="shared" si="13"/>
        <v>111</v>
      </c>
      <c r="AA38" s="1561">
        <f t="shared" si="3"/>
        <v>1</v>
      </c>
      <c r="AB38" s="1561">
        <f t="shared" si="4"/>
        <v>1</v>
      </c>
      <c r="AC38" s="1561">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13"/>
      <c r="Q39" s="1557">
        <f t="shared" si="8"/>
        <v>111</v>
      </c>
      <c r="R39" s="1562" t="s">
        <v>8</v>
      </c>
      <c r="S39" s="1563">
        <f t="shared" si="10"/>
        <v>100</v>
      </c>
      <c r="T39" s="1562" t="s">
        <v>8</v>
      </c>
      <c r="U39" s="1563">
        <f t="shared" si="11"/>
        <v>100</v>
      </c>
      <c r="V39" s="1562" t="s">
        <v>8</v>
      </c>
      <c r="W39" s="1563">
        <f t="shared" si="12"/>
        <v>100</v>
      </c>
      <c r="X39" s="1564"/>
      <c r="Y39" s="3413"/>
      <c r="Z39" s="1565">
        <f t="shared" si="13"/>
        <v>111</v>
      </c>
      <c r="AA39" s="1561">
        <f t="shared" si="3"/>
        <v>1</v>
      </c>
      <c r="AB39" s="1561">
        <f t="shared" si="4"/>
        <v>1</v>
      </c>
      <c r="AC39" s="1561">
        <f t="shared" si="5"/>
        <v>1</v>
      </c>
    </row>
    <row r="40" spans="1:29" ht="20.25">
      <c r="A40" s="2861" t="s">
        <v>2755</v>
      </c>
      <c r="B40" s="594" t="s">
        <v>552</v>
      </c>
      <c r="C40" s="595">
        <f>'数据-基础表'!A3</f>
        <v>26425</v>
      </c>
      <c r="D40" s="596">
        <v>100</v>
      </c>
      <c r="E40" s="595">
        <f>土地案例!$D$5</f>
        <v>17216</v>
      </c>
      <c r="F40" s="596">
        <f>LOOKUP(E40,119:119,120:120)-LOOKUP(C40,119:119,120:120)+100</f>
        <v>98</v>
      </c>
      <c r="G40" s="595">
        <f>土地案例!$D$8</f>
        <v>29750.799999999999</v>
      </c>
      <c r="H40" s="596">
        <f>LOOKUP(G40,119:119,120:120)-LOOKUP(C40,119:119,120:120)+100</f>
        <v>100</v>
      </c>
      <c r="I40" s="597">
        <f>土地案例!$D$17</f>
        <v>60011.9</v>
      </c>
      <c r="J40" s="596">
        <f>LOOKUP(I40,119:119,120:120)-LOOKUP(C40,119:119,120:120)+100</f>
        <v>104</v>
      </c>
      <c r="K40" s="580"/>
      <c r="L40" s="2126"/>
      <c r="M40" s="2116"/>
      <c r="N40" s="2116"/>
      <c r="O40" s="2125"/>
      <c r="P40" s="3413"/>
      <c r="Q40" s="1557" t="str">
        <f>B40</f>
        <v>宗地面积</v>
      </c>
      <c r="R40" s="1558" t="s">
        <v>8</v>
      </c>
      <c r="S40" s="1559">
        <f t="shared" si="10"/>
        <v>98</v>
      </c>
      <c r="T40" s="1558" t="s">
        <v>8</v>
      </c>
      <c r="U40" s="1559">
        <f t="shared" si="11"/>
        <v>100</v>
      </c>
      <c r="V40" s="1558" t="s">
        <v>8</v>
      </c>
      <c r="W40" s="1559">
        <f t="shared" si="12"/>
        <v>104</v>
      </c>
      <c r="X40" s="1552"/>
      <c r="Y40" s="3413"/>
      <c r="Z40" s="1560" t="str">
        <f t="shared" si="13"/>
        <v>宗地面积</v>
      </c>
      <c r="AA40" s="1561">
        <f t="shared" si="3"/>
        <v>1.0204081632653061</v>
      </c>
      <c r="AB40" s="1561">
        <f t="shared" si="4"/>
        <v>1</v>
      </c>
      <c r="AC40" s="1561">
        <f t="shared" si="5"/>
        <v>0.96153846153846156</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13"/>
      <c r="Q41" s="1557" t="str">
        <f t="shared" ref="Q41:Q47" si="14">B41</f>
        <v>宗地形状</v>
      </c>
      <c r="R41" s="1558" t="s">
        <v>8</v>
      </c>
      <c r="S41" s="1559">
        <f t="shared" si="10"/>
        <v>100</v>
      </c>
      <c r="T41" s="1558" t="s">
        <v>8</v>
      </c>
      <c r="U41" s="1559">
        <f t="shared" si="11"/>
        <v>100</v>
      </c>
      <c r="V41" s="1558" t="s">
        <v>8</v>
      </c>
      <c r="W41" s="1559">
        <f t="shared" si="12"/>
        <v>100</v>
      </c>
      <c r="X41" s="1552"/>
      <c r="Y41" s="3413"/>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13"/>
      <c r="Q42" s="1557" t="str">
        <f t="shared" si="14"/>
        <v>临街宽度及深度</v>
      </c>
      <c r="R42" s="1558" t="s">
        <v>8</v>
      </c>
      <c r="S42" s="1559">
        <f t="shared" si="10"/>
        <v>100</v>
      </c>
      <c r="T42" s="1558" t="s">
        <v>8</v>
      </c>
      <c r="U42" s="1559">
        <f t="shared" si="11"/>
        <v>100</v>
      </c>
      <c r="V42" s="1558" t="s">
        <v>8</v>
      </c>
      <c r="W42" s="1559">
        <f t="shared" si="12"/>
        <v>100</v>
      </c>
      <c r="X42" s="1552"/>
      <c r="Y42" s="3413"/>
      <c r="Z42" s="1560" t="str">
        <f t="shared" si="13"/>
        <v>临街宽度及深度</v>
      </c>
      <c r="AA42" s="1561">
        <f t="shared" si="3"/>
        <v>1</v>
      </c>
      <c r="AB42" s="1561">
        <f t="shared" si="4"/>
        <v>1</v>
      </c>
      <c r="AC42" s="1561">
        <f t="shared" si="5"/>
        <v>1</v>
      </c>
    </row>
    <row r="43" spans="1:29" s="1215" customFormat="1" ht="20.25">
      <c r="A43" s="599"/>
      <c r="B43" s="1879"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413"/>
      <c r="Q43" s="1557" t="str">
        <f t="shared" si="14"/>
        <v>宗地开发程度</v>
      </c>
      <c r="R43" s="1553" t="s">
        <v>8</v>
      </c>
      <c r="S43" s="1554">
        <f t="shared" si="10"/>
        <v>100</v>
      </c>
      <c r="T43" s="1553" t="s">
        <v>8</v>
      </c>
      <c r="U43" s="1554">
        <f t="shared" si="11"/>
        <v>100</v>
      </c>
      <c r="V43" s="1553" t="s">
        <v>8</v>
      </c>
      <c r="W43" s="1554">
        <f t="shared" si="12"/>
        <v>100</v>
      </c>
      <c r="X43" s="1555"/>
      <c r="Y43" s="3413"/>
      <c r="Z43" s="1145" t="str">
        <f t="shared" si="13"/>
        <v>宗地开发程度</v>
      </c>
      <c r="AA43" s="1556">
        <f t="shared" si="3"/>
        <v>1</v>
      </c>
      <c r="AB43" s="1556">
        <f t="shared" si="4"/>
        <v>1</v>
      </c>
      <c r="AC43" s="1556">
        <f t="shared" si="5"/>
        <v>1</v>
      </c>
    </row>
    <row r="44" spans="1:29" ht="2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13" t="s">
        <v>550</v>
      </c>
      <c r="Q44" s="1557" t="str">
        <f t="shared" si="14"/>
        <v>工程地质条件</v>
      </c>
      <c r="R44" s="1558" t="s">
        <v>8</v>
      </c>
      <c r="S44" s="1559">
        <f t="shared" si="10"/>
        <v>100</v>
      </c>
      <c r="T44" s="1558" t="s">
        <v>8</v>
      </c>
      <c r="U44" s="1559">
        <f t="shared" si="11"/>
        <v>100</v>
      </c>
      <c r="V44" s="1558" t="s">
        <v>8</v>
      </c>
      <c r="W44" s="1559">
        <f t="shared" si="12"/>
        <v>100</v>
      </c>
      <c r="X44" s="1552"/>
      <c r="Y44" s="3413" t="s">
        <v>550</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13"/>
      <c r="Q45" s="1557">
        <f t="shared" si="14"/>
        <v>111</v>
      </c>
      <c r="R45" s="1558" t="s">
        <v>8</v>
      </c>
      <c r="S45" s="1559">
        <f t="shared" si="10"/>
        <v>100</v>
      </c>
      <c r="T45" s="1558" t="s">
        <v>8</v>
      </c>
      <c r="U45" s="1559">
        <f t="shared" si="11"/>
        <v>100</v>
      </c>
      <c r="V45" s="1558" t="s">
        <v>8</v>
      </c>
      <c r="W45" s="1559">
        <f t="shared" si="12"/>
        <v>100</v>
      </c>
      <c r="X45" s="1552"/>
      <c r="Y45" s="3413"/>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13"/>
      <c r="Q46" s="1557">
        <f t="shared" si="14"/>
        <v>111</v>
      </c>
      <c r="R46" s="1558" t="s">
        <v>8</v>
      </c>
      <c r="S46" s="1559">
        <f t="shared" si="10"/>
        <v>100</v>
      </c>
      <c r="T46" s="1558" t="s">
        <v>8</v>
      </c>
      <c r="U46" s="1559">
        <f t="shared" si="11"/>
        <v>100</v>
      </c>
      <c r="V46" s="1558" t="s">
        <v>8</v>
      </c>
      <c r="W46" s="1559">
        <f t="shared" si="12"/>
        <v>100</v>
      </c>
      <c r="X46" s="1552"/>
      <c r="Y46" s="3413"/>
      <c r="Z46" s="1560">
        <f t="shared" si="13"/>
        <v>111</v>
      </c>
      <c r="AA46" s="1561">
        <f t="shared" si="3"/>
        <v>1</v>
      </c>
      <c r="AB46" s="1561">
        <f t="shared" si="4"/>
        <v>1</v>
      </c>
      <c r="AC46" s="1561">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13"/>
      <c r="Q47" s="1557">
        <f t="shared" si="14"/>
        <v>111</v>
      </c>
      <c r="R47" s="1562" t="s">
        <v>8</v>
      </c>
      <c r="S47" s="1563">
        <f t="shared" si="10"/>
        <v>100</v>
      </c>
      <c r="T47" s="1562" t="s">
        <v>8</v>
      </c>
      <c r="U47" s="1563">
        <f t="shared" si="11"/>
        <v>100</v>
      </c>
      <c r="V47" s="1562" t="s">
        <v>8</v>
      </c>
      <c r="W47" s="1563">
        <f t="shared" si="12"/>
        <v>100</v>
      </c>
      <c r="X47" s="1564"/>
      <c r="Y47" s="3413"/>
      <c r="Z47" s="1565">
        <f t="shared" si="13"/>
        <v>111</v>
      </c>
      <c r="AA47" s="1561">
        <f t="shared" si="3"/>
        <v>1</v>
      </c>
      <c r="AB47" s="1561">
        <f t="shared" si="4"/>
        <v>1</v>
      </c>
      <c r="AC47" s="1561">
        <f t="shared" si="5"/>
        <v>1</v>
      </c>
    </row>
    <row r="48" spans="1:29" ht="20.25">
      <c r="A48" s="606" t="s">
        <v>556</v>
      </c>
      <c r="B48" s="607" t="s">
        <v>3152</v>
      </c>
      <c r="C48" s="608" t="s">
        <v>1</v>
      </c>
      <c r="D48" s="609"/>
      <c r="E48" s="610">
        <f>土地案例!$L$5</f>
        <v>7690</v>
      </c>
      <c r="F48" s="611"/>
      <c r="G48" s="612">
        <f>土地案例!L8</f>
        <v>6938</v>
      </c>
      <c r="H48" s="613"/>
      <c r="I48" s="610">
        <f>土地案例!L17</f>
        <v>5883</v>
      </c>
      <c r="J48" s="613"/>
      <c r="K48" s="1335"/>
      <c r="L48" s="2128"/>
      <c r="M48" s="2116"/>
      <c r="N48" s="2116"/>
      <c r="O48" s="2129"/>
      <c r="P48" s="3376" t="str">
        <f>A48</f>
        <v>成交单价</v>
      </c>
      <c r="Q48" s="3376"/>
      <c r="R48" s="3377">
        <f>E48</f>
        <v>7690</v>
      </c>
      <c r="S48" s="3377"/>
      <c r="T48" s="3377">
        <f>G48</f>
        <v>6938</v>
      </c>
      <c r="U48" s="3377"/>
      <c r="V48" s="3377">
        <f>I48</f>
        <v>5883</v>
      </c>
      <c r="W48" s="3377"/>
      <c r="X48" s="1544"/>
      <c r="Y48" s="1566"/>
      <c r="Z48" s="1544"/>
      <c r="AA48" s="1544"/>
      <c r="AB48" s="1544"/>
      <c r="AC48" s="1544"/>
    </row>
    <row r="49" spans="1:29" ht="21" thickBot="1">
      <c r="A49" s="614" t="s">
        <v>2693</v>
      </c>
      <c r="B49" s="615"/>
      <c r="C49" s="616">
        <f>R50</f>
        <v>6788</v>
      </c>
      <c r="D49" s="617"/>
      <c r="E49" s="616">
        <f>R49</f>
        <v>7999</v>
      </c>
      <c r="F49" s="618"/>
      <c r="G49" s="619">
        <f>T49</f>
        <v>6625</v>
      </c>
      <c r="H49" s="617"/>
      <c r="I49" s="616">
        <f>V49</f>
        <v>5741</v>
      </c>
      <c r="J49" s="617"/>
      <c r="K49" s="1336"/>
      <c r="L49" s="2128"/>
      <c r="M49" s="2116"/>
      <c r="N49" s="2116"/>
      <c r="O49" s="2129"/>
      <c r="P49" s="3376" t="str">
        <f>A49</f>
        <v>比较价格（元/平方米）</v>
      </c>
      <c r="Q49" s="3376"/>
      <c r="R49" s="3378">
        <f>ROUND(PRODUCT(R48,AA9:AA47),0)</f>
        <v>7999</v>
      </c>
      <c r="S49" s="3378"/>
      <c r="T49" s="3378">
        <f>ROUND(PRODUCT(T48,AB9:AB47),0)</f>
        <v>6625</v>
      </c>
      <c r="U49" s="3378"/>
      <c r="V49" s="3378">
        <f>ROUND(PRODUCT(V48,AC9:AC47),0)</f>
        <v>5741</v>
      </c>
      <c r="W49" s="3378"/>
      <c r="X49" s="1544"/>
      <c r="Y49" s="1544"/>
      <c r="Z49" s="1544"/>
      <c r="AA49" s="1544"/>
      <c r="AB49" s="1544"/>
      <c r="AC49" s="1544"/>
    </row>
    <row r="50" spans="1:29" ht="21" thickBot="1">
      <c r="A50" s="620" t="s">
        <v>2933</v>
      </c>
      <c r="B50" s="621"/>
      <c r="C50" s="622">
        <f>R50</f>
        <v>6788</v>
      </c>
      <c r="D50" s="622"/>
      <c r="E50" s="622"/>
      <c r="F50" s="622"/>
      <c r="G50" s="622"/>
      <c r="H50" s="622"/>
      <c r="I50" s="622"/>
      <c r="J50" s="622"/>
      <c r="K50" s="1337"/>
      <c r="L50" s="2128"/>
      <c r="M50" s="2116"/>
      <c r="N50" s="2116"/>
      <c r="O50" s="2129"/>
      <c r="P50" s="3373" t="str">
        <f>A50</f>
        <v>估价对象XX用房的比较价格（楼面单价，元/平方米）</v>
      </c>
      <c r="Q50" s="3374"/>
      <c r="R50" s="3375">
        <f>ROUND(AVERAGE(R49:V49),0)</f>
        <v>6788</v>
      </c>
      <c r="S50" s="3375"/>
      <c r="T50" s="3375"/>
      <c r="U50" s="3375"/>
      <c r="V50" s="3375"/>
      <c r="W50" s="337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4.018205461638491E-2</v>
      </c>
      <c r="F53" s="626" t="str">
        <f>IF(OR(E53&gt;=0.3,E53&lt;=-0.3),"超过30%","")</f>
        <v/>
      </c>
      <c r="G53" s="625">
        <f>IF(G48&lt;G49,G49/G48-1,G48/G49-1)</f>
        <v>4.7245283018867879E-2</v>
      </c>
      <c r="H53" s="626" t="str">
        <f>IF(OR(G53&gt;=0.3,G53&lt;=-0.3),"超过30%","")</f>
        <v/>
      </c>
      <c r="I53" s="625">
        <f>IF(I48&lt;I49,I49/I48-1,I48/I49-1)</f>
        <v>2.4734366835046151E-2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0.20739622641509436</v>
      </c>
      <c r="F54" s="626" t="str">
        <f>IF(OR(E54&gt;=0.2,E54&lt;=-0.2),"超过20%","")</f>
        <v>超过20%</v>
      </c>
      <c r="G54" s="625">
        <f>IF(G49&lt;I49,I49/G49-1,G49/I49-1)</f>
        <v>0.15398014283225914</v>
      </c>
      <c r="H54" s="626" t="str">
        <f>IF(OR(G54&gt;=0.2,G54&lt;=-0.2),"超过20%","")</f>
        <v/>
      </c>
      <c r="I54" s="625">
        <f>IF(I49&lt;E49,E49/I49-1,I49/E49-1)</f>
        <v>0.39331126981362141</v>
      </c>
      <c r="J54" s="626" t="str">
        <f>IF(OR(I54&gt;=0.2,I54&lt;=-0.2),"超过20%","")</f>
        <v>超过20%</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0.1083885846065149</v>
      </c>
      <c r="F55" s="626" t="str">
        <f>IF(OR(E55&gt;=0.3,E55&lt;=-0.3),"超过30%","")</f>
        <v/>
      </c>
      <c r="G55" s="625">
        <f>IF(G48&lt;I48,I48/G48-1,G48/I48-1)</f>
        <v>0.17933027366989629</v>
      </c>
      <c r="H55" s="626" t="str">
        <f>IF(OR(G55&gt;=0.3,G55&lt;=-0.3),"超过30%","")</f>
        <v/>
      </c>
      <c r="I55" s="625">
        <f>IF(I48&lt;E48,E48/I48-1,I48/E48-1)</f>
        <v>0.30715621281659011</v>
      </c>
      <c r="J55" s="626" t="str">
        <f>IF(OR(I55&gt;=0.3,I55&lt;=-0.3),"超过30%","")</f>
        <v>超过30%</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3157</v>
      </c>
      <c r="D57" s="2211" t="s">
        <v>2293</v>
      </c>
      <c r="E57" s="630" t="s">
        <v>562</v>
      </c>
      <c r="F57" s="631" t="s">
        <v>563</v>
      </c>
      <c r="G57" s="3402" t="s">
        <v>2281</v>
      </c>
      <c r="H57" s="3403"/>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6788</v>
      </c>
      <c r="C58" s="634">
        <v>1</v>
      </c>
      <c r="D58" s="2212">
        <v>1</v>
      </c>
      <c r="E58" s="634">
        <f>'数据-汇总表'!E8+'数据-汇总表'!E9</f>
        <v>259501</v>
      </c>
      <c r="F58" s="635">
        <f t="shared" ref="F58:F67" si="15">ROUND(B58*E58/10000,0)</f>
        <v>176149</v>
      </c>
      <c r="G58" s="3404"/>
      <c r="H58" s="340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406"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40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40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40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77927</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337428</v>
      </c>
      <c r="F68" s="643">
        <f>IF(B48="楼面地价",SUM(F58:F67),ROUND(C50*E68/10000,0))</f>
        <v>176149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北京市平均增长率2.04%</v>
      </c>
      <c r="C73" s="893">
        <v>100</v>
      </c>
      <c r="D73" s="3184">
        <f>C73-$C$74</f>
        <v>99</v>
      </c>
      <c r="E73" s="3184">
        <f>D73-$C$74</f>
        <v>98</v>
      </c>
      <c r="F73" s="3184">
        <f t="shared" ref="F73:N73" si="20">E73-$C$74</f>
        <v>97</v>
      </c>
      <c r="G73" s="3184">
        <f t="shared" si="20"/>
        <v>96</v>
      </c>
      <c r="H73" s="3184">
        <f t="shared" si="20"/>
        <v>95</v>
      </c>
      <c r="I73" s="3184">
        <f t="shared" si="20"/>
        <v>94</v>
      </c>
      <c r="J73" s="3184">
        <f t="shared" si="20"/>
        <v>93</v>
      </c>
      <c r="K73" s="3184">
        <f t="shared" si="20"/>
        <v>92</v>
      </c>
      <c r="L73" s="3184">
        <f t="shared" si="20"/>
        <v>91</v>
      </c>
      <c r="M73" s="3184">
        <f t="shared" si="20"/>
        <v>90</v>
      </c>
      <c r="N73" s="3184">
        <f t="shared" si="20"/>
        <v>89</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5" t="s">
        <v>3031</v>
      </c>
      <c r="D77" s="3185" t="s">
        <v>3032</v>
      </c>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v>6</v>
      </c>
      <c r="J82" s="540">
        <v>7</v>
      </c>
      <c r="K82" s="683">
        <v>8</v>
      </c>
      <c r="L82" s="684">
        <v>9</v>
      </c>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3203" t="s">
        <v>3158</v>
      </c>
      <c r="D84" s="1370" t="s">
        <v>3159</v>
      </c>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v>100</v>
      </c>
      <c r="D85" s="670">
        <v>103</v>
      </c>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hidden="1"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hidden="1"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hidden="1"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hidden="1"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97</v>
      </c>
      <c r="E91" s="678">
        <f>D91-$K17</f>
        <v>94</v>
      </c>
      <c r="F91" s="678">
        <f>E91-$K17</f>
        <v>91</v>
      </c>
      <c r="G91" s="678">
        <f>F91-$K17</f>
        <v>88</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97</v>
      </c>
      <c r="E93" s="678">
        <f>D93-$K19</f>
        <v>94</v>
      </c>
      <c r="F93" s="678">
        <f>E93-$K19</f>
        <v>91</v>
      </c>
      <c r="G93" s="678">
        <f>F93-$K19</f>
        <v>88</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97</v>
      </c>
      <c r="E95" s="678">
        <f>D95-$K21</f>
        <v>94</v>
      </c>
      <c r="F95" s="678">
        <f>E95-$K21</f>
        <v>91</v>
      </c>
      <c r="G95" s="678">
        <f>F95-$K21</f>
        <v>88</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hidden="1"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hidden="1"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hidden="1"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hidden="1"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hidden="1"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hidden="1"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9.25" thickTop="1">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v>100000</v>
      </c>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102</v>
      </c>
      <c r="E120" s="725">
        <v>104</v>
      </c>
      <c r="F120" s="725">
        <v>106</v>
      </c>
      <c r="G120" s="725">
        <v>108</v>
      </c>
      <c r="H120" s="725">
        <v>110</v>
      </c>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8" t="str">
        <f>项目基本情况!B1</f>
        <v>出让国有建设用地使用权抵押价格预评估</v>
      </c>
      <c r="C37" s="3208"/>
      <c r="D37" s="3208"/>
      <c r="E37" s="3208"/>
      <c r="F37" s="3208"/>
      <c r="G37" s="3208"/>
      <c r="H37" s="3208"/>
      <c r="I37" s="3208"/>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D33" sqref="D33"/>
    </sheetView>
  </sheetViews>
  <sheetFormatPr defaultRowHeight="13.5"/>
  <cols>
    <col min="1" max="1" width="54.125" style="2893" customWidth="1"/>
    <col min="2" max="2" width="6.25" style="2893" customWidth="1"/>
    <col min="3" max="5" width="13.875" style="2893" customWidth="1"/>
    <col min="6" max="7" width="10.875" style="2893" customWidth="1"/>
    <col min="8" max="8" width="7.875" style="2893" customWidth="1"/>
    <col min="9" max="9" width="10.875" style="2893" customWidth="1"/>
    <col min="10" max="11" width="10.625" style="2893" customWidth="1"/>
    <col min="12" max="12" width="14.375" style="2893" customWidth="1"/>
    <col min="13" max="13" width="8.625" style="2893" customWidth="1"/>
    <col min="14" max="14" width="6.25" style="2893" customWidth="1"/>
    <col min="15" max="15" width="24.5" style="2893" customWidth="1"/>
    <col min="16" max="16" width="7.875" style="2893" customWidth="1"/>
    <col min="17" max="256" width="9" style="2893"/>
    <col min="257" max="257" width="54.125" style="2893" customWidth="1"/>
    <col min="258" max="258" width="6.25" style="2893" customWidth="1"/>
    <col min="259" max="261" width="13.875" style="2893" customWidth="1"/>
    <col min="262" max="263" width="10.875" style="2893" customWidth="1"/>
    <col min="264" max="264" width="7.875" style="2893" customWidth="1"/>
    <col min="265" max="265" width="9" style="2893" customWidth="1"/>
    <col min="266" max="267" width="10.625" style="2893" customWidth="1"/>
    <col min="268" max="268" width="14.375" style="2893" customWidth="1"/>
    <col min="269" max="269" width="8.625" style="2893" customWidth="1"/>
    <col min="270" max="270" width="6.25" style="2893" customWidth="1"/>
    <col min="271" max="271" width="24.5" style="2893" customWidth="1"/>
    <col min="272" max="272" width="7.875" style="2893" customWidth="1"/>
    <col min="273" max="512" width="9" style="2893"/>
    <col min="513" max="513" width="54.125" style="2893" customWidth="1"/>
    <col min="514" max="514" width="6.25" style="2893" customWidth="1"/>
    <col min="515" max="517" width="13.875" style="2893" customWidth="1"/>
    <col min="518" max="519" width="10.875" style="2893" customWidth="1"/>
    <col min="520" max="520" width="7.875" style="2893" customWidth="1"/>
    <col min="521" max="521" width="9" style="2893" customWidth="1"/>
    <col min="522" max="523" width="10.625" style="2893" customWidth="1"/>
    <col min="524" max="524" width="14.375" style="2893" customWidth="1"/>
    <col min="525" max="525" width="8.625" style="2893" customWidth="1"/>
    <col min="526" max="526" width="6.25" style="2893" customWidth="1"/>
    <col min="527" max="527" width="24.5" style="2893" customWidth="1"/>
    <col min="528" max="528" width="7.875" style="2893" customWidth="1"/>
    <col min="529" max="768" width="9" style="2893"/>
    <col min="769" max="769" width="54.125" style="2893" customWidth="1"/>
    <col min="770" max="770" width="6.25" style="2893" customWidth="1"/>
    <col min="771" max="773" width="13.875" style="2893" customWidth="1"/>
    <col min="774" max="775" width="10.875" style="2893" customWidth="1"/>
    <col min="776" max="776" width="7.875" style="2893" customWidth="1"/>
    <col min="777" max="777" width="9" style="2893" customWidth="1"/>
    <col min="778" max="779" width="10.625" style="2893" customWidth="1"/>
    <col min="780" max="780" width="14.375" style="2893" customWidth="1"/>
    <col min="781" max="781" width="8.625" style="2893" customWidth="1"/>
    <col min="782" max="782" width="6.25" style="2893" customWidth="1"/>
    <col min="783" max="783" width="24.5" style="2893" customWidth="1"/>
    <col min="784" max="784" width="7.875" style="2893" customWidth="1"/>
    <col min="785" max="1024" width="9" style="2893"/>
    <col min="1025" max="1025" width="54.125" style="2893" customWidth="1"/>
    <col min="1026" max="1026" width="6.25" style="2893" customWidth="1"/>
    <col min="1027" max="1029" width="13.875" style="2893" customWidth="1"/>
    <col min="1030" max="1031" width="10.875" style="2893" customWidth="1"/>
    <col min="1032" max="1032" width="7.875" style="2893" customWidth="1"/>
    <col min="1033" max="1033" width="9" style="2893" customWidth="1"/>
    <col min="1034" max="1035" width="10.625" style="2893" customWidth="1"/>
    <col min="1036" max="1036" width="14.375" style="2893" customWidth="1"/>
    <col min="1037" max="1037" width="8.625" style="2893" customWidth="1"/>
    <col min="1038" max="1038" width="6.25" style="2893" customWidth="1"/>
    <col min="1039" max="1039" width="24.5" style="2893" customWidth="1"/>
    <col min="1040" max="1040" width="7.875" style="2893" customWidth="1"/>
    <col min="1041" max="1280" width="9" style="2893"/>
    <col min="1281" max="1281" width="54.125" style="2893" customWidth="1"/>
    <col min="1282" max="1282" width="6.25" style="2893" customWidth="1"/>
    <col min="1283" max="1285" width="13.875" style="2893" customWidth="1"/>
    <col min="1286" max="1287" width="10.875" style="2893" customWidth="1"/>
    <col min="1288" max="1288" width="7.875" style="2893" customWidth="1"/>
    <col min="1289" max="1289" width="9" style="2893" customWidth="1"/>
    <col min="1290" max="1291" width="10.625" style="2893" customWidth="1"/>
    <col min="1292" max="1292" width="14.375" style="2893" customWidth="1"/>
    <col min="1293" max="1293" width="8.625" style="2893" customWidth="1"/>
    <col min="1294" max="1294" width="6.25" style="2893" customWidth="1"/>
    <col min="1295" max="1295" width="24.5" style="2893" customWidth="1"/>
    <col min="1296" max="1296" width="7.875" style="2893" customWidth="1"/>
    <col min="1297" max="1536" width="9" style="2893"/>
    <col min="1537" max="1537" width="54.125" style="2893" customWidth="1"/>
    <col min="1538" max="1538" width="6.25" style="2893" customWidth="1"/>
    <col min="1539" max="1541" width="13.875" style="2893" customWidth="1"/>
    <col min="1542" max="1543" width="10.875" style="2893" customWidth="1"/>
    <col min="1544" max="1544" width="7.875" style="2893" customWidth="1"/>
    <col min="1545" max="1545" width="9" style="2893" customWidth="1"/>
    <col min="1546" max="1547" width="10.625" style="2893" customWidth="1"/>
    <col min="1548" max="1548" width="14.375" style="2893" customWidth="1"/>
    <col min="1549" max="1549" width="8.625" style="2893" customWidth="1"/>
    <col min="1550" max="1550" width="6.25" style="2893" customWidth="1"/>
    <col min="1551" max="1551" width="24.5" style="2893" customWidth="1"/>
    <col min="1552" max="1552" width="7.875" style="2893" customWidth="1"/>
    <col min="1553" max="1792" width="9" style="2893"/>
    <col min="1793" max="1793" width="54.125" style="2893" customWidth="1"/>
    <col min="1794" max="1794" width="6.25" style="2893" customWidth="1"/>
    <col min="1795" max="1797" width="13.875" style="2893" customWidth="1"/>
    <col min="1798" max="1799" width="10.875" style="2893" customWidth="1"/>
    <col min="1800" max="1800" width="7.875" style="2893" customWidth="1"/>
    <col min="1801" max="1801" width="9" style="2893" customWidth="1"/>
    <col min="1802" max="1803" width="10.625" style="2893" customWidth="1"/>
    <col min="1804" max="1804" width="14.375" style="2893" customWidth="1"/>
    <col min="1805" max="1805" width="8.625" style="2893" customWidth="1"/>
    <col min="1806" max="1806" width="6.25" style="2893" customWidth="1"/>
    <col min="1807" max="1807" width="24.5" style="2893" customWidth="1"/>
    <col min="1808" max="1808" width="7.875" style="2893" customWidth="1"/>
    <col min="1809" max="2048" width="9" style="2893"/>
    <col min="2049" max="2049" width="54.125" style="2893" customWidth="1"/>
    <col min="2050" max="2050" width="6.25" style="2893" customWidth="1"/>
    <col min="2051" max="2053" width="13.875" style="2893" customWidth="1"/>
    <col min="2054" max="2055" width="10.875" style="2893" customWidth="1"/>
    <col min="2056" max="2056" width="7.875" style="2893" customWidth="1"/>
    <col min="2057" max="2057" width="9" style="2893" customWidth="1"/>
    <col min="2058" max="2059" width="10.625" style="2893" customWidth="1"/>
    <col min="2060" max="2060" width="14.375" style="2893" customWidth="1"/>
    <col min="2061" max="2061" width="8.625" style="2893" customWidth="1"/>
    <col min="2062" max="2062" width="6.25" style="2893" customWidth="1"/>
    <col min="2063" max="2063" width="24.5" style="2893" customWidth="1"/>
    <col min="2064" max="2064" width="7.875" style="2893" customWidth="1"/>
    <col min="2065" max="2304" width="9" style="2893"/>
    <col min="2305" max="2305" width="54.125" style="2893" customWidth="1"/>
    <col min="2306" max="2306" width="6.25" style="2893" customWidth="1"/>
    <col min="2307" max="2309" width="13.875" style="2893" customWidth="1"/>
    <col min="2310" max="2311" width="10.875" style="2893" customWidth="1"/>
    <col min="2312" max="2312" width="7.875" style="2893" customWidth="1"/>
    <col min="2313" max="2313" width="9" style="2893" customWidth="1"/>
    <col min="2314" max="2315" width="10.625" style="2893" customWidth="1"/>
    <col min="2316" max="2316" width="14.375" style="2893" customWidth="1"/>
    <col min="2317" max="2317" width="8.625" style="2893" customWidth="1"/>
    <col min="2318" max="2318" width="6.25" style="2893" customWidth="1"/>
    <col min="2319" max="2319" width="24.5" style="2893" customWidth="1"/>
    <col min="2320" max="2320" width="7.875" style="2893" customWidth="1"/>
    <col min="2321" max="2560" width="9" style="2893"/>
    <col min="2561" max="2561" width="54.125" style="2893" customWidth="1"/>
    <col min="2562" max="2562" width="6.25" style="2893" customWidth="1"/>
    <col min="2563" max="2565" width="13.875" style="2893" customWidth="1"/>
    <col min="2566" max="2567" width="10.875" style="2893" customWidth="1"/>
    <col min="2568" max="2568" width="7.875" style="2893" customWidth="1"/>
    <col min="2569" max="2569" width="9" style="2893" customWidth="1"/>
    <col min="2570" max="2571" width="10.625" style="2893" customWidth="1"/>
    <col min="2572" max="2572" width="14.375" style="2893" customWidth="1"/>
    <col min="2573" max="2573" width="8.625" style="2893" customWidth="1"/>
    <col min="2574" max="2574" width="6.25" style="2893" customWidth="1"/>
    <col min="2575" max="2575" width="24.5" style="2893" customWidth="1"/>
    <col min="2576" max="2576" width="7.875" style="2893" customWidth="1"/>
    <col min="2577" max="2816" width="9" style="2893"/>
    <col min="2817" max="2817" width="54.125" style="2893" customWidth="1"/>
    <col min="2818" max="2818" width="6.25" style="2893" customWidth="1"/>
    <col min="2819" max="2821" width="13.875" style="2893" customWidth="1"/>
    <col min="2822" max="2823" width="10.875" style="2893" customWidth="1"/>
    <col min="2824" max="2824" width="7.875" style="2893" customWidth="1"/>
    <col min="2825" max="2825" width="9" style="2893" customWidth="1"/>
    <col min="2826" max="2827" width="10.625" style="2893" customWidth="1"/>
    <col min="2828" max="2828" width="14.375" style="2893" customWidth="1"/>
    <col min="2829" max="2829" width="8.625" style="2893" customWidth="1"/>
    <col min="2830" max="2830" width="6.25" style="2893" customWidth="1"/>
    <col min="2831" max="2831" width="24.5" style="2893" customWidth="1"/>
    <col min="2832" max="2832" width="7.875" style="2893" customWidth="1"/>
    <col min="2833" max="3072" width="9" style="2893"/>
    <col min="3073" max="3073" width="54.125" style="2893" customWidth="1"/>
    <col min="3074" max="3074" width="6.25" style="2893" customWidth="1"/>
    <col min="3075" max="3077" width="13.875" style="2893" customWidth="1"/>
    <col min="3078" max="3079" width="10.875" style="2893" customWidth="1"/>
    <col min="3080" max="3080" width="7.875" style="2893" customWidth="1"/>
    <col min="3081" max="3081" width="9" style="2893" customWidth="1"/>
    <col min="3082" max="3083" width="10.625" style="2893" customWidth="1"/>
    <col min="3084" max="3084" width="14.375" style="2893" customWidth="1"/>
    <col min="3085" max="3085" width="8.625" style="2893" customWidth="1"/>
    <col min="3086" max="3086" width="6.25" style="2893" customWidth="1"/>
    <col min="3087" max="3087" width="24.5" style="2893" customWidth="1"/>
    <col min="3088" max="3088" width="7.875" style="2893" customWidth="1"/>
    <col min="3089" max="3328" width="9" style="2893"/>
    <col min="3329" max="3329" width="54.125" style="2893" customWidth="1"/>
    <col min="3330" max="3330" width="6.25" style="2893" customWidth="1"/>
    <col min="3331" max="3333" width="13.875" style="2893" customWidth="1"/>
    <col min="3334" max="3335" width="10.875" style="2893" customWidth="1"/>
    <col min="3336" max="3336" width="7.875" style="2893" customWidth="1"/>
    <col min="3337" max="3337" width="9" style="2893" customWidth="1"/>
    <col min="3338" max="3339" width="10.625" style="2893" customWidth="1"/>
    <col min="3340" max="3340" width="14.375" style="2893" customWidth="1"/>
    <col min="3341" max="3341" width="8.625" style="2893" customWidth="1"/>
    <col min="3342" max="3342" width="6.25" style="2893" customWidth="1"/>
    <col min="3343" max="3343" width="24.5" style="2893" customWidth="1"/>
    <col min="3344" max="3344" width="7.875" style="2893" customWidth="1"/>
    <col min="3345" max="3584" width="9" style="2893"/>
    <col min="3585" max="3585" width="54.125" style="2893" customWidth="1"/>
    <col min="3586" max="3586" width="6.25" style="2893" customWidth="1"/>
    <col min="3587" max="3589" width="13.875" style="2893" customWidth="1"/>
    <col min="3590" max="3591" width="10.875" style="2893" customWidth="1"/>
    <col min="3592" max="3592" width="7.875" style="2893" customWidth="1"/>
    <col min="3593" max="3593" width="9" style="2893" customWidth="1"/>
    <col min="3594" max="3595" width="10.625" style="2893" customWidth="1"/>
    <col min="3596" max="3596" width="14.375" style="2893" customWidth="1"/>
    <col min="3597" max="3597" width="8.625" style="2893" customWidth="1"/>
    <col min="3598" max="3598" width="6.25" style="2893" customWidth="1"/>
    <col min="3599" max="3599" width="24.5" style="2893" customWidth="1"/>
    <col min="3600" max="3600" width="7.875" style="2893" customWidth="1"/>
    <col min="3601" max="3840" width="9" style="2893"/>
    <col min="3841" max="3841" width="54.125" style="2893" customWidth="1"/>
    <col min="3842" max="3842" width="6.25" style="2893" customWidth="1"/>
    <col min="3843" max="3845" width="13.875" style="2893" customWidth="1"/>
    <col min="3846" max="3847" width="10.875" style="2893" customWidth="1"/>
    <col min="3848" max="3848" width="7.875" style="2893" customWidth="1"/>
    <col min="3849" max="3849" width="9" style="2893" customWidth="1"/>
    <col min="3850" max="3851" width="10.625" style="2893" customWidth="1"/>
    <col min="3852" max="3852" width="14.375" style="2893" customWidth="1"/>
    <col min="3853" max="3853" width="8.625" style="2893" customWidth="1"/>
    <col min="3854" max="3854" width="6.25" style="2893" customWidth="1"/>
    <col min="3855" max="3855" width="24.5" style="2893" customWidth="1"/>
    <col min="3856" max="3856" width="7.875" style="2893" customWidth="1"/>
    <col min="3857" max="4096" width="9" style="2893"/>
    <col min="4097" max="4097" width="54.125" style="2893" customWidth="1"/>
    <col min="4098" max="4098" width="6.25" style="2893" customWidth="1"/>
    <col min="4099" max="4101" width="13.875" style="2893" customWidth="1"/>
    <col min="4102" max="4103" width="10.875" style="2893" customWidth="1"/>
    <col min="4104" max="4104" width="7.875" style="2893" customWidth="1"/>
    <col min="4105" max="4105" width="9" style="2893" customWidth="1"/>
    <col min="4106" max="4107" width="10.625" style="2893" customWidth="1"/>
    <col min="4108" max="4108" width="14.375" style="2893" customWidth="1"/>
    <col min="4109" max="4109" width="8.625" style="2893" customWidth="1"/>
    <col min="4110" max="4110" width="6.25" style="2893" customWidth="1"/>
    <col min="4111" max="4111" width="24.5" style="2893" customWidth="1"/>
    <col min="4112" max="4112" width="7.875" style="2893" customWidth="1"/>
    <col min="4113" max="4352" width="9" style="2893"/>
    <col min="4353" max="4353" width="54.125" style="2893" customWidth="1"/>
    <col min="4354" max="4354" width="6.25" style="2893" customWidth="1"/>
    <col min="4355" max="4357" width="13.875" style="2893" customWidth="1"/>
    <col min="4358" max="4359" width="10.875" style="2893" customWidth="1"/>
    <col min="4360" max="4360" width="7.875" style="2893" customWidth="1"/>
    <col min="4361" max="4361" width="9" style="2893" customWidth="1"/>
    <col min="4362" max="4363" width="10.625" style="2893" customWidth="1"/>
    <col min="4364" max="4364" width="14.375" style="2893" customWidth="1"/>
    <col min="4365" max="4365" width="8.625" style="2893" customWidth="1"/>
    <col min="4366" max="4366" width="6.25" style="2893" customWidth="1"/>
    <col min="4367" max="4367" width="24.5" style="2893" customWidth="1"/>
    <col min="4368" max="4368" width="7.875" style="2893" customWidth="1"/>
    <col min="4369" max="4608" width="9" style="2893"/>
    <col min="4609" max="4609" width="54.125" style="2893" customWidth="1"/>
    <col min="4610" max="4610" width="6.25" style="2893" customWidth="1"/>
    <col min="4611" max="4613" width="13.875" style="2893" customWidth="1"/>
    <col min="4614" max="4615" width="10.875" style="2893" customWidth="1"/>
    <col min="4616" max="4616" width="7.875" style="2893" customWidth="1"/>
    <col min="4617" max="4617" width="9" style="2893" customWidth="1"/>
    <col min="4618" max="4619" width="10.625" style="2893" customWidth="1"/>
    <col min="4620" max="4620" width="14.375" style="2893" customWidth="1"/>
    <col min="4621" max="4621" width="8.625" style="2893" customWidth="1"/>
    <col min="4622" max="4622" width="6.25" style="2893" customWidth="1"/>
    <col min="4623" max="4623" width="24.5" style="2893" customWidth="1"/>
    <col min="4624" max="4624" width="7.875" style="2893" customWidth="1"/>
    <col min="4625" max="4864" width="9" style="2893"/>
    <col min="4865" max="4865" width="54.125" style="2893" customWidth="1"/>
    <col min="4866" max="4866" width="6.25" style="2893" customWidth="1"/>
    <col min="4867" max="4869" width="13.875" style="2893" customWidth="1"/>
    <col min="4870" max="4871" width="10.875" style="2893" customWidth="1"/>
    <col min="4872" max="4872" width="7.875" style="2893" customWidth="1"/>
    <col min="4873" max="4873" width="9" style="2893" customWidth="1"/>
    <col min="4874" max="4875" width="10.625" style="2893" customWidth="1"/>
    <col min="4876" max="4876" width="14.375" style="2893" customWidth="1"/>
    <col min="4877" max="4877" width="8.625" style="2893" customWidth="1"/>
    <col min="4878" max="4878" width="6.25" style="2893" customWidth="1"/>
    <col min="4879" max="4879" width="24.5" style="2893" customWidth="1"/>
    <col min="4880" max="4880" width="7.875" style="2893" customWidth="1"/>
    <col min="4881" max="5120" width="9" style="2893"/>
    <col min="5121" max="5121" width="54.125" style="2893" customWidth="1"/>
    <col min="5122" max="5122" width="6.25" style="2893" customWidth="1"/>
    <col min="5123" max="5125" width="13.875" style="2893" customWidth="1"/>
    <col min="5126" max="5127" width="10.875" style="2893" customWidth="1"/>
    <col min="5128" max="5128" width="7.875" style="2893" customWidth="1"/>
    <col min="5129" max="5129" width="9" style="2893" customWidth="1"/>
    <col min="5130" max="5131" width="10.625" style="2893" customWidth="1"/>
    <col min="5132" max="5132" width="14.375" style="2893" customWidth="1"/>
    <col min="5133" max="5133" width="8.625" style="2893" customWidth="1"/>
    <col min="5134" max="5134" width="6.25" style="2893" customWidth="1"/>
    <col min="5135" max="5135" width="24.5" style="2893" customWidth="1"/>
    <col min="5136" max="5136" width="7.875" style="2893" customWidth="1"/>
    <col min="5137" max="5376" width="9" style="2893"/>
    <col min="5377" max="5377" width="54.125" style="2893" customWidth="1"/>
    <col min="5378" max="5378" width="6.25" style="2893" customWidth="1"/>
    <col min="5379" max="5381" width="13.875" style="2893" customWidth="1"/>
    <col min="5382" max="5383" width="10.875" style="2893" customWidth="1"/>
    <col min="5384" max="5384" width="7.875" style="2893" customWidth="1"/>
    <col min="5385" max="5385" width="9" style="2893" customWidth="1"/>
    <col min="5386" max="5387" width="10.625" style="2893" customWidth="1"/>
    <col min="5388" max="5388" width="14.375" style="2893" customWidth="1"/>
    <col min="5389" max="5389" width="8.625" style="2893" customWidth="1"/>
    <col min="5390" max="5390" width="6.25" style="2893" customWidth="1"/>
    <col min="5391" max="5391" width="24.5" style="2893" customWidth="1"/>
    <col min="5392" max="5392" width="7.875" style="2893" customWidth="1"/>
    <col min="5393" max="5632" width="9" style="2893"/>
    <col min="5633" max="5633" width="54.125" style="2893" customWidth="1"/>
    <col min="5634" max="5634" width="6.25" style="2893" customWidth="1"/>
    <col min="5635" max="5637" width="13.875" style="2893" customWidth="1"/>
    <col min="5638" max="5639" width="10.875" style="2893" customWidth="1"/>
    <col min="5640" max="5640" width="7.875" style="2893" customWidth="1"/>
    <col min="5641" max="5641" width="9" style="2893" customWidth="1"/>
    <col min="5642" max="5643" width="10.625" style="2893" customWidth="1"/>
    <col min="5644" max="5644" width="14.375" style="2893" customWidth="1"/>
    <col min="5645" max="5645" width="8.625" style="2893" customWidth="1"/>
    <col min="5646" max="5646" width="6.25" style="2893" customWidth="1"/>
    <col min="5647" max="5647" width="24.5" style="2893" customWidth="1"/>
    <col min="5648" max="5648" width="7.875" style="2893" customWidth="1"/>
    <col min="5649" max="5888" width="9" style="2893"/>
    <col min="5889" max="5889" width="54.125" style="2893" customWidth="1"/>
    <col min="5890" max="5890" width="6.25" style="2893" customWidth="1"/>
    <col min="5891" max="5893" width="13.875" style="2893" customWidth="1"/>
    <col min="5894" max="5895" width="10.875" style="2893" customWidth="1"/>
    <col min="5896" max="5896" width="7.875" style="2893" customWidth="1"/>
    <col min="5897" max="5897" width="9" style="2893" customWidth="1"/>
    <col min="5898" max="5899" width="10.625" style="2893" customWidth="1"/>
    <col min="5900" max="5900" width="14.375" style="2893" customWidth="1"/>
    <col min="5901" max="5901" width="8.625" style="2893" customWidth="1"/>
    <col min="5902" max="5902" width="6.25" style="2893" customWidth="1"/>
    <col min="5903" max="5903" width="24.5" style="2893" customWidth="1"/>
    <col min="5904" max="5904" width="7.875" style="2893" customWidth="1"/>
    <col min="5905" max="6144" width="9" style="2893"/>
    <col min="6145" max="6145" width="54.125" style="2893" customWidth="1"/>
    <col min="6146" max="6146" width="6.25" style="2893" customWidth="1"/>
    <col min="6147" max="6149" width="13.875" style="2893" customWidth="1"/>
    <col min="6150" max="6151" width="10.875" style="2893" customWidth="1"/>
    <col min="6152" max="6152" width="7.875" style="2893" customWidth="1"/>
    <col min="6153" max="6153" width="9" style="2893" customWidth="1"/>
    <col min="6154" max="6155" width="10.625" style="2893" customWidth="1"/>
    <col min="6156" max="6156" width="14.375" style="2893" customWidth="1"/>
    <col min="6157" max="6157" width="8.625" style="2893" customWidth="1"/>
    <col min="6158" max="6158" width="6.25" style="2893" customWidth="1"/>
    <col min="6159" max="6159" width="24.5" style="2893" customWidth="1"/>
    <col min="6160" max="6160" width="7.875" style="2893" customWidth="1"/>
    <col min="6161" max="6400" width="9" style="2893"/>
    <col min="6401" max="6401" width="54.125" style="2893" customWidth="1"/>
    <col min="6402" max="6402" width="6.25" style="2893" customWidth="1"/>
    <col min="6403" max="6405" width="13.875" style="2893" customWidth="1"/>
    <col min="6406" max="6407" width="10.875" style="2893" customWidth="1"/>
    <col min="6408" max="6408" width="7.875" style="2893" customWidth="1"/>
    <col min="6409" max="6409" width="9" style="2893" customWidth="1"/>
    <col min="6410" max="6411" width="10.625" style="2893" customWidth="1"/>
    <col min="6412" max="6412" width="14.375" style="2893" customWidth="1"/>
    <col min="6413" max="6413" width="8.625" style="2893" customWidth="1"/>
    <col min="6414" max="6414" width="6.25" style="2893" customWidth="1"/>
    <col min="6415" max="6415" width="24.5" style="2893" customWidth="1"/>
    <col min="6416" max="6416" width="7.875" style="2893" customWidth="1"/>
    <col min="6417" max="6656" width="9" style="2893"/>
    <col min="6657" max="6657" width="54.125" style="2893" customWidth="1"/>
    <col min="6658" max="6658" width="6.25" style="2893" customWidth="1"/>
    <col min="6659" max="6661" width="13.875" style="2893" customWidth="1"/>
    <col min="6662" max="6663" width="10.875" style="2893" customWidth="1"/>
    <col min="6664" max="6664" width="7.875" style="2893" customWidth="1"/>
    <col min="6665" max="6665" width="9" style="2893" customWidth="1"/>
    <col min="6666" max="6667" width="10.625" style="2893" customWidth="1"/>
    <col min="6668" max="6668" width="14.375" style="2893" customWidth="1"/>
    <col min="6669" max="6669" width="8.625" style="2893" customWidth="1"/>
    <col min="6670" max="6670" width="6.25" style="2893" customWidth="1"/>
    <col min="6671" max="6671" width="24.5" style="2893" customWidth="1"/>
    <col min="6672" max="6672" width="7.875" style="2893" customWidth="1"/>
    <col min="6673" max="6912" width="9" style="2893"/>
    <col min="6913" max="6913" width="54.125" style="2893" customWidth="1"/>
    <col min="6914" max="6914" width="6.25" style="2893" customWidth="1"/>
    <col min="6915" max="6917" width="13.875" style="2893" customWidth="1"/>
    <col min="6918" max="6919" width="10.875" style="2893" customWidth="1"/>
    <col min="6920" max="6920" width="7.875" style="2893" customWidth="1"/>
    <col min="6921" max="6921" width="9" style="2893" customWidth="1"/>
    <col min="6922" max="6923" width="10.625" style="2893" customWidth="1"/>
    <col min="6924" max="6924" width="14.375" style="2893" customWidth="1"/>
    <col min="6925" max="6925" width="8.625" style="2893" customWidth="1"/>
    <col min="6926" max="6926" width="6.25" style="2893" customWidth="1"/>
    <col min="6927" max="6927" width="24.5" style="2893" customWidth="1"/>
    <col min="6928" max="6928" width="7.875" style="2893" customWidth="1"/>
    <col min="6929" max="7168" width="9" style="2893"/>
    <col min="7169" max="7169" width="54.125" style="2893" customWidth="1"/>
    <col min="7170" max="7170" width="6.25" style="2893" customWidth="1"/>
    <col min="7171" max="7173" width="13.875" style="2893" customWidth="1"/>
    <col min="7174" max="7175" width="10.875" style="2893" customWidth="1"/>
    <col min="7176" max="7176" width="7.875" style="2893" customWidth="1"/>
    <col min="7177" max="7177" width="9" style="2893" customWidth="1"/>
    <col min="7178" max="7179" width="10.625" style="2893" customWidth="1"/>
    <col min="7180" max="7180" width="14.375" style="2893" customWidth="1"/>
    <col min="7181" max="7181" width="8.625" style="2893" customWidth="1"/>
    <col min="7182" max="7182" width="6.25" style="2893" customWidth="1"/>
    <col min="7183" max="7183" width="24.5" style="2893" customWidth="1"/>
    <col min="7184" max="7184" width="7.875" style="2893" customWidth="1"/>
    <col min="7185" max="7424" width="9" style="2893"/>
    <col min="7425" max="7425" width="54.125" style="2893" customWidth="1"/>
    <col min="7426" max="7426" width="6.25" style="2893" customWidth="1"/>
    <col min="7427" max="7429" width="13.875" style="2893" customWidth="1"/>
    <col min="7430" max="7431" width="10.875" style="2893" customWidth="1"/>
    <col min="7432" max="7432" width="7.875" style="2893" customWidth="1"/>
    <col min="7433" max="7433" width="9" style="2893" customWidth="1"/>
    <col min="7434" max="7435" width="10.625" style="2893" customWidth="1"/>
    <col min="7436" max="7436" width="14.375" style="2893" customWidth="1"/>
    <col min="7437" max="7437" width="8.625" style="2893" customWidth="1"/>
    <col min="7438" max="7438" width="6.25" style="2893" customWidth="1"/>
    <col min="7439" max="7439" width="24.5" style="2893" customWidth="1"/>
    <col min="7440" max="7440" width="7.875" style="2893" customWidth="1"/>
    <col min="7441" max="7680" width="9" style="2893"/>
    <col min="7681" max="7681" width="54.125" style="2893" customWidth="1"/>
    <col min="7682" max="7682" width="6.25" style="2893" customWidth="1"/>
    <col min="7683" max="7685" width="13.875" style="2893" customWidth="1"/>
    <col min="7686" max="7687" width="10.875" style="2893" customWidth="1"/>
    <col min="7688" max="7688" width="7.875" style="2893" customWidth="1"/>
    <col min="7689" max="7689" width="9" style="2893" customWidth="1"/>
    <col min="7690" max="7691" width="10.625" style="2893" customWidth="1"/>
    <col min="7692" max="7692" width="14.375" style="2893" customWidth="1"/>
    <col min="7693" max="7693" width="8.625" style="2893" customWidth="1"/>
    <col min="7694" max="7694" width="6.25" style="2893" customWidth="1"/>
    <col min="7695" max="7695" width="24.5" style="2893" customWidth="1"/>
    <col min="7696" max="7696" width="7.875" style="2893" customWidth="1"/>
    <col min="7697" max="7936" width="9" style="2893"/>
    <col min="7937" max="7937" width="54.125" style="2893" customWidth="1"/>
    <col min="7938" max="7938" width="6.25" style="2893" customWidth="1"/>
    <col min="7939" max="7941" width="13.875" style="2893" customWidth="1"/>
    <col min="7942" max="7943" width="10.875" style="2893" customWidth="1"/>
    <col min="7944" max="7944" width="7.875" style="2893" customWidth="1"/>
    <col min="7945" max="7945" width="9" style="2893" customWidth="1"/>
    <col min="7946" max="7947" width="10.625" style="2893" customWidth="1"/>
    <col min="7948" max="7948" width="14.375" style="2893" customWidth="1"/>
    <col min="7949" max="7949" width="8.625" style="2893" customWidth="1"/>
    <col min="7950" max="7950" width="6.25" style="2893" customWidth="1"/>
    <col min="7951" max="7951" width="24.5" style="2893" customWidth="1"/>
    <col min="7952" max="7952" width="7.875" style="2893" customWidth="1"/>
    <col min="7953" max="8192" width="9" style="2893"/>
    <col min="8193" max="8193" width="54.125" style="2893" customWidth="1"/>
    <col min="8194" max="8194" width="6.25" style="2893" customWidth="1"/>
    <col min="8195" max="8197" width="13.875" style="2893" customWidth="1"/>
    <col min="8198" max="8199" width="10.875" style="2893" customWidth="1"/>
    <col min="8200" max="8200" width="7.875" style="2893" customWidth="1"/>
    <col min="8201" max="8201" width="9" style="2893" customWidth="1"/>
    <col min="8202" max="8203" width="10.625" style="2893" customWidth="1"/>
    <col min="8204" max="8204" width="14.375" style="2893" customWidth="1"/>
    <col min="8205" max="8205" width="8.625" style="2893" customWidth="1"/>
    <col min="8206" max="8206" width="6.25" style="2893" customWidth="1"/>
    <col min="8207" max="8207" width="24.5" style="2893" customWidth="1"/>
    <col min="8208" max="8208" width="7.875" style="2893" customWidth="1"/>
    <col min="8209" max="8448" width="9" style="2893"/>
    <col min="8449" max="8449" width="54.125" style="2893" customWidth="1"/>
    <col min="8450" max="8450" width="6.25" style="2893" customWidth="1"/>
    <col min="8451" max="8453" width="13.875" style="2893" customWidth="1"/>
    <col min="8454" max="8455" width="10.875" style="2893" customWidth="1"/>
    <col min="8456" max="8456" width="7.875" style="2893" customWidth="1"/>
    <col min="8457" max="8457" width="9" style="2893" customWidth="1"/>
    <col min="8458" max="8459" width="10.625" style="2893" customWidth="1"/>
    <col min="8460" max="8460" width="14.375" style="2893" customWidth="1"/>
    <col min="8461" max="8461" width="8.625" style="2893" customWidth="1"/>
    <col min="8462" max="8462" width="6.25" style="2893" customWidth="1"/>
    <col min="8463" max="8463" width="24.5" style="2893" customWidth="1"/>
    <col min="8464" max="8464" width="7.875" style="2893" customWidth="1"/>
    <col min="8465" max="8704" width="9" style="2893"/>
    <col min="8705" max="8705" width="54.125" style="2893" customWidth="1"/>
    <col min="8706" max="8706" width="6.25" style="2893" customWidth="1"/>
    <col min="8707" max="8709" width="13.875" style="2893" customWidth="1"/>
    <col min="8710" max="8711" width="10.875" style="2893" customWidth="1"/>
    <col min="8712" max="8712" width="7.875" style="2893" customWidth="1"/>
    <col min="8713" max="8713" width="9" style="2893" customWidth="1"/>
    <col min="8714" max="8715" width="10.625" style="2893" customWidth="1"/>
    <col min="8716" max="8716" width="14.375" style="2893" customWidth="1"/>
    <col min="8717" max="8717" width="8.625" style="2893" customWidth="1"/>
    <col min="8718" max="8718" width="6.25" style="2893" customWidth="1"/>
    <col min="8719" max="8719" width="24.5" style="2893" customWidth="1"/>
    <col min="8720" max="8720" width="7.875" style="2893" customWidth="1"/>
    <col min="8721" max="8960" width="9" style="2893"/>
    <col min="8961" max="8961" width="54.125" style="2893" customWidth="1"/>
    <col min="8962" max="8962" width="6.25" style="2893" customWidth="1"/>
    <col min="8963" max="8965" width="13.875" style="2893" customWidth="1"/>
    <col min="8966" max="8967" width="10.875" style="2893" customWidth="1"/>
    <col min="8968" max="8968" width="7.875" style="2893" customWidth="1"/>
    <col min="8969" max="8969" width="9" style="2893" customWidth="1"/>
    <col min="8970" max="8971" width="10.625" style="2893" customWidth="1"/>
    <col min="8972" max="8972" width="14.375" style="2893" customWidth="1"/>
    <col min="8973" max="8973" width="8.625" style="2893" customWidth="1"/>
    <col min="8974" max="8974" width="6.25" style="2893" customWidth="1"/>
    <col min="8975" max="8975" width="24.5" style="2893" customWidth="1"/>
    <col min="8976" max="8976" width="7.875" style="2893" customWidth="1"/>
    <col min="8977" max="9216" width="9" style="2893"/>
    <col min="9217" max="9217" width="54.125" style="2893" customWidth="1"/>
    <col min="9218" max="9218" width="6.25" style="2893" customWidth="1"/>
    <col min="9219" max="9221" width="13.875" style="2893" customWidth="1"/>
    <col min="9222" max="9223" width="10.875" style="2893" customWidth="1"/>
    <col min="9224" max="9224" width="7.875" style="2893" customWidth="1"/>
    <col min="9225" max="9225" width="9" style="2893" customWidth="1"/>
    <col min="9226" max="9227" width="10.625" style="2893" customWidth="1"/>
    <col min="9228" max="9228" width="14.375" style="2893" customWidth="1"/>
    <col min="9229" max="9229" width="8.625" style="2893" customWidth="1"/>
    <col min="9230" max="9230" width="6.25" style="2893" customWidth="1"/>
    <col min="9231" max="9231" width="24.5" style="2893" customWidth="1"/>
    <col min="9232" max="9232" width="7.875" style="2893" customWidth="1"/>
    <col min="9233" max="9472" width="9" style="2893"/>
    <col min="9473" max="9473" width="54.125" style="2893" customWidth="1"/>
    <col min="9474" max="9474" width="6.25" style="2893" customWidth="1"/>
    <col min="9475" max="9477" width="13.875" style="2893" customWidth="1"/>
    <col min="9478" max="9479" width="10.875" style="2893" customWidth="1"/>
    <col min="9480" max="9480" width="7.875" style="2893" customWidth="1"/>
    <col min="9481" max="9481" width="9" style="2893" customWidth="1"/>
    <col min="9482" max="9483" width="10.625" style="2893" customWidth="1"/>
    <col min="9484" max="9484" width="14.375" style="2893" customWidth="1"/>
    <col min="9485" max="9485" width="8.625" style="2893" customWidth="1"/>
    <col min="9486" max="9486" width="6.25" style="2893" customWidth="1"/>
    <col min="9487" max="9487" width="24.5" style="2893" customWidth="1"/>
    <col min="9488" max="9488" width="7.875" style="2893" customWidth="1"/>
    <col min="9489" max="9728" width="9" style="2893"/>
    <col min="9729" max="9729" width="54.125" style="2893" customWidth="1"/>
    <col min="9730" max="9730" width="6.25" style="2893" customWidth="1"/>
    <col min="9731" max="9733" width="13.875" style="2893" customWidth="1"/>
    <col min="9734" max="9735" width="10.875" style="2893" customWidth="1"/>
    <col min="9736" max="9736" width="7.875" style="2893" customWidth="1"/>
    <col min="9737" max="9737" width="9" style="2893" customWidth="1"/>
    <col min="9738" max="9739" width="10.625" style="2893" customWidth="1"/>
    <col min="9740" max="9740" width="14.375" style="2893" customWidth="1"/>
    <col min="9741" max="9741" width="8.625" style="2893" customWidth="1"/>
    <col min="9742" max="9742" width="6.25" style="2893" customWidth="1"/>
    <col min="9743" max="9743" width="24.5" style="2893" customWidth="1"/>
    <col min="9744" max="9744" width="7.875" style="2893" customWidth="1"/>
    <col min="9745" max="9984" width="9" style="2893"/>
    <col min="9985" max="9985" width="54.125" style="2893" customWidth="1"/>
    <col min="9986" max="9986" width="6.25" style="2893" customWidth="1"/>
    <col min="9987" max="9989" width="13.875" style="2893" customWidth="1"/>
    <col min="9990" max="9991" width="10.875" style="2893" customWidth="1"/>
    <col min="9992" max="9992" width="7.875" style="2893" customWidth="1"/>
    <col min="9993" max="9993" width="9" style="2893" customWidth="1"/>
    <col min="9994" max="9995" width="10.625" style="2893" customWidth="1"/>
    <col min="9996" max="9996" width="14.375" style="2893" customWidth="1"/>
    <col min="9997" max="9997" width="8.625" style="2893" customWidth="1"/>
    <col min="9998" max="9998" width="6.25" style="2893" customWidth="1"/>
    <col min="9999" max="9999" width="24.5" style="2893" customWidth="1"/>
    <col min="10000" max="10000" width="7.875" style="2893" customWidth="1"/>
    <col min="10001" max="10240" width="9" style="2893"/>
    <col min="10241" max="10241" width="54.125" style="2893" customWidth="1"/>
    <col min="10242" max="10242" width="6.25" style="2893" customWidth="1"/>
    <col min="10243" max="10245" width="13.875" style="2893" customWidth="1"/>
    <col min="10246" max="10247" width="10.875" style="2893" customWidth="1"/>
    <col min="10248" max="10248" width="7.875" style="2893" customWidth="1"/>
    <col min="10249" max="10249" width="9" style="2893" customWidth="1"/>
    <col min="10250" max="10251" width="10.625" style="2893" customWidth="1"/>
    <col min="10252" max="10252" width="14.375" style="2893" customWidth="1"/>
    <col min="10253" max="10253" width="8.625" style="2893" customWidth="1"/>
    <col min="10254" max="10254" width="6.25" style="2893" customWidth="1"/>
    <col min="10255" max="10255" width="24.5" style="2893" customWidth="1"/>
    <col min="10256" max="10256" width="7.875" style="2893" customWidth="1"/>
    <col min="10257" max="10496" width="9" style="2893"/>
    <col min="10497" max="10497" width="54.125" style="2893" customWidth="1"/>
    <col min="10498" max="10498" width="6.25" style="2893" customWidth="1"/>
    <col min="10499" max="10501" width="13.875" style="2893" customWidth="1"/>
    <col min="10502" max="10503" width="10.875" style="2893" customWidth="1"/>
    <col min="10504" max="10504" width="7.875" style="2893" customWidth="1"/>
    <col min="10505" max="10505" width="9" style="2893" customWidth="1"/>
    <col min="10506" max="10507" width="10.625" style="2893" customWidth="1"/>
    <col min="10508" max="10508" width="14.375" style="2893" customWidth="1"/>
    <col min="10509" max="10509" width="8.625" style="2893" customWidth="1"/>
    <col min="10510" max="10510" width="6.25" style="2893" customWidth="1"/>
    <col min="10511" max="10511" width="24.5" style="2893" customWidth="1"/>
    <col min="10512" max="10512" width="7.875" style="2893" customWidth="1"/>
    <col min="10513" max="10752" width="9" style="2893"/>
    <col min="10753" max="10753" width="54.125" style="2893" customWidth="1"/>
    <col min="10754" max="10754" width="6.25" style="2893" customWidth="1"/>
    <col min="10755" max="10757" width="13.875" style="2893" customWidth="1"/>
    <col min="10758" max="10759" width="10.875" style="2893" customWidth="1"/>
    <col min="10760" max="10760" width="7.875" style="2893" customWidth="1"/>
    <col min="10761" max="10761" width="9" style="2893" customWidth="1"/>
    <col min="10762" max="10763" width="10.625" style="2893" customWidth="1"/>
    <col min="10764" max="10764" width="14.375" style="2893" customWidth="1"/>
    <col min="10765" max="10765" width="8.625" style="2893" customWidth="1"/>
    <col min="10766" max="10766" width="6.25" style="2893" customWidth="1"/>
    <col min="10767" max="10767" width="24.5" style="2893" customWidth="1"/>
    <col min="10768" max="10768" width="7.875" style="2893" customWidth="1"/>
    <col min="10769" max="11008" width="9" style="2893"/>
    <col min="11009" max="11009" width="54.125" style="2893" customWidth="1"/>
    <col min="11010" max="11010" width="6.25" style="2893" customWidth="1"/>
    <col min="11011" max="11013" width="13.875" style="2893" customWidth="1"/>
    <col min="11014" max="11015" width="10.875" style="2893" customWidth="1"/>
    <col min="11016" max="11016" width="7.875" style="2893" customWidth="1"/>
    <col min="11017" max="11017" width="9" style="2893" customWidth="1"/>
    <col min="11018" max="11019" width="10.625" style="2893" customWidth="1"/>
    <col min="11020" max="11020" width="14.375" style="2893" customWidth="1"/>
    <col min="11021" max="11021" width="8.625" style="2893" customWidth="1"/>
    <col min="11022" max="11022" width="6.25" style="2893" customWidth="1"/>
    <col min="11023" max="11023" width="24.5" style="2893" customWidth="1"/>
    <col min="11024" max="11024" width="7.875" style="2893" customWidth="1"/>
    <col min="11025" max="11264" width="9" style="2893"/>
    <col min="11265" max="11265" width="54.125" style="2893" customWidth="1"/>
    <col min="11266" max="11266" width="6.25" style="2893" customWidth="1"/>
    <col min="11267" max="11269" width="13.875" style="2893" customWidth="1"/>
    <col min="11270" max="11271" width="10.875" style="2893" customWidth="1"/>
    <col min="11272" max="11272" width="7.875" style="2893" customWidth="1"/>
    <col min="11273" max="11273" width="9" style="2893" customWidth="1"/>
    <col min="11274" max="11275" width="10.625" style="2893" customWidth="1"/>
    <col min="11276" max="11276" width="14.375" style="2893" customWidth="1"/>
    <col min="11277" max="11277" width="8.625" style="2893" customWidth="1"/>
    <col min="11278" max="11278" width="6.25" style="2893" customWidth="1"/>
    <col min="11279" max="11279" width="24.5" style="2893" customWidth="1"/>
    <col min="11280" max="11280" width="7.875" style="2893" customWidth="1"/>
    <col min="11281" max="11520" width="9" style="2893"/>
    <col min="11521" max="11521" width="54.125" style="2893" customWidth="1"/>
    <col min="11522" max="11522" width="6.25" style="2893" customWidth="1"/>
    <col min="11523" max="11525" width="13.875" style="2893" customWidth="1"/>
    <col min="11526" max="11527" width="10.875" style="2893" customWidth="1"/>
    <col min="11528" max="11528" width="7.875" style="2893" customWidth="1"/>
    <col min="11529" max="11529" width="9" style="2893" customWidth="1"/>
    <col min="11530" max="11531" width="10.625" style="2893" customWidth="1"/>
    <col min="11532" max="11532" width="14.375" style="2893" customWidth="1"/>
    <col min="11533" max="11533" width="8.625" style="2893" customWidth="1"/>
    <col min="11534" max="11534" width="6.25" style="2893" customWidth="1"/>
    <col min="11535" max="11535" width="24.5" style="2893" customWidth="1"/>
    <col min="11536" max="11536" width="7.875" style="2893" customWidth="1"/>
    <col min="11537" max="11776" width="9" style="2893"/>
    <col min="11777" max="11777" width="54.125" style="2893" customWidth="1"/>
    <col min="11778" max="11778" width="6.25" style="2893" customWidth="1"/>
    <col min="11779" max="11781" width="13.875" style="2893" customWidth="1"/>
    <col min="11782" max="11783" width="10.875" style="2893" customWidth="1"/>
    <col min="11784" max="11784" width="7.875" style="2893" customWidth="1"/>
    <col min="11785" max="11785" width="9" style="2893" customWidth="1"/>
    <col min="11786" max="11787" width="10.625" style="2893" customWidth="1"/>
    <col min="11788" max="11788" width="14.375" style="2893" customWidth="1"/>
    <col min="11789" max="11789" width="8.625" style="2893" customWidth="1"/>
    <col min="11790" max="11790" width="6.25" style="2893" customWidth="1"/>
    <col min="11791" max="11791" width="24.5" style="2893" customWidth="1"/>
    <col min="11792" max="11792" width="7.875" style="2893" customWidth="1"/>
    <col min="11793" max="12032" width="9" style="2893"/>
    <col min="12033" max="12033" width="54.125" style="2893" customWidth="1"/>
    <col min="12034" max="12034" width="6.25" style="2893" customWidth="1"/>
    <col min="12035" max="12037" width="13.875" style="2893" customWidth="1"/>
    <col min="12038" max="12039" width="10.875" style="2893" customWidth="1"/>
    <col min="12040" max="12040" width="7.875" style="2893" customWidth="1"/>
    <col min="12041" max="12041" width="9" style="2893" customWidth="1"/>
    <col min="12042" max="12043" width="10.625" style="2893" customWidth="1"/>
    <col min="12044" max="12044" width="14.375" style="2893" customWidth="1"/>
    <col min="12045" max="12045" width="8.625" style="2893" customWidth="1"/>
    <col min="12046" max="12046" width="6.25" style="2893" customWidth="1"/>
    <col min="12047" max="12047" width="24.5" style="2893" customWidth="1"/>
    <col min="12048" max="12048" width="7.875" style="2893" customWidth="1"/>
    <col min="12049" max="12288" width="9" style="2893"/>
    <col min="12289" max="12289" width="54.125" style="2893" customWidth="1"/>
    <col min="12290" max="12290" width="6.25" style="2893" customWidth="1"/>
    <col min="12291" max="12293" width="13.875" style="2893" customWidth="1"/>
    <col min="12294" max="12295" width="10.875" style="2893" customWidth="1"/>
    <col min="12296" max="12296" width="7.875" style="2893" customWidth="1"/>
    <col min="12297" max="12297" width="9" style="2893" customWidth="1"/>
    <col min="12298" max="12299" width="10.625" style="2893" customWidth="1"/>
    <col min="12300" max="12300" width="14.375" style="2893" customWidth="1"/>
    <col min="12301" max="12301" width="8.625" style="2893" customWidth="1"/>
    <col min="12302" max="12302" width="6.25" style="2893" customWidth="1"/>
    <col min="12303" max="12303" width="24.5" style="2893" customWidth="1"/>
    <col min="12304" max="12304" width="7.875" style="2893" customWidth="1"/>
    <col min="12305" max="12544" width="9" style="2893"/>
    <col min="12545" max="12545" width="54.125" style="2893" customWidth="1"/>
    <col min="12546" max="12546" width="6.25" style="2893" customWidth="1"/>
    <col min="12547" max="12549" width="13.875" style="2893" customWidth="1"/>
    <col min="12550" max="12551" width="10.875" style="2893" customWidth="1"/>
    <col min="12552" max="12552" width="7.875" style="2893" customWidth="1"/>
    <col min="12553" max="12553" width="9" style="2893" customWidth="1"/>
    <col min="12554" max="12555" width="10.625" style="2893" customWidth="1"/>
    <col min="12556" max="12556" width="14.375" style="2893" customWidth="1"/>
    <col min="12557" max="12557" width="8.625" style="2893" customWidth="1"/>
    <col min="12558" max="12558" width="6.25" style="2893" customWidth="1"/>
    <col min="12559" max="12559" width="24.5" style="2893" customWidth="1"/>
    <col min="12560" max="12560" width="7.875" style="2893" customWidth="1"/>
    <col min="12561" max="12800" width="9" style="2893"/>
    <col min="12801" max="12801" width="54.125" style="2893" customWidth="1"/>
    <col min="12802" max="12802" width="6.25" style="2893" customWidth="1"/>
    <col min="12803" max="12805" width="13.875" style="2893" customWidth="1"/>
    <col min="12806" max="12807" width="10.875" style="2893" customWidth="1"/>
    <col min="12808" max="12808" width="7.875" style="2893" customWidth="1"/>
    <col min="12809" max="12809" width="9" style="2893" customWidth="1"/>
    <col min="12810" max="12811" width="10.625" style="2893" customWidth="1"/>
    <col min="12812" max="12812" width="14.375" style="2893" customWidth="1"/>
    <col min="12813" max="12813" width="8.625" style="2893" customWidth="1"/>
    <col min="12814" max="12814" width="6.25" style="2893" customWidth="1"/>
    <col min="12815" max="12815" width="24.5" style="2893" customWidth="1"/>
    <col min="12816" max="12816" width="7.875" style="2893" customWidth="1"/>
    <col min="12817" max="13056" width="9" style="2893"/>
    <col min="13057" max="13057" width="54.125" style="2893" customWidth="1"/>
    <col min="13058" max="13058" width="6.25" style="2893" customWidth="1"/>
    <col min="13059" max="13061" width="13.875" style="2893" customWidth="1"/>
    <col min="13062" max="13063" width="10.875" style="2893" customWidth="1"/>
    <col min="13064" max="13064" width="7.875" style="2893" customWidth="1"/>
    <col min="13065" max="13065" width="9" style="2893" customWidth="1"/>
    <col min="13066" max="13067" width="10.625" style="2893" customWidth="1"/>
    <col min="13068" max="13068" width="14.375" style="2893" customWidth="1"/>
    <col min="13069" max="13069" width="8.625" style="2893" customWidth="1"/>
    <col min="13070" max="13070" width="6.25" style="2893" customWidth="1"/>
    <col min="13071" max="13071" width="24.5" style="2893" customWidth="1"/>
    <col min="13072" max="13072" width="7.875" style="2893" customWidth="1"/>
    <col min="13073" max="13312" width="9" style="2893"/>
    <col min="13313" max="13313" width="54.125" style="2893" customWidth="1"/>
    <col min="13314" max="13314" width="6.25" style="2893" customWidth="1"/>
    <col min="13315" max="13317" width="13.875" style="2893" customWidth="1"/>
    <col min="13318" max="13319" width="10.875" style="2893" customWidth="1"/>
    <col min="13320" max="13320" width="7.875" style="2893" customWidth="1"/>
    <col min="13321" max="13321" width="9" style="2893" customWidth="1"/>
    <col min="13322" max="13323" width="10.625" style="2893" customWidth="1"/>
    <col min="13324" max="13324" width="14.375" style="2893" customWidth="1"/>
    <col min="13325" max="13325" width="8.625" style="2893" customWidth="1"/>
    <col min="13326" max="13326" width="6.25" style="2893" customWidth="1"/>
    <col min="13327" max="13327" width="24.5" style="2893" customWidth="1"/>
    <col min="13328" max="13328" width="7.875" style="2893" customWidth="1"/>
    <col min="13329" max="13568" width="9" style="2893"/>
    <col min="13569" max="13569" width="54.125" style="2893" customWidth="1"/>
    <col min="13570" max="13570" width="6.25" style="2893" customWidth="1"/>
    <col min="13571" max="13573" width="13.875" style="2893" customWidth="1"/>
    <col min="13574" max="13575" width="10.875" style="2893" customWidth="1"/>
    <col min="13576" max="13576" width="7.875" style="2893" customWidth="1"/>
    <col min="13577" max="13577" width="9" style="2893" customWidth="1"/>
    <col min="13578" max="13579" width="10.625" style="2893" customWidth="1"/>
    <col min="13580" max="13580" width="14.375" style="2893" customWidth="1"/>
    <col min="13581" max="13581" width="8.625" style="2893" customWidth="1"/>
    <col min="13582" max="13582" width="6.25" style="2893" customWidth="1"/>
    <col min="13583" max="13583" width="24.5" style="2893" customWidth="1"/>
    <col min="13584" max="13584" width="7.875" style="2893" customWidth="1"/>
    <col min="13585" max="13824" width="9" style="2893"/>
    <col min="13825" max="13825" width="54.125" style="2893" customWidth="1"/>
    <col min="13826" max="13826" width="6.25" style="2893" customWidth="1"/>
    <col min="13827" max="13829" width="13.875" style="2893" customWidth="1"/>
    <col min="13830" max="13831" width="10.875" style="2893" customWidth="1"/>
    <col min="13832" max="13832" width="7.875" style="2893" customWidth="1"/>
    <col min="13833" max="13833" width="9" style="2893" customWidth="1"/>
    <col min="13834" max="13835" width="10.625" style="2893" customWidth="1"/>
    <col min="13836" max="13836" width="14.375" style="2893" customWidth="1"/>
    <col min="13837" max="13837" width="8.625" style="2893" customWidth="1"/>
    <col min="13838" max="13838" width="6.25" style="2893" customWidth="1"/>
    <col min="13839" max="13839" width="24.5" style="2893" customWidth="1"/>
    <col min="13840" max="13840" width="7.875" style="2893" customWidth="1"/>
    <col min="13841" max="14080" width="9" style="2893"/>
    <col min="14081" max="14081" width="54.125" style="2893" customWidth="1"/>
    <col min="14082" max="14082" width="6.25" style="2893" customWidth="1"/>
    <col min="14083" max="14085" width="13.875" style="2893" customWidth="1"/>
    <col min="14086" max="14087" width="10.875" style="2893" customWidth="1"/>
    <col min="14088" max="14088" width="7.875" style="2893" customWidth="1"/>
    <col min="14089" max="14089" width="9" style="2893" customWidth="1"/>
    <col min="14090" max="14091" width="10.625" style="2893" customWidth="1"/>
    <col min="14092" max="14092" width="14.375" style="2893" customWidth="1"/>
    <col min="14093" max="14093" width="8.625" style="2893" customWidth="1"/>
    <col min="14094" max="14094" width="6.25" style="2893" customWidth="1"/>
    <col min="14095" max="14095" width="24.5" style="2893" customWidth="1"/>
    <col min="14096" max="14096" width="7.875" style="2893" customWidth="1"/>
    <col min="14097" max="14336" width="9" style="2893"/>
    <col min="14337" max="14337" width="54.125" style="2893" customWidth="1"/>
    <col min="14338" max="14338" width="6.25" style="2893" customWidth="1"/>
    <col min="14339" max="14341" width="13.875" style="2893" customWidth="1"/>
    <col min="14342" max="14343" width="10.875" style="2893" customWidth="1"/>
    <col min="14344" max="14344" width="7.875" style="2893" customWidth="1"/>
    <col min="14345" max="14345" width="9" style="2893" customWidth="1"/>
    <col min="14346" max="14347" width="10.625" style="2893" customWidth="1"/>
    <col min="14348" max="14348" width="14.375" style="2893" customWidth="1"/>
    <col min="14349" max="14349" width="8.625" style="2893" customWidth="1"/>
    <col min="14350" max="14350" width="6.25" style="2893" customWidth="1"/>
    <col min="14351" max="14351" width="24.5" style="2893" customWidth="1"/>
    <col min="14352" max="14352" width="7.875" style="2893" customWidth="1"/>
    <col min="14353" max="14592" width="9" style="2893"/>
    <col min="14593" max="14593" width="54.125" style="2893" customWidth="1"/>
    <col min="14594" max="14594" width="6.25" style="2893" customWidth="1"/>
    <col min="14595" max="14597" width="13.875" style="2893" customWidth="1"/>
    <col min="14598" max="14599" width="10.875" style="2893" customWidth="1"/>
    <col min="14600" max="14600" width="7.875" style="2893" customWidth="1"/>
    <col min="14601" max="14601" width="9" style="2893" customWidth="1"/>
    <col min="14602" max="14603" width="10.625" style="2893" customWidth="1"/>
    <col min="14604" max="14604" width="14.375" style="2893" customWidth="1"/>
    <col min="14605" max="14605" width="8.625" style="2893" customWidth="1"/>
    <col min="14606" max="14606" width="6.25" style="2893" customWidth="1"/>
    <col min="14607" max="14607" width="24.5" style="2893" customWidth="1"/>
    <col min="14608" max="14608" width="7.875" style="2893" customWidth="1"/>
    <col min="14609" max="14848" width="9" style="2893"/>
    <col min="14849" max="14849" width="54.125" style="2893" customWidth="1"/>
    <col min="14850" max="14850" width="6.25" style="2893" customWidth="1"/>
    <col min="14851" max="14853" width="13.875" style="2893" customWidth="1"/>
    <col min="14854" max="14855" width="10.875" style="2893" customWidth="1"/>
    <col min="14856" max="14856" width="7.875" style="2893" customWidth="1"/>
    <col min="14857" max="14857" width="9" style="2893" customWidth="1"/>
    <col min="14858" max="14859" width="10.625" style="2893" customWidth="1"/>
    <col min="14860" max="14860" width="14.375" style="2893" customWidth="1"/>
    <col min="14861" max="14861" width="8.625" style="2893" customWidth="1"/>
    <col min="14862" max="14862" width="6.25" style="2893" customWidth="1"/>
    <col min="14863" max="14863" width="24.5" style="2893" customWidth="1"/>
    <col min="14864" max="14864" width="7.875" style="2893" customWidth="1"/>
    <col min="14865" max="15104" width="9" style="2893"/>
    <col min="15105" max="15105" width="54.125" style="2893" customWidth="1"/>
    <col min="15106" max="15106" width="6.25" style="2893" customWidth="1"/>
    <col min="15107" max="15109" width="13.875" style="2893" customWidth="1"/>
    <col min="15110" max="15111" width="10.875" style="2893" customWidth="1"/>
    <col min="15112" max="15112" width="7.875" style="2893" customWidth="1"/>
    <col min="15113" max="15113" width="9" style="2893" customWidth="1"/>
    <col min="15114" max="15115" width="10.625" style="2893" customWidth="1"/>
    <col min="15116" max="15116" width="14.375" style="2893" customWidth="1"/>
    <col min="15117" max="15117" width="8.625" style="2893" customWidth="1"/>
    <col min="15118" max="15118" width="6.25" style="2893" customWidth="1"/>
    <col min="15119" max="15119" width="24.5" style="2893" customWidth="1"/>
    <col min="15120" max="15120" width="7.875" style="2893" customWidth="1"/>
    <col min="15121" max="15360" width="9" style="2893"/>
    <col min="15361" max="15361" width="54.125" style="2893" customWidth="1"/>
    <col min="15362" max="15362" width="6.25" style="2893" customWidth="1"/>
    <col min="15363" max="15365" width="13.875" style="2893" customWidth="1"/>
    <col min="15366" max="15367" width="10.875" style="2893" customWidth="1"/>
    <col min="15368" max="15368" width="7.875" style="2893" customWidth="1"/>
    <col min="15369" max="15369" width="9" style="2893" customWidth="1"/>
    <col min="15370" max="15371" width="10.625" style="2893" customWidth="1"/>
    <col min="15372" max="15372" width="14.375" style="2893" customWidth="1"/>
    <col min="15373" max="15373" width="8.625" style="2893" customWidth="1"/>
    <col min="15374" max="15374" width="6.25" style="2893" customWidth="1"/>
    <col min="15375" max="15375" width="24.5" style="2893" customWidth="1"/>
    <col min="15376" max="15376" width="7.875" style="2893" customWidth="1"/>
    <col min="15377" max="15616" width="9" style="2893"/>
    <col min="15617" max="15617" width="54.125" style="2893" customWidth="1"/>
    <col min="15618" max="15618" width="6.25" style="2893" customWidth="1"/>
    <col min="15619" max="15621" width="13.875" style="2893" customWidth="1"/>
    <col min="15622" max="15623" width="10.875" style="2893" customWidth="1"/>
    <col min="15624" max="15624" width="7.875" style="2893" customWidth="1"/>
    <col min="15625" max="15625" width="9" style="2893" customWidth="1"/>
    <col min="15626" max="15627" width="10.625" style="2893" customWidth="1"/>
    <col min="15628" max="15628" width="14.375" style="2893" customWidth="1"/>
    <col min="15629" max="15629" width="8.625" style="2893" customWidth="1"/>
    <col min="15630" max="15630" width="6.25" style="2893" customWidth="1"/>
    <col min="15631" max="15631" width="24.5" style="2893" customWidth="1"/>
    <col min="15632" max="15632" width="7.875" style="2893" customWidth="1"/>
    <col min="15633" max="15872" width="9" style="2893"/>
    <col min="15873" max="15873" width="54.125" style="2893" customWidth="1"/>
    <col min="15874" max="15874" width="6.25" style="2893" customWidth="1"/>
    <col min="15875" max="15877" width="13.875" style="2893" customWidth="1"/>
    <col min="15878" max="15879" width="10.875" style="2893" customWidth="1"/>
    <col min="15880" max="15880" width="7.875" style="2893" customWidth="1"/>
    <col min="15881" max="15881" width="9" style="2893" customWidth="1"/>
    <col min="15882" max="15883" width="10.625" style="2893" customWidth="1"/>
    <col min="15884" max="15884" width="14.375" style="2893" customWidth="1"/>
    <col min="15885" max="15885" width="8.625" style="2893" customWidth="1"/>
    <col min="15886" max="15886" width="6.25" style="2893" customWidth="1"/>
    <col min="15887" max="15887" width="24.5" style="2893" customWidth="1"/>
    <col min="15888" max="15888" width="7.875" style="2893" customWidth="1"/>
    <col min="15889" max="16128" width="9" style="2893"/>
    <col min="16129" max="16129" width="54.125" style="2893" customWidth="1"/>
    <col min="16130" max="16130" width="6.25" style="2893" customWidth="1"/>
    <col min="16131" max="16133" width="13.875" style="2893" customWidth="1"/>
    <col min="16134" max="16135" width="10.875" style="2893" customWidth="1"/>
    <col min="16136" max="16136" width="7.875" style="2893" customWidth="1"/>
    <col min="16137" max="16137" width="9" style="2893" customWidth="1"/>
    <col min="16138" max="16139" width="10.625" style="2893" customWidth="1"/>
    <col min="16140" max="16140" width="14.375" style="2893" customWidth="1"/>
    <col min="16141" max="16141" width="8.625" style="2893" customWidth="1"/>
    <col min="16142" max="16142" width="6.25" style="2893" customWidth="1"/>
    <col min="16143" max="16143" width="24.5" style="2893" customWidth="1"/>
    <col min="16144" max="16144" width="7.875" style="2893" customWidth="1"/>
    <col min="16145" max="16384" width="9" style="2893"/>
  </cols>
  <sheetData>
    <row r="1" spans="1:16" s="3191" customFormat="1" ht="27">
      <c r="A1" s="3189" t="s">
        <v>3033</v>
      </c>
      <c r="B1" s="3189" t="s">
        <v>3034</v>
      </c>
      <c r="C1" s="3189" t="s">
        <v>3035</v>
      </c>
      <c r="D1" s="3189" t="s">
        <v>3036</v>
      </c>
      <c r="E1" s="3189" t="s">
        <v>3037</v>
      </c>
      <c r="F1" s="3189" t="s">
        <v>2032</v>
      </c>
      <c r="G1" s="3190" t="s">
        <v>3038</v>
      </c>
      <c r="H1" s="3189" t="s">
        <v>3039</v>
      </c>
      <c r="I1" s="3189" t="s">
        <v>3040</v>
      </c>
      <c r="J1" s="3189" t="s">
        <v>3041</v>
      </c>
      <c r="K1" s="3189" t="s">
        <v>3042</v>
      </c>
      <c r="L1" s="3189" t="s">
        <v>3043</v>
      </c>
      <c r="M1" s="3190" t="s">
        <v>3044</v>
      </c>
      <c r="N1" s="3189" t="s">
        <v>3045</v>
      </c>
      <c r="O1" s="3189" t="s">
        <v>3046</v>
      </c>
      <c r="P1" s="3189" t="s">
        <v>3047</v>
      </c>
    </row>
    <row r="2" spans="1:16">
      <c r="A2" s="3187" t="s">
        <v>3048</v>
      </c>
      <c r="B2" s="3187" t="s">
        <v>3049</v>
      </c>
      <c r="C2" s="3187" t="s">
        <v>3050</v>
      </c>
      <c r="D2" s="3187">
        <v>26846</v>
      </c>
      <c r="E2" s="3187">
        <v>85101.82</v>
      </c>
      <c r="F2" s="3187" t="s">
        <v>3051</v>
      </c>
      <c r="G2" s="3187">
        <f>ROUND(E2/D2,2)</f>
        <v>3.17</v>
      </c>
      <c r="H2" s="3187" t="s">
        <v>3052</v>
      </c>
      <c r="I2" s="3187" t="s">
        <v>3053</v>
      </c>
      <c r="J2" s="3187">
        <v>14549.37</v>
      </c>
      <c r="K2" s="3187">
        <v>14549.37</v>
      </c>
      <c r="L2" s="3187">
        <v>1709.64</v>
      </c>
      <c r="M2" s="3187">
        <f>ROUND(J2/E2*10000,0)</f>
        <v>1710</v>
      </c>
      <c r="N2" s="3187">
        <v>0</v>
      </c>
      <c r="O2" s="3187" t="s">
        <v>3054</v>
      </c>
      <c r="P2" s="3187" t="s">
        <v>3055</v>
      </c>
    </row>
    <row r="3" spans="1:16">
      <c r="A3" s="3187" t="s">
        <v>3056</v>
      </c>
      <c r="B3" s="3187" t="s">
        <v>3049</v>
      </c>
      <c r="C3" s="3187" t="s">
        <v>3050</v>
      </c>
      <c r="D3" s="3187">
        <v>24741</v>
      </c>
      <c r="E3" s="3187">
        <v>34637.4</v>
      </c>
      <c r="F3" s="3187" t="s">
        <v>3057</v>
      </c>
      <c r="G3" s="3187">
        <f t="shared" ref="G3:G26" si="0">ROUND(E3/D3,2)</f>
        <v>1.4</v>
      </c>
      <c r="H3" s="3187" t="s">
        <v>3052</v>
      </c>
      <c r="I3" s="3187" t="s">
        <v>3058</v>
      </c>
      <c r="J3" s="3187">
        <v>17840</v>
      </c>
      <c r="K3" s="3187">
        <v>33000</v>
      </c>
      <c r="L3" s="3187">
        <v>9527.27</v>
      </c>
      <c r="M3" s="3187">
        <f t="shared" ref="M3:M26" si="1">ROUND(J3/E3*10000,0)</f>
        <v>5151</v>
      </c>
      <c r="N3" s="3187">
        <v>84.98</v>
      </c>
      <c r="O3" s="3187" t="s">
        <v>3059</v>
      </c>
      <c r="P3" s="3187" t="s">
        <v>3060</v>
      </c>
    </row>
    <row r="4" spans="1:16">
      <c r="A4" s="3187" t="s">
        <v>3061</v>
      </c>
      <c r="B4" s="3187" t="s">
        <v>3049</v>
      </c>
      <c r="C4" s="3187" t="s">
        <v>3050</v>
      </c>
      <c r="D4" s="3187">
        <v>75617</v>
      </c>
      <c r="E4" s="3187">
        <v>184505.5</v>
      </c>
      <c r="F4" s="3187" t="s">
        <v>3062</v>
      </c>
      <c r="G4" s="3187">
        <f t="shared" si="0"/>
        <v>2.44</v>
      </c>
      <c r="H4" s="3187" t="s">
        <v>3052</v>
      </c>
      <c r="I4" s="3187" t="s">
        <v>3063</v>
      </c>
      <c r="J4" s="3187">
        <v>43592.97</v>
      </c>
      <c r="K4" s="3187">
        <v>43592.97</v>
      </c>
      <c r="L4" s="3187">
        <v>2362.69</v>
      </c>
      <c r="M4" s="3187">
        <f t="shared" si="1"/>
        <v>2363</v>
      </c>
      <c r="N4" s="3187">
        <v>0</v>
      </c>
      <c r="O4" s="3187" t="s">
        <v>3064</v>
      </c>
      <c r="P4" s="3187" t="s">
        <v>3055</v>
      </c>
    </row>
    <row r="5" spans="1:16" s="3186" customFormat="1">
      <c r="A5" s="3188" t="s">
        <v>3065</v>
      </c>
      <c r="B5" s="3188" t="s">
        <v>3049</v>
      </c>
      <c r="C5" s="3188" t="s">
        <v>3066</v>
      </c>
      <c r="D5" s="3188">
        <v>17216</v>
      </c>
      <c r="E5" s="3188">
        <v>61116.800000000003</v>
      </c>
      <c r="F5" s="3188" t="s">
        <v>3067</v>
      </c>
      <c r="G5" s="3188">
        <f t="shared" si="0"/>
        <v>3.55</v>
      </c>
      <c r="H5" s="3188" t="s">
        <v>3052</v>
      </c>
      <c r="I5" s="3188" t="s">
        <v>3068</v>
      </c>
      <c r="J5" s="3188">
        <v>21080</v>
      </c>
      <c r="K5" s="3188">
        <v>47000</v>
      </c>
      <c r="L5" s="3188">
        <v>7690</v>
      </c>
      <c r="M5" s="3188">
        <f t="shared" si="1"/>
        <v>3449</v>
      </c>
      <c r="N5" s="3188">
        <v>122.96</v>
      </c>
      <c r="O5" s="3188" t="s">
        <v>3069</v>
      </c>
      <c r="P5" s="3188" t="s">
        <v>3060</v>
      </c>
    </row>
    <row r="6" spans="1:16">
      <c r="A6" s="3187" t="s">
        <v>3070</v>
      </c>
      <c r="B6" s="3187" t="s">
        <v>3049</v>
      </c>
      <c r="C6" s="3187" t="s">
        <v>3066</v>
      </c>
      <c r="D6" s="3187">
        <v>37234</v>
      </c>
      <c r="E6" s="3187">
        <v>40957.4</v>
      </c>
      <c r="F6" s="3187" t="s">
        <v>3071</v>
      </c>
      <c r="G6" s="3187">
        <f t="shared" si="0"/>
        <v>1.1000000000000001</v>
      </c>
      <c r="H6" s="3187" t="s">
        <v>3052</v>
      </c>
      <c r="I6" s="3187" t="s">
        <v>3072</v>
      </c>
      <c r="J6" s="3187">
        <v>15090</v>
      </c>
      <c r="K6" s="3187">
        <v>15090</v>
      </c>
      <c r="L6" s="3187">
        <v>3684.32</v>
      </c>
      <c r="M6" s="3187">
        <f t="shared" si="1"/>
        <v>3684</v>
      </c>
      <c r="N6" s="3187">
        <v>0</v>
      </c>
      <c r="O6" s="3187" t="s">
        <v>3073</v>
      </c>
      <c r="P6" s="3187" t="s">
        <v>3060</v>
      </c>
    </row>
    <row r="7" spans="1:16">
      <c r="A7" s="3187" t="s">
        <v>3074</v>
      </c>
      <c r="B7" s="3187" t="s">
        <v>3049</v>
      </c>
      <c r="C7" s="3187" t="s">
        <v>3066</v>
      </c>
      <c r="D7" s="3187">
        <v>81057</v>
      </c>
      <c r="E7" s="3187">
        <v>145902.6</v>
      </c>
      <c r="F7" s="3187" t="s">
        <v>3075</v>
      </c>
      <c r="G7" s="3187">
        <f t="shared" si="0"/>
        <v>1.8</v>
      </c>
      <c r="H7" s="3187" t="s">
        <v>3052</v>
      </c>
      <c r="I7" s="3187" t="s">
        <v>3076</v>
      </c>
      <c r="J7" s="3187">
        <v>47590</v>
      </c>
      <c r="K7" s="3187">
        <v>47590</v>
      </c>
      <c r="L7" s="3187">
        <v>3261.76</v>
      </c>
      <c r="M7" s="3187">
        <f t="shared" si="1"/>
        <v>3262</v>
      </c>
      <c r="N7" s="3187">
        <v>0</v>
      </c>
      <c r="O7" s="3187" t="s">
        <v>3077</v>
      </c>
      <c r="P7" s="3187" t="s">
        <v>3055</v>
      </c>
    </row>
    <row r="8" spans="1:16" s="3186" customFormat="1">
      <c r="A8" s="3188" t="s">
        <v>3078</v>
      </c>
      <c r="B8" s="3188" t="s">
        <v>3049</v>
      </c>
      <c r="C8" s="3188" t="s">
        <v>3066</v>
      </c>
      <c r="D8" s="3188">
        <v>29750.799999999999</v>
      </c>
      <c r="E8" s="3188">
        <v>38081.019999999997</v>
      </c>
      <c r="F8" s="3188" t="s">
        <v>3079</v>
      </c>
      <c r="G8" s="3188">
        <f t="shared" si="0"/>
        <v>1.28</v>
      </c>
      <c r="H8" s="3188" t="s">
        <v>3080</v>
      </c>
      <c r="I8" s="3188" t="s">
        <v>3081</v>
      </c>
      <c r="J8" s="3188">
        <v>26010</v>
      </c>
      <c r="K8" s="3188">
        <v>26420</v>
      </c>
      <c r="L8" s="3188">
        <v>6938</v>
      </c>
      <c r="M8" s="3188">
        <f t="shared" si="1"/>
        <v>6830</v>
      </c>
      <c r="N8" s="3188">
        <v>1.58</v>
      </c>
      <c r="O8" s="3188" t="s">
        <v>3082</v>
      </c>
      <c r="P8" s="3188" t="s">
        <v>3083</v>
      </c>
    </row>
    <row r="9" spans="1:16">
      <c r="A9" s="3187" t="s">
        <v>3084</v>
      </c>
      <c r="B9" s="3187" t="s">
        <v>3049</v>
      </c>
      <c r="C9" s="3187" t="s">
        <v>3066</v>
      </c>
      <c r="D9" s="3187">
        <v>39356</v>
      </c>
      <c r="E9" s="3187">
        <v>94454.399999999994</v>
      </c>
      <c r="F9" s="3187" t="s">
        <v>3085</v>
      </c>
      <c r="G9" s="3187">
        <f t="shared" si="0"/>
        <v>2.4</v>
      </c>
      <c r="H9" s="3187" t="s">
        <v>3080</v>
      </c>
      <c r="I9" s="3187" t="s">
        <v>3086</v>
      </c>
      <c r="J9" s="3187">
        <v>33990</v>
      </c>
      <c r="K9" s="3187">
        <v>33990</v>
      </c>
      <c r="L9" s="3187">
        <v>3598.55</v>
      </c>
      <c r="M9" s="3187">
        <f t="shared" si="1"/>
        <v>3599</v>
      </c>
      <c r="N9" s="3187">
        <v>0</v>
      </c>
      <c r="O9" s="3187" t="s">
        <v>3087</v>
      </c>
      <c r="P9" s="3187" t="s">
        <v>3083</v>
      </c>
    </row>
    <row r="10" spans="1:16">
      <c r="A10" s="3187" t="s">
        <v>3084</v>
      </c>
      <c r="B10" s="3187" t="s">
        <v>3049</v>
      </c>
      <c r="C10" s="3187" t="s">
        <v>3066</v>
      </c>
      <c r="D10" s="3187">
        <v>52341</v>
      </c>
      <c r="E10" s="3187">
        <v>125618.4</v>
      </c>
      <c r="F10" s="3187" t="s">
        <v>3085</v>
      </c>
      <c r="G10" s="3187">
        <f t="shared" si="0"/>
        <v>2.4</v>
      </c>
      <c r="H10" s="3187" t="s">
        <v>3080</v>
      </c>
      <c r="I10" s="3187" t="s">
        <v>3086</v>
      </c>
      <c r="J10" s="3187">
        <v>44600</v>
      </c>
      <c r="K10" s="3187">
        <v>44600</v>
      </c>
      <c r="L10" s="3187">
        <v>3550.44</v>
      </c>
      <c r="M10" s="3187">
        <f t="shared" si="1"/>
        <v>3550</v>
      </c>
      <c r="N10" s="3187">
        <v>0</v>
      </c>
      <c r="O10" s="3187" t="s">
        <v>3088</v>
      </c>
      <c r="P10" s="3187" t="s">
        <v>3060</v>
      </c>
    </row>
    <row r="11" spans="1:16">
      <c r="A11" s="3187" t="s">
        <v>3089</v>
      </c>
      <c r="B11" s="3187" t="s">
        <v>3049</v>
      </c>
      <c r="C11" s="3187" t="s">
        <v>3050</v>
      </c>
      <c r="D11" s="3187">
        <v>66666.7</v>
      </c>
      <c r="E11" s="3187">
        <v>114000.1</v>
      </c>
      <c r="F11" s="3187" t="s">
        <v>3090</v>
      </c>
      <c r="G11" s="3187">
        <f t="shared" si="0"/>
        <v>1.71</v>
      </c>
      <c r="H11" s="3187" t="s">
        <v>3052</v>
      </c>
      <c r="I11" s="3187" t="s">
        <v>3091</v>
      </c>
      <c r="J11" s="3187">
        <v>19160</v>
      </c>
      <c r="K11" s="3187">
        <v>19160</v>
      </c>
      <c r="L11" s="3187">
        <v>1680.7</v>
      </c>
      <c r="M11" s="3187">
        <f t="shared" si="1"/>
        <v>1681</v>
      </c>
      <c r="N11" s="3187">
        <v>0</v>
      </c>
      <c r="O11" s="3187" t="s">
        <v>3092</v>
      </c>
      <c r="P11" s="3187" t="s">
        <v>3060</v>
      </c>
    </row>
    <row r="12" spans="1:16">
      <c r="A12" s="3187" t="s">
        <v>3093</v>
      </c>
      <c r="B12" s="3187" t="s">
        <v>3049</v>
      </c>
      <c r="C12" s="3187" t="s">
        <v>3066</v>
      </c>
      <c r="D12" s="3187">
        <v>66804.5</v>
      </c>
      <c r="E12" s="3187">
        <v>66871.3</v>
      </c>
      <c r="F12" s="3187" t="s">
        <v>3094</v>
      </c>
      <c r="G12" s="3187">
        <f t="shared" si="0"/>
        <v>1</v>
      </c>
      <c r="H12" s="3187" t="s">
        <v>3052</v>
      </c>
      <c r="I12" s="3187" t="s">
        <v>3095</v>
      </c>
      <c r="J12" s="3187">
        <v>3706.48</v>
      </c>
      <c r="K12" s="3187">
        <v>3706.48</v>
      </c>
      <c r="L12" s="3187">
        <v>554.26</v>
      </c>
      <c r="M12" s="3187">
        <f t="shared" si="1"/>
        <v>554</v>
      </c>
      <c r="N12" s="3187">
        <v>0</v>
      </c>
      <c r="O12" s="3187" t="s">
        <v>3096</v>
      </c>
      <c r="P12" s="3187" t="s">
        <v>3055</v>
      </c>
    </row>
    <row r="13" spans="1:16">
      <c r="A13" s="3187" t="s">
        <v>3093</v>
      </c>
      <c r="B13" s="3187" t="s">
        <v>3049</v>
      </c>
      <c r="C13" s="3187" t="s">
        <v>3066</v>
      </c>
      <c r="D13" s="3187">
        <v>107015.1</v>
      </c>
      <c r="E13" s="3187">
        <v>108085.3</v>
      </c>
      <c r="F13" s="3187" t="s">
        <v>3097</v>
      </c>
      <c r="G13" s="3187">
        <f t="shared" si="0"/>
        <v>1.01</v>
      </c>
      <c r="H13" s="3187" t="s">
        <v>3052</v>
      </c>
      <c r="I13" s="3187" t="s">
        <v>3095</v>
      </c>
      <c r="J13" s="3187">
        <v>29396.59</v>
      </c>
      <c r="K13" s="3187">
        <v>29396.59</v>
      </c>
      <c r="L13" s="3187">
        <v>2719.76</v>
      </c>
      <c r="M13" s="3187">
        <f t="shared" si="1"/>
        <v>2720</v>
      </c>
      <c r="N13" s="3187">
        <v>0</v>
      </c>
      <c r="O13" s="3187" t="s">
        <v>3096</v>
      </c>
      <c r="P13" s="3187" t="s">
        <v>3055</v>
      </c>
    </row>
    <row r="14" spans="1:16">
      <c r="A14" s="3187" t="s">
        <v>3098</v>
      </c>
      <c r="B14" s="3187" t="s">
        <v>3049</v>
      </c>
      <c r="C14" s="3187" t="s">
        <v>3066</v>
      </c>
      <c r="D14" s="3187">
        <v>23183</v>
      </c>
      <c r="E14" s="3187">
        <v>50770.77</v>
      </c>
      <c r="F14" s="3187" t="s">
        <v>3099</v>
      </c>
      <c r="G14" s="3187">
        <f t="shared" si="0"/>
        <v>2.19</v>
      </c>
      <c r="H14" s="3187" t="s">
        <v>3052</v>
      </c>
      <c r="I14" s="3187" t="s">
        <v>3100</v>
      </c>
      <c r="J14" s="3187">
        <v>10979.98</v>
      </c>
      <c r="K14" s="3187">
        <v>10979.98</v>
      </c>
      <c r="L14" s="3187">
        <v>2162.65</v>
      </c>
      <c r="M14" s="3187">
        <f t="shared" si="1"/>
        <v>2163</v>
      </c>
      <c r="N14" s="3187">
        <v>0</v>
      </c>
      <c r="O14" s="3187" t="s">
        <v>3101</v>
      </c>
      <c r="P14" s="3187" t="s">
        <v>3083</v>
      </c>
    </row>
    <row r="15" spans="1:16">
      <c r="A15" s="3187" t="s">
        <v>3102</v>
      </c>
      <c r="B15" s="3187" t="s">
        <v>3049</v>
      </c>
      <c r="C15" s="3187" t="s">
        <v>3066</v>
      </c>
      <c r="D15" s="3187">
        <v>8833</v>
      </c>
      <c r="E15" s="3187">
        <v>22082.5</v>
      </c>
      <c r="F15" s="3187" t="s">
        <v>3103</v>
      </c>
      <c r="G15" s="3187">
        <f t="shared" si="0"/>
        <v>2.5</v>
      </c>
      <c r="H15" s="3187" t="s">
        <v>3052</v>
      </c>
      <c r="I15" s="3187" t="s">
        <v>3100</v>
      </c>
      <c r="J15" s="3187">
        <v>5538.97</v>
      </c>
      <c r="K15" s="3187">
        <v>5538.97</v>
      </c>
      <c r="L15" s="3187">
        <v>2508.3000000000002</v>
      </c>
      <c r="M15" s="3187">
        <f t="shared" si="1"/>
        <v>2508</v>
      </c>
      <c r="N15" s="3187">
        <v>0</v>
      </c>
      <c r="O15" s="3187" t="s">
        <v>3104</v>
      </c>
      <c r="P15" s="3187" t="s">
        <v>3060</v>
      </c>
    </row>
    <row r="16" spans="1:16" s="3193" customFormat="1">
      <c r="A16" s="3192" t="s">
        <v>3105</v>
      </c>
      <c r="B16" s="3192" t="s">
        <v>3049</v>
      </c>
      <c r="C16" s="3192" t="s">
        <v>3066</v>
      </c>
      <c r="D16" s="3192">
        <v>74445.399999999994</v>
      </c>
      <c r="E16" s="3192">
        <v>148890.79999999999</v>
      </c>
      <c r="F16" s="3192" t="s">
        <v>3106</v>
      </c>
      <c r="G16" s="3192">
        <f t="shared" si="0"/>
        <v>2</v>
      </c>
      <c r="H16" s="3192" t="s">
        <v>3052</v>
      </c>
      <c r="I16" s="3192" t="s">
        <v>3107</v>
      </c>
      <c r="J16" s="3192">
        <v>47230</v>
      </c>
      <c r="K16" s="3192">
        <v>75370</v>
      </c>
      <c r="L16" s="3192">
        <v>5062</v>
      </c>
      <c r="M16" s="3192">
        <f t="shared" si="1"/>
        <v>3172</v>
      </c>
      <c r="N16" s="3192">
        <v>59.58</v>
      </c>
      <c r="O16" s="3192" t="s">
        <v>3108</v>
      </c>
      <c r="P16" s="3192" t="s">
        <v>3083</v>
      </c>
    </row>
    <row r="17" spans="1:16" s="3186" customFormat="1">
      <c r="A17" s="3188" t="s">
        <v>3109</v>
      </c>
      <c r="B17" s="3188" t="s">
        <v>3049</v>
      </c>
      <c r="C17" s="3188" t="s">
        <v>3066</v>
      </c>
      <c r="D17" s="3188">
        <v>60011.9</v>
      </c>
      <c r="E17" s="3188">
        <v>78015.47</v>
      </c>
      <c r="F17" s="3188" t="s">
        <v>3110</v>
      </c>
      <c r="G17" s="3188">
        <f t="shared" si="0"/>
        <v>1.3</v>
      </c>
      <c r="H17" s="3188" t="s">
        <v>3052</v>
      </c>
      <c r="I17" s="3188" t="s">
        <v>3111</v>
      </c>
      <c r="J17" s="3188">
        <v>29490</v>
      </c>
      <c r="K17" s="3188">
        <v>45900</v>
      </c>
      <c r="L17" s="3188">
        <v>5883</v>
      </c>
      <c r="M17" s="3188">
        <f t="shared" si="1"/>
        <v>3780</v>
      </c>
      <c r="N17" s="3188">
        <v>55.65</v>
      </c>
      <c r="O17" s="3188" t="s">
        <v>3112</v>
      </c>
      <c r="P17" s="3188" t="s">
        <v>3060</v>
      </c>
    </row>
    <row r="18" spans="1:16">
      <c r="A18" s="3187" t="s">
        <v>3113</v>
      </c>
      <c r="B18" s="3187" t="s">
        <v>3049</v>
      </c>
      <c r="C18" s="3187" t="s">
        <v>3066</v>
      </c>
      <c r="D18" s="3187">
        <v>105321</v>
      </c>
      <c r="E18" s="3187">
        <v>114799.9</v>
      </c>
      <c r="F18" s="3187" t="s">
        <v>3114</v>
      </c>
      <c r="G18" s="3187">
        <f t="shared" si="0"/>
        <v>1.0900000000000001</v>
      </c>
      <c r="H18" s="3187" t="s">
        <v>3052</v>
      </c>
      <c r="I18" s="3187" t="s">
        <v>3115</v>
      </c>
      <c r="J18" s="3187">
        <v>16300.67</v>
      </c>
      <c r="K18" s="3187">
        <v>16300.67</v>
      </c>
      <c r="L18" s="3187">
        <v>1419.92</v>
      </c>
      <c r="M18" s="3187">
        <f t="shared" si="1"/>
        <v>1420</v>
      </c>
      <c r="N18" s="3187">
        <v>0</v>
      </c>
      <c r="O18" s="3187" t="s">
        <v>3116</v>
      </c>
      <c r="P18" s="3187" t="s">
        <v>3060</v>
      </c>
    </row>
    <row r="19" spans="1:16">
      <c r="A19" s="3187" t="s">
        <v>3113</v>
      </c>
      <c r="B19" s="3187" t="s">
        <v>3049</v>
      </c>
      <c r="C19" s="3187" t="s">
        <v>3066</v>
      </c>
      <c r="D19" s="3187">
        <v>111722</v>
      </c>
      <c r="E19" s="3187">
        <v>212271.8</v>
      </c>
      <c r="F19" s="3187" t="s">
        <v>3117</v>
      </c>
      <c r="G19" s="3187">
        <f t="shared" si="0"/>
        <v>1.9</v>
      </c>
      <c r="H19" s="3187" t="s">
        <v>3052</v>
      </c>
      <c r="I19" s="3187" t="s">
        <v>3115</v>
      </c>
      <c r="J19" s="3187" t="s">
        <v>2818</v>
      </c>
      <c r="K19" s="3187">
        <v>23338.720000000001</v>
      </c>
      <c r="L19" s="3187">
        <v>1099.47</v>
      </c>
      <c r="M19" s="3187" t="e">
        <f t="shared" si="1"/>
        <v>#VALUE!</v>
      </c>
      <c r="N19" s="3187" t="s">
        <v>2818</v>
      </c>
      <c r="O19" s="3187" t="s">
        <v>3116</v>
      </c>
      <c r="P19" s="3187" t="s">
        <v>3060</v>
      </c>
    </row>
    <row r="20" spans="1:16">
      <c r="A20" s="3187" t="s">
        <v>3118</v>
      </c>
      <c r="B20" s="3187" t="s">
        <v>3049</v>
      </c>
      <c r="C20" s="3187" t="s">
        <v>3066</v>
      </c>
      <c r="D20" s="3187">
        <v>22024.3</v>
      </c>
      <c r="E20" s="3187">
        <v>46251.03</v>
      </c>
      <c r="F20" s="3187" t="s">
        <v>3119</v>
      </c>
      <c r="G20" s="3187">
        <f t="shared" si="0"/>
        <v>2.1</v>
      </c>
      <c r="H20" s="3187" t="s">
        <v>3052</v>
      </c>
      <c r="I20" s="3187" t="s">
        <v>3120</v>
      </c>
      <c r="J20" s="3187">
        <v>11690</v>
      </c>
      <c r="K20" s="3187">
        <v>40110</v>
      </c>
      <c r="L20" s="3187">
        <v>8672.23</v>
      </c>
      <c r="M20" s="3187">
        <f t="shared" si="1"/>
        <v>2528</v>
      </c>
      <c r="N20" s="3187">
        <v>243.11</v>
      </c>
      <c r="O20" s="3187" t="s">
        <v>3121</v>
      </c>
      <c r="P20" s="3187" t="s">
        <v>3060</v>
      </c>
    </row>
    <row r="21" spans="1:16">
      <c r="A21" s="3187" t="s">
        <v>3122</v>
      </c>
      <c r="B21" s="3187" t="s">
        <v>3049</v>
      </c>
      <c r="C21" s="3187" t="s">
        <v>3050</v>
      </c>
      <c r="D21" s="3187">
        <v>61498.7</v>
      </c>
      <c r="E21" s="3187">
        <v>120537.5</v>
      </c>
      <c r="F21" s="3187" t="s">
        <v>3123</v>
      </c>
      <c r="G21" s="3187">
        <f t="shared" si="0"/>
        <v>1.96</v>
      </c>
      <c r="H21" s="3187" t="s">
        <v>3052</v>
      </c>
      <c r="I21" s="3187" t="s">
        <v>3124</v>
      </c>
      <c r="J21" s="3187">
        <v>14520.62</v>
      </c>
      <c r="K21" s="3187">
        <v>14520.62</v>
      </c>
      <c r="L21" s="3187">
        <v>1204.6600000000001</v>
      </c>
      <c r="M21" s="3187">
        <f t="shared" si="1"/>
        <v>1205</v>
      </c>
      <c r="N21" s="3187">
        <v>0</v>
      </c>
      <c r="O21" s="3187" t="s">
        <v>3125</v>
      </c>
      <c r="P21" s="3187" t="s">
        <v>3060</v>
      </c>
    </row>
    <row r="22" spans="1:16">
      <c r="A22" s="3187" t="s">
        <v>3126</v>
      </c>
      <c r="B22" s="3187" t="s">
        <v>3049</v>
      </c>
      <c r="C22" s="3187" t="s">
        <v>3066</v>
      </c>
      <c r="D22" s="3187">
        <v>62812.6</v>
      </c>
      <c r="E22" s="3187">
        <v>311000</v>
      </c>
      <c r="F22" s="3187" t="s">
        <v>3127</v>
      </c>
      <c r="G22" s="3187">
        <f t="shared" si="0"/>
        <v>4.95</v>
      </c>
      <c r="H22" s="3187" t="s">
        <v>3052</v>
      </c>
      <c r="I22" s="3187" t="s">
        <v>3128</v>
      </c>
      <c r="J22" s="3187">
        <v>87510</v>
      </c>
      <c r="K22" s="3187">
        <v>87510</v>
      </c>
      <c r="L22" s="3187">
        <v>2813.82</v>
      </c>
      <c r="M22" s="3187">
        <f t="shared" si="1"/>
        <v>2814</v>
      </c>
      <c r="N22" s="3187">
        <v>0</v>
      </c>
      <c r="O22" s="3187" t="s">
        <v>3129</v>
      </c>
      <c r="P22" s="3187" t="s">
        <v>3083</v>
      </c>
    </row>
    <row r="23" spans="1:16">
      <c r="A23" s="3187" t="s">
        <v>3130</v>
      </c>
      <c r="B23" s="3187" t="s">
        <v>3049</v>
      </c>
      <c r="C23" s="3187" t="s">
        <v>3050</v>
      </c>
      <c r="D23" s="3187">
        <v>41289</v>
      </c>
      <c r="E23" s="3187">
        <v>75145.98</v>
      </c>
      <c r="F23" s="3187" t="s">
        <v>3131</v>
      </c>
      <c r="G23" s="3187">
        <f t="shared" si="0"/>
        <v>1.82</v>
      </c>
      <c r="H23" s="3187" t="s">
        <v>3052</v>
      </c>
      <c r="I23" s="3187" t="s">
        <v>3132</v>
      </c>
      <c r="J23" s="3187">
        <v>12207.92</v>
      </c>
      <c r="K23" s="3187">
        <v>12207.92</v>
      </c>
      <c r="L23" s="3187">
        <v>1624.55</v>
      </c>
      <c r="M23" s="3187">
        <f t="shared" si="1"/>
        <v>1625</v>
      </c>
      <c r="N23" s="3187">
        <v>0</v>
      </c>
      <c r="O23" s="3187" t="s">
        <v>3101</v>
      </c>
      <c r="P23" s="3187" t="s">
        <v>3060</v>
      </c>
    </row>
    <row r="24" spans="1:16">
      <c r="A24" s="3187" t="s">
        <v>3133</v>
      </c>
      <c r="B24" s="3187" t="s">
        <v>3049</v>
      </c>
      <c r="C24" s="3187" t="s">
        <v>3066</v>
      </c>
      <c r="D24" s="3187">
        <v>13816</v>
      </c>
      <c r="E24" s="3187">
        <v>67836.56</v>
      </c>
      <c r="F24" s="3187" t="s">
        <v>3134</v>
      </c>
      <c r="G24" s="3187">
        <f t="shared" si="0"/>
        <v>4.91</v>
      </c>
      <c r="H24" s="3187" t="s">
        <v>3052</v>
      </c>
      <c r="I24" s="3187" t="s">
        <v>3135</v>
      </c>
      <c r="J24" s="3187">
        <v>5840</v>
      </c>
      <c r="K24" s="3187">
        <v>5850</v>
      </c>
      <c r="L24" s="3187">
        <v>862.37</v>
      </c>
      <c r="M24" s="3187">
        <f t="shared" si="1"/>
        <v>861</v>
      </c>
      <c r="N24" s="3187">
        <v>0.17</v>
      </c>
      <c r="O24" s="3187" t="s">
        <v>3136</v>
      </c>
      <c r="P24" s="3187" t="s">
        <v>3083</v>
      </c>
    </row>
    <row r="25" spans="1:16" s="3195" customFormat="1">
      <c r="A25" s="3194" t="s">
        <v>3137</v>
      </c>
      <c r="B25" s="3194" t="s">
        <v>3049</v>
      </c>
      <c r="C25" s="3194" t="s">
        <v>3066</v>
      </c>
      <c r="D25" s="3194">
        <v>7421</v>
      </c>
      <c r="E25" s="3194">
        <v>7940.47</v>
      </c>
      <c r="F25" s="3194" t="s">
        <v>3138</v>
      </c>
      <c r="G25" s="3194">
        <f t="shared" si="0"/>
        <v>1.07</v>
      </c>
      <c r="H25" s="3194" t="s">
        <v>3052</v>
      </c>
      <c r="I25" s="3194" t="s">
        <v>3139</v>
      </c>
      <c r="J25" s="3194">
        <v>4580</v>
      </c>
      <c r="K25" s="3194">
        <v>4580</v>
      </c>
      <c r="L25" s="3194">
        <v>5767.92</v>
      </c>
      <c r="M25" s="3194">
        <f t="shared" si="1"/>
        <v>5768</v>
      </c>
      <c r="N25" s="3194">
        <v>0</v>
      </c>
      <c r="O25" s="3194" t="s">
        <v>3140</v>
      </c>
      <c r="P25" s="3194" t="s">
        <v>3083</v>
      </c>
    </row>
    <row r="26" spans="1:16">
      <c r="A26" s="3187" t="s">
        <v>3141</v>
      </c>
      <c r="B26" s="3187" t="s">
        <v>3049</v>
      </c>
      <c r="C26" s="3187" t="s">
        <v>3066</v>
      </c>
      <c r="D26" s="3187">
        <v>129526.7</v>
      </c>
      <c r="E26" s="3187">
        <v>330293.09999999998</v>
      </c>
      <c r="F26" s="3187" t="s">
        <v>3142</v>
      </c>
      <c r="G26" s="3187">
        <f t="shared" si="0"/>
        <v>2.5499999999999998</v>
      </c>
      <c r="H26" s="3187" t="s">
        <v>3052</v>
      </c>
      <c r="I26" s="3187" t="s">
        <v>3143</v>
      </c>
      <c r="J26" s="3187">
        <v>12010</v>
      </c>
      <c r="K26" s="3187">
        <v>12010</v>
      </c>
      <c r="L26" s="3187">
        <v>363.62</v>
      </c>
      <c r="M26" s="3187">
        <f t="shared" si="1"/>
        <v>364</v>
      </c>
      <c r="N26" s="3187">
        <v>0</v>
      </c>
      <c r="O26" s="3187" t="s">
        <v>3144</v>
      </c>
      <c r="P26" s="3187" t="s">
        <v>3060</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F26" sqref="F26"/>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13</v>
      </c>
    </row>
    <row r="2" spans="1:31" s="2025" customFormat="1" ht="18" customHeight="1">
      <c r="A2" s="2085" t="s">
        <v>467</v>
      </c>
      <c r="B2" s="2089">
        <f ca="1">C36</f>
        <v>124664</v>
      </c>
      <c r="C2" s="2088"/>
      <c r="D2" s="2088"/>
      <c r="E2" s="2088"/>
      <c r="F2" s="2088"/>
      <c r="G2" s="2088"/>
      <c r="H2" s="2088"/>
      <c r="I2" s="2088"/>
      <c r="J2" s="2088"/>
      <c r="K2" s="2088"/>
    </row>
    <row r="3" spans="1:31" s="2025" customFormat="1" ht="18" customHeight="1">
      <c r="A3" s="2090" t="s">
        <v>1684</v>
      </c>
      <c r="B3" s="2091">
        <f ca="1">ROUND(B2*10000/IF(B1="",'数据-汇总表'!E3,INDIRECT("'数据-取费表'!K"&amp;$K$1)),0)</f>
        <v>3332</v>
      </c>
      <c r="C3" s="2088"/>
      <c r="D3" s="2088"/>
      <c r="E3" s="2088"/>
      <c r="F3" s="2088"/>
      <c r="G3" s="2088"/>
      <c r="H3" s="2088"/>
      <c r="I3" s="2088"/>
      <c r="J3" s="2088"/>
      <c r="K3" s="2088"/>
      <c r="L3" s="2025">
        <f>180000/'数据-汇总表'!F27*10000</f>
        <v>6936.3894551466092</v>
      </c>
    </row>
    <row r="4" spans="1:31" s="2025" customFormat="1" ht="18" customHeight="1">
      <c r="A4" s="425" t="s">
        <v>468</v>
      </c>
      <c r="B4" s="426">
        <f ca="1">ROUND(B2*10000/IF(B1="",'数据-汇总表'!D3,INDIRECT("'数据-取费表'!R"&amp;$K$1)),0)</f>
        <v>47177</v>
      </c>
      <c r="C4" s="427"/>
      <c r="D4" s="421"/>
      <c r="E4" s="421"/>
      <c r="F4" s="421"/>
      <c r="G4" s="421"/>
      <c r="H4" s="421"/>
      <c r="I4" s="421"/>
      <c r="J4" s="421"/>
      <c r="K4" s="421"/>
    </row>
    <row r="5" spans="1:31" s="2025" customFormat="1" ht="18" customHeight="1" thickBot="1">
      <c r="A5" s="428"/>
      <c r="B5" s="429">
        <f ca="1">ROUND(B2/(IF(B1="",'数据-汇总表'!D3,INDIRECT("'数据-取费表'!R"&amp;$K$1))/666.67),0)</f>
        <v>3145</v>
      </c>
      <c r="C5" s="430" t="s">
        <v>469</v>
      </c>
      <c r="D5" s="421"/>
      <c r="E5" s="421"/>
      <c r="F5" s="421"/>
      <c r="G5" s="421"/>
      <c r="H5" s="421"/>
      <c r="I5" s="421"/>
      <c r="J5" s="421"/>
      <c r="K5" s="421"/>
    </row>
    <row r="6" spans="1:31" s="2095" customFormat="1" ht="16.5" customHeight="1">
      <c r="A6" s="2782" t="s">
        <v>1842</v>
      </c>
      <c r="B6" s="2783"/>
      <c r="C6" s="2784">
        <f>SUM(C10:K10)</f>
        <v>420655</v>
      </c>
      <c r="D6" s="2783"/>
      <c r="E6" s="2783"/>
      <c r="F6" s="2783"/>
      <c r="G6" s="2783"/>
      <c r="H6" s="2783"/>
      <c r="I6" s="2783"/>
      <c r="J6" s="2783"/>
      <c r="K6" s="2785"/>
    </row>
    <row r="7" spans="1:31" s="2097" customFormat="1" ht="15">
      <c r="A7" s="2786" t="s">
        <v>470</v>
      </c>
      <c r="B7" s="2787" t="s">
        <v>471</v>
      </c>
      <c r="C7" s="435" t="s">
        <v>923</v>
      </c>
      <c r="D7" s="435" t="s">
        <v>3010</v>
      </c>
      <c r="E7" s="435" t="s">
        <v>1677</v>
      </c>
      <c r="F7" s="435" t="s">
        <v>3019</v>
      </c>
      <c r="G7" s="435" t="s">
        <v>3162</v>
      </c>
      <c r="H7" s="435" t="s">
        <v>3164</v>
      </c>
      <c r="I7" s="435" t="s">
        <v>3166</v>
      </c>
      <c r="J7" s="435"/>
      <c r="K7" s="436"/>
      <c r="L7" s="3199" t="s">
        <v>3153</v>
      </c>
      <c r="M7" s="2096">
        <v>18000</v>
      </c>
      <c r="N7" s="2096">
        <v>18000</v>
      </c>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M10</f>
        <v>18500</v>
      </c>
      <c r="D8" s="2788">
        <f>面积!N8</f>
        <v>19509</v>
      </c>
      <c r="E8" s="3206">
        <f>12000*1.1</f>
        <v>13200.000000000002</v>
      </c>
      <c r="F8" s="2788">
        <v>4000</v>
      </c>
      <c r="G8" s="2788">
        <v>0</v>
      </c>
      <c r="H8" s="2788">
        <v>0</v>
      </c>
      <c r="I8" s="2788">
        <v>0</v>
      </c>
      <c r="J8" s="2788"/>
      <c r="K8" s="2789"/>
      <c r="L8" s="3201" t="s">
        <v>3154</v>
      </c>
      <c r="M8" s="2098" t="s">
        <v>3155</v>
      </c>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72805</v>
      </c>
      <c r="D9" s="440">
        <f>SUMIF('数据-汇总表'!$C19:$C33,'剩余法-待开发'!D7,'数据-汇总表'!$E19:$E33)</f>
        <v>69398</v>
      </c>
      <c r="E9" s="440">
        <f>SUMIF('数据-汇总表'!$C19:$C33,'剩余法-待开发'!E7,'数据-汇总表'!$E19:$E33)</f>
        <v>90459</v>
      </c>
      <c r="F9" s="440">
        <f>SUMIF('数据-汇总表'!$C19:$C33,'剩余法-待开发'!F7,'数据-汇总表'!$E19:$E33)</f>
        <v>77927</v>
      </c>
      <c r="G9" s="440">
        <f>SUMIF('数据-汇总表'!$C19:$C33,'剩余法-待开发'!G7,'数据-汇总表'!$E19:$E33)</f>
        <v>43024</v>
      </c>
      <c r="H9" s="440">
        <f>SUMIF('数据-汇总表'!$C19:$C33,'剩余法-待开发'!H7,'数据-汇总表'!$E19:$E33)</f>
        <v>2530</v>
      </c>
      <c r="I9" s="440">
        <f>SUMIF('数据-汇总表'!$C19:$C33,'剩余法-待开发'!I7,'数据-汇总表'!$E19:$E33)</f>
        <v>2204</v>
      </c>
      <c r="J9" s="440">
        <f>SUMIF('数据-汇总表'!$C19:$C33,'剩余法-待开发'!J7,'数据-汇总表'!$E19:$E33)</f>
        <v>0</v>
      </c>
      <c r="K9" s="441">
        <f>SUMIF('数据-汇总表'!$C19:$C33,'剩余法-待开发'!K7,'数据-汇总表'!$E19:$E33)</f>
        <v>0</v>
      </c>
      <c r="L9" s="3200" t="s">
        <v>3156</v>
      </c>
      <c r="M9" s="2098">
        <v>18500</v>
      </c>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ROUND(C8*C9/10000,0)</f>
        <v>134689</v>
      </c>
      <c r="D10" s="2980">
        <f>ROUND(D8*D9/10000,0)</f>
        <v>135389</v>
      </c>
      <c r="E10" s="3207">
        <f>ROUND(E8*E9/10000,0)</f>
        <v>119406</v>
      </c>
      <c r="F10" s="2980">
        <f>ROUND(F8*F9/10000,0)</f>
        <v>31171</v>
      </c>
      <c r="G10" s="2791">
        <v>0</v>
      </c>
      <c r="H10" s="2791">
        <v>0</v>
      </c>
      <c r="I10" s="2791">
        <v>0</v>
      </c>
      <c r="J10" s="2791"/>
      <c r="K10" s="2792"/>
      <c r="L10" s="2098">
        <v>160000</v>
      </c>
      <c r="M10" s="2098">
        <f>(18000+18500+19000)/3</f>
        <v>18500</v>
      </c>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165979</v>
      </c>
      <c r="D13" s="2798"/>
      <c r="E13" s="2799"/>
      <c r="F13" s="2800"/>
      <c r="G13" s="2766"/>
      <c r="H13" s="2767"/>
      <c r="I13" s="2767"/>
      <c r="J13" s="2767"/>
      <c r="K13" s="2768"/>
    </row>
    <row r="14" spans="1:31" s="2100" customFormat="1" ht="13.5" customHeight="1">
      <c r="A14" s="2796" t="s">
        <v>1849</v>
      </c>
      <c r="B14" s="2797" t="s">
        <v>480</v>
      </c>
      <c r="C14" s="53">
        <f ca="1">ROUND(C13*F14,0)</f>
        <v>6639</v>
      </c>
      <c r="D14" s="2798"/>
      <c r="E14" s="2799"/>
      <c r="F14" s="2801">
        <f>'数据-取费表'!B33</f>
        <v>0.04</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2788</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7482</v>
      </c>
      <c r="D16" s="2798">
        <f ca="1">IF(B1="",'数据-汇总表'!E3,INDIRECT("'数据-取费表'!K"&amp;$K$1)+INDIRECT("'数据-取费表'!S"&amp;$K$1))</f>
        <v>374106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2490</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185378</v>
      </c>
      <c r="D18" s="2807"/>
      <c r="E18" s="467"/>
      <c r="F18" s="467"/>
      <c r="G18" s="2770" t="s">
        <v>2430</v>
      </c>
      <c r="H18" s="2771"/>
      <c r="I18" s="2771"/>
      <c r="J18" s="2771"/>
      <c r="K18" s="2772"/>
    </row>
    <row r="19" spans="1:14" s="2100" customFormat="1" ht="13.5" customHeight="1">
      <c r="A19" s="2804" t="s">
        <v>1854</v>
      </c>
      <c r="B19" s="2805" t="s">
        <v>488</v>
      </c>
      <c r="C19" s="2762">
        <f ca="1">ROUND(D19*E19/10000,0)</f>
        <v>4489</v>
      </c>
      <c r="D19" s="2808">
        <f ca="1">D16</f>
        <v>374106</v>
      </c>
      <c r="E19" s="2762">
        <f>'数据-取费表'!B32</f>
        <v>120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8767</v>
      </c>
      <c r="D20" s="2808"/>
      <c r="E20" s="2762"/>
      <c r="F20" s="2809"/>
      <c r="G20" s="3037"/>
      <c r="H20" s="2764"/>
      <c r="I20" s="2765" t="s">
        <v>2651</v>
      </c>
      <c r="J20" s="2771"/>
      <c r="K20" s="2772"/>
    </row>
    <row r="21" spans="1:14" s="2100" customFormat="1" ht="13.5" customHeight="1">
      <c r="A21" s="2796" t="s">
        <v>1856</v>
      </c>
      <c r="B21" s="2797" t="s">
        <v>491</v>
      </c>
      <c r="C21" s="53">
        <f ca="1">ROUND(D21*E21/10000,0)</f>
        <v>2930</v>
      </c>
      <c r="D21" s="2798">
        <f ca="1">IF(B1="",'数据-汇总表'!E5,IF(INDIRECT("'数据-取费表'!c"&amp;$K$1)="住宅",INDIRECT("'数据-取费表'!k"&amp;$K$1),0))</f>
        <v>115829</v>
      </c>
      <c r="E21" s="53">
        <f>'数据-取费表'!B27</f>
        <v>253</v>
      </c>
      <c r="F21" s="2801"/>
      <c r="G21" s="26"/>
      <c r="H21" s="51"/>
      <c r="I21" s="51"/>
      <c r="J21" s="51"/>
      <c r="K21" s="2773"/>
    </row>
    <row r="22" spans="1:14" s="2100" customFormat="1" ht="13.5" customHeight="1">
      <c r="A22" s="2796" t="s">
        <v>1857</v>
      </c>
      <c r="B22" s="2797" t="s">
        <v>492</v>
      </c>
      <c r="C22" s="53">
        <f ca="1">ROUND(D22*E22/10000,0)</f>
        <v>5837</v>
      </c>
      <c r="D22" s="2798">
        <f ca="1">IF(B1="",'数据-汇总表'!E6,IF(INDIRECT("'数据-取费表'!c"&amp;$K$1)="住宅",INDIRECT("'数据-取费表'!s"&amp;$K$1),INDIRECT("'数据-取费表'!k"&amp;$K$1)+INDIRECT("'数据-取费表'!s"&amp;$K$1)))</f>
        <v>258277</v>
      </c>
      <c r="E22" s="53">
        <f>'数据-取费表'!B28</f>
        <v>226</v>
      </c>
      <c r="F22" s="2801"/>
      <c r="G22" s="26"/>
      <c r="H22" s="51"/>
      <c r="I22" s="51"/>
      <c r="J22" s="51"/>
      <c r="K22" s="2773"/>
    </row>
    <row r="23" spans="1:14" s="2100" customFormat="1" ht="13.5" customHeight="1">
      <c r="A23" s="2804" t="s">
        <v>1858</v>
      </c>
      <c r="B23" s="2986" t="s">
        <v>2834</v>
      </c>
      <c r="C23" s="2806">
        <f ca="1">ROUND((C18+C19+C20)*F23,0)</f>
        <v>3973</v>
      </c>
      <c r="D23" s="467"/>
      <c r="E23" s="467"/>
      <c r="F23" s="2810">
        <f>'数据-取费表'!B37</f>
        <v>0.02</v>
      </c>
      <c r="G23" s="2766" t="s">
        <v>2431</v>
      </c>
      <c r="H23" s="2767"/>
      <c r="I23" s="2767"/>
      <c r="J23" s="2767"/>
      <c r="K23" s="2768"/>
      <c r="L23" s="2102"/>
      <c r="M23" s="2102"/>
      <c r="N23" s="2102"/>
    </row>
    <row r="24" spans="1:14" s="2100" customFormat="1" ht="13.5" customHeight="1">
      <c r="A24" s="2804" t="s">
        <v>1859</v>
      </c>
      <c r="B24" s="2986" t="s">
        <v>2837</v>
      </c>
      <c r="C24" s="2806">
        <f>ROUND(C6*F24,0)</f>
        <v>8413</v>
      </c>
      <c r="D24" s="474"/>
      <c r="E24" s="472"/>
      <c r="F24" s="2810">
        <f>'数据-取费表'!B38</f>
        <v>0.02</v>
      </c>
      <c r="G24" s="2775" t="s">
        <v>499</v>
      </c>
      <c r="H24" s="2769"/>
      <c r="I24" s="2769"/>
      <c r="J24" s="2769"/>
      <c r="K24" s="278"/>
      <c r="L24" s="2102"/>
      <c r="M24" s="2102"/>
      <c r="N24" s="2102"/>
    </row>
    <row r="25" spans="1:14" s="2103" customFormat="1" ht="13.5" customHeight="1">
      <c r="A25" s="2804" t="s">
        <v>1860</v>
      </c>
      <c r="B25" s="2986"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2836</v>
      </c>
      <c r="C26" s="2811">
        <f ca="1">C28</f>
        <v>12603</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12603</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ROUND(C6*F29/(1+'数据-取费表'!C42),0)</f>
        <v>22435</v>
      </c>
      <c r="D29" s="467"/>
      <c r="E29" s="467"/>
      <c r="F29" s="2988">
        <f>'数据-取费表'!B41</f>
        <v>5.6000000000000001E-2</v>
      </c>
      <c r="G29" s="2775" t="s">
        <v>498</v>
      </c>
      <c r="H29" s="2767"/>
      <c r="I29" s="2767"/>
      <c r="J29" s="2767"/>
      <c r="K29" s="2768"/>
    </row>
    <row r="30" spans="1:14" s="2105" customFormat="1" ht="13.5" customHeight="1">
      <c r="A30" s="1619" t="s">
        <v>1863</v>
      </c>
      <c r="B30" s="2816" t="s">
        <v>500</v>
      </c>
      <c r="C30" s="2811">
        <f ca="1">C31</f>
        <v>246058</v>
      </c>
      <c r="D30" s="476">
        <f ca="1">C32</f>
        <v>0.15559999999999999</v>
      </c>
      <c r="E30" s="468" t="s">
        <v>495</v>
      </c>
      <c r="F30" s="470"/>
      <c r="G30" s="2774" t="s">
        <v>2969</v>
      </c>
      <c r="H30" s="2767"/>
      <c r="I30" s="2767"/>
      <c r="J30" s="2767"/>
      <c r="K30" s="2768"/>
    </row>
    <row r="31" spans="1:14" s="2104" customFormat="1" ht="13.5" customHeight="1">
      <c r="A31" s="802" t="s">
        <v>1856</v>
      </c>
      <c r="B31" s="2812"/>
      <c r="C31" s="449">
        <f ca="1">C18+C19+C20+C23+C24+C26+C29</f>
        <v>246058</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5" t="s">
        <v>2833</v>
      </c>
      <c r="B33" s="2983" t="s">
        <v>2831</v>
      </c>
      <c r="C33" s="477">
        <f ca="1">C35</f>
        <v>18992</v>
      </c>
      <c r="D33" s="466">
        <f ca="1">C34</f>
        <v>9.2600000000000002E-2</v>
      </c>
      <c r="E33" s="468" t="s">
        <v>495</v>
      </c>
      <c r="F33" s="478">
        <f ca="1">IF(B1="",'数据-取费表'!Q16,INDIRECT("'数据-取费表'!q"&amp;$K$1))</f>
        <v>0.09</v>
      </c>
      <c r="G33" s="2770"/>
      <c r="H33" s="2771"/>
      <c r="I33" s="2771"/>
      <c r="J33" s="2771"/>
      <c r="K33" s="2772"/>
    </row>
    <row r="34" spans="1:11" s="2107" customFormat="1" ht="13.5" customHeight="1">
      <c r="A34" s="374" t="s">
        <v>1856</v>
      </c>
      <c r="B34" s="2817" t="s">
        <v>501</v>
      </c>
      <c r="C34" s="471">
        <f ca="1">ROUND((1+C25)*F33,4)</f>
        <v>9.2600000000000002E-2</v>
      </c>
      <c r="D34" s="471"/>
      <c r="E34" s="472"/>
      <c r="F34" s="479"/>
      <c r="G34" s="260" t="s">
        <v>2290</v>
      </c>
      <c r="H34" s="2769"/>
      <c r="I34" s="2769"/>
      <c r="J34" s="2769"/>
      <c r="K34" s="278"/>
    </row>
    <row r="35" spans="1:11" s="2107" customFormat="1" ht="13.5" customHeight="1" thickBot="1">
      <c r="A35" s="1620" t="s">
        <v>1857</v>
      </c>
      <c r="B35" s="2984" t="s">
        <v>2839</v>
      </c>
      <c r="C35" s="1612">
        <f ca="1">ROUND((C18+C19+C20+C23+C24)*F33,0)</f>
        <v>18992</v>
      </c>
      <c r="D35" s="1613"/>
      <c r="E35" s="2818"/>
      <c r="F35" s="1614"/>
      <c r="G35" s="2776"/>
      <c r="H35" s="2777"/>
      <c r="I35" s="2777"/>
      <c r="J35" s="2777"/>
      <c r="K35" s="2778"/>
    </row>
    <row r="36" spans="1:11" s="2069" customFormat="1" ht="13.5" customHeight="1" thickBot="1">
      <c r="A36" s="283" t="s">
        <v>1844</v>
      </c>
      <c r="B36" s="2780"/>
      <c r="C36" s="2819">
        <f ca="1">ROUND((C6-C30-C33)/(1+D30+D33),0)</f>
        <v>124664</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13</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165979</v>
      </c>
      <c r="D13" s="450"/>
      <c r="E13" s="364"/>
      <c r="F13" s="451"/>
      <c r="G13" s="443"/>
      <c r="H13" s="446"/>
      <c r="I13" s="446"/>
      <c r="J13" s="446"/>
      <c r="K13" s="447"/>
    </row>
    <row r="14" spans="1:41" s="2100" customFormat="1" ht="13.5" customHeight="1">
      <c r="A14" s="1617" t="s">
        <v>1849</v>
      </c>
      <c r="B14" s="448" t="s">
        <v>480</v>
      </c>
      <c r="C14" s="53">
        <f ca="1">ROUND(C13*F14,0)</f>
        <v>6639</v>
      </c>
      <c r="D14" s="450"/>
      <c r="E14" s="364"/>
      <c r="F14" s="452">
        <f>'数据-取费表'!B33</f>
        <v>0.04</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2788</v>
      </c>
      <c r="D15" s="450"/>
      <c r="E15" s="364"/>
      <c r="F15" s="452">
        <f>'数据-取费表'!B34</f>
        <v>0.05</v>
      </c>
      <c r="G15" s="443" t="s">
        <v>502</v>
      </c>
      <c r="H15" s="446"/>
      <c r="I15" s="446"/>
      <c r="J15" s="446"/>
      <c r="K15" s="447"/>
    </row>
    <row r="16" spans="1:41" s="2101" customFormat="1" ht="13.5" customHeight="1">
      <c r="A16" s="1617" t="s">
        <v>1851</v>
      </c>
      <c r="B16" s="448" t="s">
        <v>484</v>
      </c>
      <c r="C16" s="53">
        <f ca="1">ROUND(D16*E16/10000,0)</f>
        <v>7482</v>
      </c>
      <c r="D16" s="450">
        <f ca="1">IF(B1="",'数据-汇总表'!E3,INDIRECT("'数据-取费表'!K"&amp;$K$1)+INDIRECT("'数据-取费表'!S"&amp;$K$1))</f>
        <v>374106</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2490</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185378</v>
      </c>
      <c r="D18" s="460"/>
      <c r="E18" s="461"/>
      <c r="F18" s="461"/>
      <c r="G18" s="1322" t="s">
        <v>2432</v>
      </c>
      <c r="H18" s="446"/>
      <c r="I18" s="446"/>
      <c r="J18" s="446"/>
      <c r="K18" s="447"/>
    </row>
    <row r="19" spans="1:14" s="2103" customFormat="1" ht="13.5" customHeight="1">
      <c r="A19" s="1618" t="s">
        <v>1854</v>
      </c>
      <c r="B19" s="458" t="s">
        <v>493</v>
      </c>
      <c r="C19" s="459">
        <f ca="1">ROUND(C18*F19,0)</f>
        <v>3708</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981">
        <f>F20</f>
        <v>0.02</v>
      </c>
      <c r="D20" s="468" t="s">
        <v>505</v>
      </c>
      <c r="E20" s="468"/>
      <c r="F20" s="485">
        <f>'数据-取费表'!B38</f>
        <v>0.02</v>
      </c>
      <c r="G20" s="1322" t="s">
        <v>506</v>
      </c>
      <c r="H20" s="446"/>
      <c r="I20" s="446"/>
      <c r="J20" s="446"/>
      <c r="K20" s="447"/>
      <c r="L20" s="2105"/>
      <c r="M20" s="2105"/>
      <c r="N20" s="2105"/>
    </row>
    <row r="21" spans="1:14" s="2105" customFormat="1" ht="13.5" customHeight="1">
      <c r="A21" s="1618" t="s">
        <v>1858</v>
      </c>
      <c r="B21" s="460" t="s">
        <v>494</v>
      </c>
      <c r="C21" s="469">
        <f ca="1">C22</f>
        <v>11293</v>
      </c>
      <c r="D21" s="466">
        <f ca="1">C23</f>
        <v>1.1999999999999999E-3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11293</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1.1999999999999999E-3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3" t="s">
        <v>2832</v>
      </c>
      <c r="C24" s="477">
        <f ca="1">C25</f>
        <v>17018</v>
      </c>
      <c r="D24" s="488">
        <f ca="1">C26</f>
        <v>1.8E-3</v>
      </c>
      <c r="E24" s="468" t="s">
        <v>507</v>
      </c>
      <c r="F24" s="478">
        <f ca="1">IF(B1="",'数据-取费表'!Q16,INDIRECT("'数据-取费表'!q"&amp;$K$1))</f>
        <v>0.09</v>
      </c>
      <c r="G24" s="443"/>
      <c r="H24" s="446"/>
      <c r="I24" s="446"/>
      <c r="J24" s="446"/>
      <c r="K24" s="447"/>
    </row>
    <row r="25" spans="1:14" s="2104" customFormat="1" ht="13.5" customHeight="1">
      <c r="A25" s="1617" t="s">
        <v>1848</v>
      </c>
      <c r="B25" s="1323" t="s">
        <v>2436</v>
      </c>
      <c r="C25" s="489">
        <f ca="1">ROUND((C18+C19)*F24,0)</f>
        <v>17018</v>
      </c>
      <c r="D25" s="471"/>
      <c r="E25" s="472"/>
      <c r="F25" s="479"/>
      <c r="G25" s="1321" t="s">
        <v>2433</v>
      </c>
      <c r="H25" s="456"/>
      <c r="I25" s="456"/>
      <c r="J25" s="456"/>
      <c r="K25" s="457"/>
    </row>
    <row r="26" spans="1:14" s="2104" customFormat="1" ht="13.5" customHeight="1">
      <c r="A26" s="1617" t="s">
        <v>1849</v>
      </c>
      <c r="B26" s="1323" t="s">
        <v>509</v>
      </c>
      <c r="C26" s="490">
        <f ca="1">ROUND(F20*F24,4)</f>
        <v>1.8E-3</v>
      </c>
      <c r="D26" s="471"/>
      <c r="E26" s="480"/>
      <c r="F26" s="479"/>
      <c r="G26" s="1321" t="s">
        <v>510</v>
      </c>
      <c r="H26" s="456"/>
      <c r="I26" s="456"/>
      <c r="J26" s="456"/>
      <c r="K26" s="457"/>
    </row>
    <row r="27" spans="1:14" s="2104" customFormat="1" ht="13.5" customHeight="1">
      <c r="A27" s="1621" t="s">
        <v>1867</v>
      </c>
      <c r="B27" s="458" t="s">
        <v>511</v>
      </c>
      <c r="C27" s="2982">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235355</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82" t="s">
        <v>522</v>
      </c>
      <c r="D6" s="3383"/>
      <c r="E6" s="3416" t="s">
        <v>523</v>
      </c>
      <c r="F6" s="3417"/>
      <c r="G6" s="3382" t="s">
        <v>524</v>
      </c>
      <c r="H6" s="3383"/>
      <c r="I6" s="3382" t="s">
        <v>525</v>
      </c>
      <c r="J6" s="3383"/>
      <c r="K6" s="513" t="s">
        <v>526</v>
      </c>
      <c r="L6" s="2117"/>
      <c r="M6" s="2118"/>
      <c r="N6" s="2118"/>
      <c r="O6" s="2118"/>
      <c r="P6" s="3384" t="s">
        <v>527</v>
      </c>
      <c r="Q6" s="3385"/>
      <c r="R6" s="3390" t="s">
        <v>523</v>
      </c>
      <c r="S6" s="3391"/>
      <c r="T6" s="3390" t="s">
        <v>524</v>
      </c>
      <c r="U6" s="3391"/>
      <c r="V6" s="3377" t="s">
        <v>525</v>
      </c>
      <c r="W6" s="3377"/>
      <c r="X6" s="1552"/>
      <c r="Y6" s="3390" t="s">
        <v>527</v>
      </c>
      <c r="Z6" s="3391"/>
      <c r="AA6" s="3379" t="s">
        <v>523</v>
      </c>
      <c r="AB6" s="3380" t="s">
        <v>524</v>
      </c>
      <c r="AC6" s="3379" t="s">
        <v>525</v>
      </c>
    </row>
    <row r="7" spans="1:29" ht="15">
      <c r="A7" s="514"/>
      <c r="B7" s="515"/>
      <c r="C7" s="3398" t="s">
        <v>2927</v>
      </c>
      <c r="D7" s="3399"/>
      <c r="E7" s="3418" t="s">
        <v>2928</v>
      </c>
      <c r="F7" s="3419"/>
      <c r="G7" s="3398" t="s">
        <v>2929</v>
      </c>
      <c r="H7" s="3399"/>
      <c r="I7" s="3398" t="s">
        <v>2930</v>
      </c>
      <c r="J7" s="3399"/>
      <c r="K7" s="513"/>
      <c r="L7" s="2117"/>
      <c r="M7" s="2118"/>
      <c r="N7" s="2118"/>
      <c r="O7" s="2118"/>
      <c r="P7" s="3386"/>
      <c r="Q7" s="3387"/>
      <c r="R7" s="3392"/>
      <c r="S7" s="3393"/>
      <c r="T7" s="3392"/>
      <c r="U7" s="3393"/>
      <c r="V7" s="3377"/>
      <c r="W7" s="3377"/>
      <c r="X7" s="1552"/>
      <c r="Y7" s="3392"/>
      <c r="Z7" s="3393"/>
      <c r="AA7" s="3380"/>
      <c r="AB7" s="3380"/>
      <c r="AC7" s="3380"/>
    </row>
    <row r="8" spans="1:29" ht="15.75" thickBot="1">
      <c r="A8" s="516"/>
      <c r="B8" s="517"/>
      <c r="C8" s="3396" t="s">
        <v>2931</v>
      </c>
      <c r="D8" s="3397"/>
      <c r="E8" s="3414" t="s">
        <v>2931</v>
      </c>
      <c r="F8" s="3415"/>
      <c r="G8" s="3396" t="s">
        <v>2931</v>
      </c>
      <c r="H8" s="3397"/>
      <c r="I8" s="3396" t="s">
        <v>2931</v>
      </c>
      <c r="J8" s="3397"/>
      <c r="K8" s="513" t="s">
        <v>528</v>
      </c>
      <c r="L8" s="2117"/>
      <c r="M8" s="2118"/>
      <c r="N8" s="2118"/>
      <c r="O8" s="2118"/>
      <c r="P8" s="3388"/>
      <c r="Q8" s="3389"/>
      <c r="R8" s="3392"/>
      <c r="S8" s="3393"/>
      <c r="T8" s="3394"/>
      <c r="U8" s="3395"/>
      <c r="V8" s="3377"/>
      <c r="W8" s="3377"/>
      <c r="X8" s="1552"/>
      <c r="Y8" s="3394"/>
      <c r="Z8" s="3395"/>
      <c r="AA8" s="3381"/>
      <c r="AB8" s="3381"/>
      <c r="AC8" s="3381"/>
    </row>
    <row r="9" spans="1:29" s="1215" customFormat="1" ht="15.75" thickBot="1">
      <c r="A9" s="2866"/>
      <c r="B9" s="2873" t="s">
        <v>529</v>
      </c>
      <c r="C9" s="518">
        <f>'数据-取费表'!B2</f>
        <v>43663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7" t="s">
        <v>530</v>
      </c>
      <c r="Q9" s="3409"/>
      <c r="R9" s="1553" t="s">
        <v>8</v>
      </c>
      <c r="S9" s="1554">
        <f t="shared" ref="S9:S17" si="0">F9</f>
        <v>0</v>
      </c>
      <c r="T9" s="1553" t="s">
        <v>8</v>
      </c>
      <c r="U9" s="1554">
        <f t="shared" ref="U9:U17" si="1">H9</f>
        <v>0</v>
      </c>
      <c r="V9" s="1553" t="s">
        <v>8</v>
      </c>
      <c r="W9" s="1554">
        <f t="shared" ref="W9:W17" si="2">J9</f>
        <v>0</v>
      </c>
      <c r="X9" s="1555"/>
      <c r="Y9" s="3407" t="s">
        <v>530</v>
      </c>
      <c r="Z9" s="3408"/>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7" t="s">
        <v>533</v>
      </c>
      <c r="Q10" s="3408"/>
      <c r="R10" s="1553" t="s">
        <v>8</v>
      </c>
      <c r="S10" s="1554">
        <f t="shared" si="0"/>
        <v>0</v>
      </c>
      <c r="T10" s="1553" t="s">
        <v>8</v>
      </c>
      <c r="U10" s="1554">
        <f t="shared" si="1"/>
        <v>0</v>
      </c>
      <c r="V10" s="1553" t="s">
        <v>8</v>
      </c>
      <c r="W10" s="1554">
        <f t="shared" si="2"/>
        <v>0</v>
      </c>
      <c r="X10" s="1555"/>
      <c r="Y10" s="3407" t="s">
        <v>533</v>
      </c>
      <c r="Z10" s="3408"/>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6" t="s">
        <v>535</v>
      </c>
      <c r="Q11" s="1146" t="str">
        <f t="shared" ref="Q11:Q17" si="6">B11</f>
        <v>用途</v>
      </c>
      <c r="R11" s="1553" t="s">
        <v>8</v>
      </c>
      <c r="S11" s="1554">
        <f t="shared" si="0"/>
        <v>100</v>
      </c>
      <c r="T11" s="1553" t="s">
        <v>8</v>
      </c>
      <c r="U11" s="1554">
        <f t="shared" si="1"/>
        <v>100</v>
      </c>
      <c r="V11" s="1553" t="s">
        <v>8</v>
      </c>
      <c r="W11" s="1554">
        <f t="shared" si="2"/>
        <v>100</v>
      </c>
      <c r="X11" s="1555"/>
      <c r="Y11" s="3322"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376"/>
      <c r="Q12" s="1146" t="str">
        <f t="shared" si="6"/>
        <v>土地使用年限（年）</v>
      </c>
      <c r="R12" s="1553" t="s">
        <v>8</v>
      </c>
      <c r="S12" s="1554">
        <f t="shared" si="0"/>
        <v>100</v>
      </c>
      <c r="T12" s="1553" t="s">
        <v>8</v>
      </c>
      <c r="U12" s="1554">
        <f t="shared" si="1"/>
        <v>100</v>
      </c>
      <c r="V12" s="1553" t="s">
        <v>8</v>
      </c>
      <c r="W12" s="1554">
        <f t="shared" si="2"/>
        <v>100</v>
      </c>
      <c r="X12" s="1555"/>
      <c r="Y12" s="3322"/>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6"/>
      <c r="Q13" s="1146" t="str">
        <f t="shared" si="6"/>
        <v>容积率</v>
      </c>
      <c r="R13" s="1553" t="s">
        <v>8</v>
      </c>
      <c r="S13" s="1554" t="e">
        <f t="shared" si="0"/>
        <v>#N/A</v>
      </c>
      <c r="T13" s="1553" t="s">
        <v>8</v>
      </c>
      <c r="U13" s="1554" t="e">
        <f t="shared" si="1"/>
        <v>#N/A</v>
      </c>
      <c r="V13" s="1553" t="s">
        <v>8</v>
      </c>
      <c r="W13" s="1554" t="e">
        <f t="shared" si="2"/>
        <v>#N/A</v>
      </c>
      <c r="X13" s="1555"/>
      <c r="Y13" s="3322"/>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6"/>
      <c r="Q15" s="1146">
        <f t="shared" si="6"/>
        <v>111</v>
      </c>
      <c r="R15" s="1553" t="s">
        <v>8</v>
      </c>
      <c r="S15" s="1554">
        <f t="shared" si="0"/>
        <v>100</v>
      </c>
      <c r="T15" s="1553" t="s">
        <v>8</v>
      </c>
      <c r="U15" s="1554">
        <f t="shared" si="1"/>
        <v>100</v>
      </c>
      <c r="V15" s="1553" t="s">
        <v>8</v>
      </c>
      <c r="W15" s="1554">
        <f t="shared" si="2"/>
        <v>100</v>
      </c>
      <c r="X15" s="1555"/>
      <c r="Y15" s="3322"/>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6"/>
      <c r="Q16" s="1146">
        <f t="shared" si="6"/>
        <v>111</v>
      </c>
      <c r="R16" s="1553" t="s">
        <v>8</v>
      </c>
      <c r="S16" s="1554">
        <f t="shared" si="0"/>
        <v>100</v>
      </c>
      <c r="T16" s="1553" t="s">
        <v>8</v>
      </c>
      <c r="U16" s="1554">
        <f t="shared" si="1"/>
        <v>100</v>
      </c>
      <c r="V16" s="1553" t="s">
        <v>8</v>
      </c>
      <c r="W16" s="1554">
        <f t="shared" si="2"/>
        <v>100</v>
      </c>
      <c r="X16" s="1555"/>
      <c r="Y16" s="3322"/>
      <c r="Z16" s="1145">
        <f t="shared" si="7"/>
        <v>111</v>
      </c>
      <c r="AA16" s="1556">
        <f t="shared" si="3"/>
        <v>1</v>
      </c>
      <c r="AB16" s="1556">
        <f t="shared" si="4"/>
        <v>1</v>
      </c>
      <c r="AC16" s="1556">
        <f t="shared" si="5"/>
        <v>1</v>
      </c>
    </row>
    <row r="17" spans="1:29" ht="57">
      <c r="A17" s="2864" t="s">
        <v>2754</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10" t="s">
        <v>540</v>
      </c>
      <c r="Q17" s="1557" t="str">
        <f t="shared" si="6"/>
        <v>产业集聚程度</v>
      </c>
      <c r="R17" s="1558" t="s">
        <v>8</v>
      </c>
      <c r="S17" s="1559">
        <f t="shared" si="0"/>
        <v>100</v>
      </c>
      <c r="T17" s="1558" t="s">
        <v>8</v>
      </c>
      <c r="U17" s="1559">
        <f t="shared" si="1"/>
        <v>100</v>
      </c>
      <c r="V17" s="1558" t="s">
        <v>8</v>
      </c>
      <c r="W17" s="1559">
        <f t="shared" si="2"/>
        <v>100</v>
      </c>
      <c r="X17" s="1552"/>
      <c r="Y17" s="3410"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11"/>
      <c r="Q18" s="1557"/>
      <c r="R18" s="1558"/>
      <c r="S18" s="1559"/>
      <c r="T18" s="1558"/>
      <c r="U18" s="1559"/>
      <c r="V18" s="1558"/>
      <c r="W18" s="1559"/>
      <c r="X18" s="1552"/>
      <c r="Y18" s="3411"/>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11"/>
      <c r="Q19" s="1557" t="str">
        <f>B19</f>
        <v>交通便捷度</v>
      </c>
      <c r="R19" s="1558" t="s">
        <v>8</v>
      </c>
      <c r="S19" s="1559">
        <f>F19</f>
        <v>100</v>
      </c>
      <c r="T19" s="1558" t="s">
        <v>8</v>
      </c>
      <c r="U19" s="1559">
        <f>H19</f>
        <v>100</v>
      </c>
      <c r="V19" s="1558" t="s">
        <v>8</v>
      </c>
      <c r="W19" s="1559">
        <f>J19</f>
        <v>100</v>
      </c>
      <c r="X19" s="1552"/>
      <c r="Y19" s="3411"/>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11"/>
      <c r="Q20" s="1557"/>
      <c r="R20" s="1558"/>
      <c r="S20" s="1559"/>
      <c r="T20" s="1558"/>
      <c r="U20" s="1559"/>
      <c r="V20" s="1558"/>
      <c r="W20" s="1559"/>
      <c r="X20" s="1552"/>
      <c r="Y20" s="3411"/>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11"/>
      <c r="Q21" s="1557" t="str">
        <f t="shared" ref="Q21:Q35" si="8">B21</f>
        <v>区域土地利用方向</v>
      </c>
      <c r="R21" s="1558" t="s">
        <v>8</v>
      </c>
      <c r="S21" s="1559">
        <f>F21</f>
        <v>100</v>
      </c>
      <c r="T21" s="1558" t="s">
        <v>8</v>
      </c>
      <c r="U21" s="1559">
        <f>H21</f>
        <v>100</v>
      </c>
      <c r="V21" s="1558" t="s">
        <v>8</v>
      </c>
      <c r="W21" s="1559">
        <f>J21</f>
        <v>100</v>
      </c>
      <c r="X21" s="1552"/>
      <c r="Y21" s="3411"/>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11"/>
      <c r="Q22" s="1557"/>
      <c r="R22" s="1558"/>
      <c r="S22" s="1559"/>
      <c r="T22" s="1558"/>
      <c r="U22" s="1559"/>
      <c r="V22" s="1558"/>
      <c r="W22" s="1559"/>
      <c r="X22" s="1552"/>
      <c r="Y22" s="3411"/>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11"/>
      <c r="Q23" s="1557" t="str">
        <f t="shared" si="8"/>
        <v>环境状况</v>
      </c>
      <c r="R23" s="1558" t="s">
        <v>8</v>
      </c>
      <c r="S23" s="1559">
        <f>F23</f>
        <v>100</v>
      </c>
      <c r="T23" s="1558" t="s">
        <v>8</v>
      </c>
      <c r="U23" s="1559">
        <f>H23</f>
        <v>100</v>
      </c>
      <c r="V23" s="1558" t="s">
        <v>8</v>
      </c>
      <c r="W23" s="1559">
        <f>J23</f>
        <v>100</v>
      </c>
      <c r="X23" s="1552"/>
      <c r="Y23" s="3411"/>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11"/>
      <c r="Q24" s="1557"/>
      <c r="R24" s="1558"/>
      <c r="S24" s="1559"/>
      <c r="T24" s="1558"/>
      <c r="U24" s="1559"/>
      <c r="V24" s="1558"/>
      <c r="W24" s="1559"/>
      <c r="X24" s="1552"/>
      <c r="Y24" s="3411"/>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11"/>
      <c r="Q25" s="1146" t="str">
        <f t="shared" si="8"/>
        <v>公共配套设施</v>
      </c>
      <c r="R25" s="1553" t="s">
        <v>8</v>
      </c>
      <c r="S25" s="1554">
        <f>F25</f>
        <v>100</v>
      </c>
      <c r="T25" s="1553" t="s">
        <v>8</v>
      </c>
      <c r="U25" s="1554">
        <f>H25</f>
        <v>100</v>
      </c>
      <c r="V25" s="1553" t="s">
        <v>8</v>
      </c>
      <c r="W25" s="1554">
        <f>J25</f>
        <v>100</v>
      </c>
      <c r="X25" s="1555"/>
      <c r="Y25" s="3411"/>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11"/>
      <c r="Q26" s="1146"/>
      <c r="R26" s="1553"/>
      <c r="S26" s="1554"/>
      <c r="T26" s="1553"/>
      <c r="U26" s="1554"/>
      <c r="V26" s="1553"/>
      <c r="W26" s="1554"/>
      <c r="X26" s="1555"/>
      <c r="Y26" s="3411"/>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11"/>
      <c r="Q27" s="2541" t="str">
        <f t="shared" ref="Q27" si="9">B27</f>
        <v>基础设施水平</v>
      </c>
      <c r="R27" s="1553" t="s">
        <v>8</v>
      </c>
      <c r="S27" s="1554">
        <f>F27</f>
        <v>100</v>
      </c>
      <c r="T27" s="1553" t="s">
        <v>8</v>
      </c>
      <c r="U27" s="1554">
        <f>H27</f>
        <v>100</v>
      </c>
      <c r="V27" s="1553" t="s">
        <v>8</v>
      </c>
      <c r="W27" s="1554">
        <f>J27</f>
        <v>100</v>
      </c>
      <c r="X27" s="1555"/>
      <c r="Y27" s="3411"/>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11"/>
      <c r="Q28" s="2541"/>
      <c r="R28" s="1553"/>
      <c r="S28" s="1554"/>
      <c r="T28" s="1553"/>
      <c r="U28" s="1554"/>
      <c r="V28" s="1553"/>
      <c r="W28" s="1554"/>
      <c r="X28" s="1555"/>
      <c r="Y28" s="3411"/>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1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1"/>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11"/>
      <c r="Q30" s="1557" t="str">
        <f t="shared" si="8"/>
        <v>毗邻道路的类型与等级</v>
      </c>
      <c r="R30" s="1558" t="s">
        <v>8</v>
      </c>
      <c r="S30" s="1559">
        <f t="shared" si="10"/>
        <v>100</v>
      </c>
      <c r="T30" s="1558" t="s">
        <v>8</v>
      </c>
      <c r="U30" s="1559">
        <f t="shared" si="11"/>
        <v>100</v>
      </c>
      <c r="V30" s="1558" t="s">
        <v>8</v>
      </c>
      <c r="W30" s="1559">
        <f t="shared" si="12"/>
        <v>100</v>
      </c>
      <c r="X30" s="1552"/>
      <c r="Y30" s="3411"/>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11"/>
      <c r="Q31" s="1557"/>
      <c r="R31" s="1558"/>
      <c r="S31" s="1559"/>
      <c r="T31" s="1558"/>
      <c r="U31" s="1559"/>
      <c r="V31" s="1558"/>
      <c r="W31" s="1559"/>
      <c r="X31" s="1552"/>
      <c r="Y31" s="3411"/>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11"/>
      <c r="Q32" s="1557" t="str">
        <f t="shared" si="8"/>
        <v>土地级别</v>
      </c>
      <c r="R32" s="1558" t="s">
        <v>8</v>
      </c>
      <c r="S32" s="1559">
        <f t="shared" si="10"/>
        <v>100</v>
      </c>
      <c r="T32" s="1558" t="s">
        <v>8</v>
      </c>
      <c r="U32" s="1559">
        <f t="shared" si="11"/>
        <v>100</v>
      </c>
      <c r="V32" s="1558" t="s">
        <v>8</v>
      </c>
      <c r="W32" s="1559">
        <f t="shared" si="12"/>
        <v>100</v>
      </c>
      <c r="X32" s="1552"/>
      <c r="Y32" s="3411"/>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11"/>
      <c r="Q33" s="1557">
        <f t="shared" si="8"/>
        <v>111</v>
      </c>
      <c r="R33" s="1558" t="s">
        <v>8</v>
      </c>
      <c r="S33" s="1559">
        <f t="shared" si="10"/>
        <v>100</v>
      </c>
      <c r="T33" s="1558" t="s">
        <v>8</v>
      </c>
      <c r="U33" s="1559">
        <f t="shared" si="11"/>
        <v>100</v>
      </c>
      <c r="V33" s="1558" t="s">
        <v>8</v>
      </c>
      <c r="W33" s="1559">
        <f t="shared" si="12"/>
        <v>100</v>
      </c>
      <c r="X33" s="1552"/>
      <c r="Y33" s="3411"/>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12" t="s">
        <v>550</v>
      </c>
      <c r="Q34" s="1557">
        <f t="shared" si="8"/>
        <v>111</v>
      </c>
      <c r="R34" s="1558" t="s">
        <v>8</v>
      </c>
      <c r="S34" s="1559">
        <f t="shared" si="10"/>
        <v>100</v>
      </c>
      <c r="T34" s="1558" t="s">
        <v>8</v>
      </c>
      <c r="U34" s="1559">
        <f t="shared" si="11"/>
        <v>100</v>
      </c>
      <c r="V34" s="1558" t="s">
        <v>8</v>
      </c>
      <c r="W34" s="1559">
        <f t="shared" si="12"/>
        <v>100</v>
      </c>
      <c r="X34" s="1552"/>
      <c r="Y34" s="3413"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13"/>
      <c r="Q35" s="1557">
        <f t="shared" si="8"/>
        <v>111</v>
      </c>
      <c r="R35" s="1562" t="s">
        <v>8</v>
      </c>
      <c r="S35" s="1563">
        <f t="shared" si="10"/>
        <v>100</v>
      </c>
      <c r="T35" s="1562" t="s">
        <v>8</v>
      </c>
      <c r="U35" s="1563">
        <f t="shared" si="11"/>
        <v>100</v>
      </c>
      <c r="V35" s="1562" t="s">
        <v>8</v>
      </c>
      <c r="W35" s="1563">
        <f t="shared" si="12"/>
        <v>100</v>
      </c>
      <c r="X35" s="1564"/>
      <c r="Y35" s="3413"/>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13"/>
      <c r="Q36" s="1557" t="str">
        <f>B36</f>
        <v>宗地面积</v>
      </c>
      <c r="R36" s="1558" t="s">
        <v>8</v>
      </c>
      <c r="S36" s="1559" t="e">
        <f t="shared" si="10"/>
        <v>#N/A</v>
      </c>
      <c r="T36" s="1558" t="s">
        <v>8</v>
      </c>
      <c r="U36" s="1559" t="e">
        <f t="shared" si="11"/>
        <v>#N/A</v>
      </c>
      <c r="V36" s="1558" t="s">
        <v>8</v>
      </c>
      <c r="W36" s="1559" t="e">
        <f t="shared" si="12"/>
        <v>#N/A</v>
      </c>
      <c r="X36" s="1552"/>
      <c r="Y36" s="3413"/>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13"/>
      <c r="Q37" s="1557" t="str">
        <f t="shared" ref="Q37:Q42" si="14">B37</f>
        <v>宗地形状</v>
      </c>
      <c r="R37" s="1558" t="s">
        <v>8</v>
      </c>
      <c r="S37" s="1559">
        <f t="shared" si="10"/>
        <v>100</v>
      </c>
      <c r="T37" s="1558" t="s">
        <v>8</v>
      </c>
      <c r="U37" s="1559">
        <f t="shared" si="11"/>
        <v>100</v>
      </c>
      <c r="V37" s="1558" t="s">
        <v>8</v>
      </c>
      <c r="W37" s="1559">
        <f t="shared" si="12"/>
        <v>100</v>
      </c>
      <c r="X37" s="1552"/>
      <c r="Y37" s="3413"/>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13"/>
      <c r="Q38" s="1557" t="str">
        <f t="shared" si="14"/>
        <v>宗地开发程度</v>
      </c>
      <c r="R38" s="1553" t="s">
        <v>8</v>
      </c>
      <c r="S38" s="1554">
        <f t="shared" si="10"/>
        <v>100</v>
      </c>
      <c r="T38" s="1553" t="s">
        <v>8</v>
      </c>
      <c r="U38" s="1554">
        <f t="shared" si="11"/>
        <v>100</v>
      </c>
      <c r="V38" s="1553" t="s">
        <v>8</v>
      </c>
      <c r="W38" s="1554">
        <f t="shared" si="12"/>
        <v>100</v>
      </c>
      <c r="X38" s="1555"/>
      <c r="Y38" s="3413"/>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3" t="s">
        <v>601</v>
      </c>
      <c r="Q39" s="1557" t="str">
        <f t="shared" si="14"/>
        <v>工程地质条件</v>
      </c>
      <c r="R39" s="1558" t="s">
        <v>8</v>
      </c>
      <c r="S39" s="1559">
        <f t="shared" si="10"/>
        <v>100</v>
      </c>
      <c r="T39" s="1558" t="s">
        <v>8</v>
      </c>
      <c r="U39" s="1559">
        <f t="shared" si="11"/>
        <v>100</v>
      </c>
      <c r="V39" s="1558" t="s">
        <v>8</v>
      </c>
      <c r="W39" s="1559">
        <f t="shared" si="12"/>
        <v>100</v>
      </c>
      <c r="X39" s="1552"/>
      <c r="Y39" s="3413"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13"/>
      <c r="Q40" s="1557">
        <f t="shared" si="14"/>
        <v>111</v>
      </c>
      <c r="R40" s="1558" t="s">
        <v>8</v>
      </c>
      <c r="S40" s="1559">
        <f t="shared" si="10"/>
        <v>100</v>
      </c>
      <c r="T40" s="1558" t="s">
        <v>8</v>
      </c>
      <c r="U40" s="1559">
        <f t="shared" si="11"/>
        <v>100</v>
      </c>
      <c r="V40" s="1558" t="s">
        <v>8</v>
      </c>
      <c r="W40" s="1559">
        <f t="shared" si="12"/>
        <v>100</v>
      </c>
      <c r="X40" s="1552"/>
      <c r="Y40" s="3413"/>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13"/>
      <c r="Q41" s="1557">
        <f t="shared" si="14"/>
        <v>111</v>
      </c>
      <c r="R41" s="1558" t="s">
        <v>8</v>
      </c>
      <c r="S41" s="1559">
        <f t="shared" si="10"/>
        <v>100</v>
      </c>
      <c r="T41" s="1558" t="s">
        <v>8</v>
      </c>
      <c r="U41" s="1559">
        <f t="shared" si="11"/>
        <v>100</v>
      </c>
      <c r="V41" s="1558" t="s">
        <v>8</v>
      </c>
      <c r="W41" s="1559">
        <f t="shared" si="12"/>
        <v>100</v>
      </c>
      <c r="X41" s="1552"/>
      <c r="Y41" s="3413"/>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13"/>
      <c r="Q42" s="1557">
        <f t="shared" si="14"/>
        <v>111</v>
      </c>
      <c r="R42" s="1562" t="s">
        <v>8</v>
      </c>
      <c r="S42" s="1563">
        <f t="shared" si="10"/>
        <v>100</v>
      </c>
      <c r="T42" s="1562" t="s">
        <v>8</v>
      </c>
      <c r="U42" s="1563">
        <f t="shared" si="11"/>
        <v>100</v>
      </c>
      <c r="V42" s="1562" t="s">
        <v>8</v>
      </c>
      <c r="W42" s="1563">
        <f t="shared" si="12"/>
        <v>100</v>
      </c>
      <c r="X42" s="1564"/>
      <c r="Y42" s="3413"/>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76" t="str">
        <f>A43</f>
        <v>成交单价</v>
      </c>
      <c r="Q43" s="3376"/>
      <c r="R43" s="3377">
        <f>E43</f>
        <v>0</v>
      </c>
      <c r="S43" s="3377"/>
      <c r="T43" s="3377">
        <f>G43</f>
        <v>0</v>
      </c>
      <c r="U43" s="3377"/>
      <c r="V43" s="3377">
        <f>I43</f>
        <v>0</v>
      </c>
      <c r="W43" s="3377"/>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76" t="str">
        <f>A44</f>
        <v>比较价格（元/平方米）</v>
      </c>
      <c r="Q44" s="3376"/>
      <c r="R44" s="3378" t="e">
        <f>ROUND(PRODUCT(R43,AA9:AA42),0)</f>
        <v>#DIV/0!</v>
      </c>
      <c r="S44" s="3378"/>
      <c r="T44" s="3378" t="e">
        <f>ROUND(PRODUCT(T43,AB9:AB42),0)</f>
        <v>#DIV/0!</v>
      </c>
      <c r="U44" s="3378"/>
      <c r="V44" s="3378" t="e">
        <f>ROUND(PRODUCT(V43,AC9:AC42),0)</f>
        <v>#DIV/0!</v>
      </c>
      <c r="W44" s="3378"/>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373" t="str">
        <f>A45</f>
        <v>估价对象XX用房的比较价格（楼面单价，元/平方米）</v>
      </c>
      <c r="Q45" s="3374"/>
      <c r="R45" s="3375" t="e">
        <f>ROUND(AVERAGE(R44:V44),0)</f>
        <v>#DIV/0!</v>
      </c>
      <c r="S45" s="3375"/>
      <c r="T45" s="3375"/>
      <c r="U45" s="3375"/>
      <c r="V45" s="3375"/>
      <c r="W45" s="337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20" t="s">
        <v>2284</v>
      </c>
      <c r="H52" s="3421"/>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259501</v>
      </c>
      <c r="F53" s="1934" t="e">
        <f t="shared" ref="F53:F62" si="15">ROUND(B53*E53/10000,0)</f>
        <v>#DIV/0!</v>
      </c>
      <c r="G53" s="3422"/>
      <c r="H53" s="342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24"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2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2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2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77927</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26425</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9" t="e">
        <f>ROUND(C6+C16,0)</f>
        <v>#DIV/0!</v>
      </c>
      <c r="E5" s="3069"/>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6"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2765</v>
      </c>
      <c r="X7" s="2881">
        <f>G2</f>
        <v>0</v>
      </c>
      <c r="Y7" s="2881" t="s">
        <v>2766</v>
      </c>
      <c r="Z7" s="2882">
        <f>G3</f>
        <v>0</v>
      </c>
      <c r="AA7" s="2176"/>
      <c r="AB7" s="2176"/>
      <c r="AC7" s="2177"/>
      <c r="AD7" s="2883"/>
      <c r="AE7" s="2883"/>
      <c r="AF7" s="2883"/>
      <c r="AG7" s="2883"/>
      <c r="AH7" s="2883"/>
      <c r="AI7" s="2883"/>
      <c r="AJ7" s="2884"/>
    </row>
    <row r="8" spans="1:39" ht="15">
      <c r="A8" s="3437"/>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6" t="s">
        <v>2783</v>
      </c>
      <c r="X8" s="3427"/>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37"/>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5" t="s">
        <v>2779</v>
      </c>
      <c r="X9" s="2885" t="s">
        <v>2780</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7"/>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7"/>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5" t="s">
        <v>2781</v>
      </c>
      <c r="X11" s="1047" t="s">
        <v>2766</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6"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5"/>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8"/>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1">
        <v>12</v>
      </c>
      <c r="S13" s="2880"/>
      <c r="T13" s="2891" t="e">
        <f t="shared" si="0"/>
        <v>#DIV/0!</v>
      </c>
      <c r="U13" s="2880"/>
      <c r="V13" s="2891" t="e">
        <f t="shared" si="1"/>
        <v>#DIV/0!</v>
      </c>
      <c r="W13" s="3425"/>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8"/>
      <c r="B14" s="1446"/>
      <c r="C14" s="1447"/>
      <c r="D14" s="1448"/>
      <c r="E14" s="1448"/>
      <c r="F14" s="1449"/>
      <c r="G14" s="1450" t="s">
        <v>949</v>
      </c>
      <c r="H14" s="1451"/>
      <c r="I14" s="1452"/>
      <c r="J14" s="1453"/>
      <c r="K14" s="3147"/>
      <c r="L14" s="3147"/>
      <c r="M14" s="3147"/>
      <c r="N14" s="3147"/>
      <c r="O14" s="3147"/>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9"/>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6" t="s">
        <v>1838</v>
      </c>
      <c r="B16" s="1422" t="s">
        <v>950</v>
      </c>
      <c r="C16" s="1051" t="e">
        <f>ROUND(IF(F17="与级别开发程度一致",0,(G17-E17)/C17),0)</f>
        <v>#DIV/0!</v>
      </c>
      <c r="D16" s="3433" t="s">
        <v>954</v>
      </c>
      <c r="E16" s="3434"/>
      <c r="F16" s="3433" t="s">
        <v>951</v>
      </c>
      <c r="G16" s="3434"/>
      <c r="H16" s="1454"/>
      <c r="I16" s="1454"/>
      <c r="J16" s="1454"/>
      <c r="K16" s="1454"/>
      <c r="L16" s="1454"/>
      <c r="M16" s="1454"/>
      <c r="N16" s="1454"/>
      <c r="O16" s="3171"/>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0"/>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ROUND(IF(H19="按公示增长率计算",SUMPRODUCT((地价!A3:A27=YEAR(G19)&amp;"-"&amp;ROUNDUP(MONTH(G19)/3,0))*(地价!X2:AB2=E2)*(地价!X3:AB27)),IF(H19="地价指数",M20/M19,(1+I19)^O19)),4)</f>
        <v>0</v>
      </c>
      <c r="D19" s="1461" t="s">
        <v>957</v>
      </c>
      <c r="E19" s="1053">
        <v>41640</v>
      </c>
      <c r="F19" s="1461" t="s">
        <v>958</v>
      </c>
      <c r="G19" s="1054">
        <f>'数据-取费表'!B2</f>
        <v>43663</v>
      </c>
      <c r="H19" s="1462" t="s">
        <v>2993</v>
      </c>
      <c r="I19" s="2739" t="str">
        <f>IF(H19="季度增幅（自定义）",SUMIF(N21:N24,E2,O21:O24),"")</f>
        <v/>
      </c>
      <c r="J19" s="1458"/>
      <c r="K19" s="3146"/>
      <c r="L19" s="2991" t="s">
        <v>2841</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4">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3" t="s">
        <v>2842</v>
      </c>
      <c r="M20" s="3155">
        <f>ROUND(SUMPRODUCT((地价!A4:A27=YEAR(G19)&amp;"-"&amp;ROUNDUP(MONTH(G19)/3,0))*(地价!B2:F2=E2)*(地价!B4:F27)),0)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2648</v>
      </c>
      <c r="O25" s="3157"/>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3"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4"/>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4"/>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5"/>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2985</v>
      </c>
      <c r="C41" s="838" t="e">
        <f>ROUND(POWER(1+E41,H41-G41)*(POWER(1+E41,G41)-1)/(POWER(1+E41,H41)-1),4)</f>
        <v>#DIV/0!</v>
      </c>
      <c r="D41" s="377" t="s">
        <v>2983</v>
      </c>
      <c r="E41" s="3143">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2" t="s">
        <v>1020</v>
      </c>
      <c r="B47" s="2374" t="str">
        <f>估价对象房地状况!C16</f>
        <v>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2" t="s">
        <v>1021</v>
      </c>
      <c r="B48" s="2371" t="str">
        <f>估价对象房地状况!C18</f>
        <v>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6"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5"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七通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t="str">
        <f>估价对象房地状况!C17</f>
        <v>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2" t="s">
        <v>1021</v>
      </c>
      <c r="B59" s="2371" t="str">
        <f>估价对象房地状况!C18</f>
        <v>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6"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5"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七通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2" t="s">
        <v>1032</v>
      </c>
      <c r="B69" s="2374" t="str">
        <f>估价对象房地状况!C15</f>
        <v>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2" t="s">
        <v>1033</v>
      </c>
      <c r="B70" s="2371" t="str">
        <f>估价对象房地状况!C18</f>
        <v>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七通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5"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5"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1" t="s">
        <v>1633</v>
      </c>
      <c r="B90" s="3441"/>
      <c r="C90" s="3441"/>
      <c r="D90" s="3441"/>
      <c r="E90" s="3441"/>
      <c r="F90" s="3441"/>
      <c r="G90" s="3441"/>
      <c r="H90" s="3441"/>
      <c r="I90" s="3441"/>
      <c r="J90" s="3441"/>
      <c r="K90" s="2413"/>
      <c r="L90" s="2413"/>
      <c r="M90" s="2413"/>
      <c r="N90" s="2413"/>
    </row>
    <row r="91" spans="1:40">
      <c r="A91" s="3442" t="s">
        <v>1443</v>
      </c>
      <c r="B91" s="3442" t="s">
        <v>1634</v>
      </c>
      <c r="C91" s="1135" t="s">
        <v>1635</v>
      </c>
      <c r="D91" s="1136"/>
      <c r="E91" s="1136"/>
      <c r="F91" s="1136"/>
      <c r="G91" s="1136"/>
      <c r="H91" s="1136"/>
      <c r="I91" s="1136"/>
      <c r="J91" s="1137"/>
      <c r="K91" s="1129"/>
      <c r="L91" s="1129"/>
      <c r="M91" s="1129"/>
      <c r="N91" s="1129"/>
    </row>
    <row r="92" spans="1:40">
      <c r="A92" s="3442"/>
      <c r="B92" s="344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8"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9"/>
      <c r="B108" s="343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0"/>
      <c r="B109" s="343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5" t="s">
        <v>1639</v>
      </c>
      <c r="B110" s="3435"/>
      <c r="C110" s="3435"/>
      <c r="D110" s="3435"/>
      <c r="E110" s="3435"/>
      <c r="F110" s="3435"/>
      <c r="G110" s="3435"/>
      <c r="H110" s="3435"/>
      <c r="I110" s="3435"/>
      <c r="J110" s="3435"/>
      <c r="K110" s="2411"/>
      <c r="L110" s="2411"/>
      <c r="M110" s="2411"/>
      <c r="N110" s="2411"/>
    </row>
    <row r="112" spans="1:14" ht="12.75" thickBot="1"/>
    <row r="113" spans="1:13" ht="25.5"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2" t="s">
        <v>1007</v>
      </c>
      <c r="B18" s="1149" t="s">
        <v>1446</v>
      </c>
      <c r="C18" s="1126" t="s">
        <v>1447</v>
      </c>
      <c r="D18" s="1127"/>
      <c r="E18" s="1149">
        <v>1</v>
      </c>
      <c r="F18" s="1128" t="s">
        <v>1448</v>
      </c>
      <c r="G18" s="1129"/>
      <c r="H18" s="1100"/>
      <c r="I18" s="1100"/>
    </row>
    <row r="19" spans="1:9" s="1583" customFormat="1" ht="19.5" customHeight="1">
      <c r="A19" s="3442"/>
      <c r="B19" s="3442" t="s">
        <v>1449</v>
      </c>
      <c r="C19" s="1126" t="s">
        <v>1450</v>
      </c>
      <c r="D19" s="1127"/>
      <c r="E19" s="1149">
        <v>0.9</v>
      </c>
      <c r="F19" s="1128" t="s">
        <v>1451</v>
      </c>
      <c r="G19" s="1129"/>
      <c r="H19" s="1100"/>
      <c r="I19" s="1100"/>
    </row>
    <row r="20" spans="1:9" s="1583" customFormat="1" ht="19.5" customHeight="1">
      <c r="A20" s="3442"/>
      <c r="B20" s="3442"/>
      <c r="C20" s="1126" t="s">
        <v>1452</v>
      </c>
      <c r="D20" s="1127"/>
      <c r="E20" s="1149">
        <v>1.1000000000000001</v>
      </c>
      <c r="F20" s="1128" t="s">
        <v>1453</v>
      </c>
      <c r="G20" s="1129"/>
      <c r="H20" s="1100"/>
      <c r="I20" s="1100"/>
    </row>
    <row r="21" spans="1:9" s="1583" customFormat="1" ht="19.5" customHeight="1">
      <c r="A21" s="3442"/>
      <c r="B21" s="3442"/>
      <c r="C21" s="1126" t="s">
        <v>1454</v>
      </c>
      <c r="D21" s="1127"/>
      <c r="E21" s="1149">
        <v>0.8</v>
      </c>
      <c r="F21" s="1128" t="s">
        <v>1455</v>
      </c>
      <c r="G21" s="1129"/>
      <c r="H21" s="1100"/>
      <c r="I21" s="1100"/>
    </row>
    <row r="22" spans="1:9" s="1583" customFormat="1" ht="19.5" customHeight="1">
      <c r="A22" s="3442"/>
      <c r="B22" s="3442"/>
      <c r="C22" s="1126" t="s">
        <v>1456</v>
      </c>
      <c r="D22" s="1127"/>
      <c r="E22" s="1149">
        <v>0.5</v>
      </c>
      <c r="F22" s="1128"/>
      <c r="G22" s="1129"/>
      <c r="H22" s="1100"/>
      <c r="I22" s="1100"/>
    </row>
    <row r="23" spans="1:9" s="1583" customFormat="1" ht="19.5" customHeight="1">
      <c r="A23" s="3442" t="s">
        <v>1029</v>
      </c>
      <c r="B23" s="1149" t="s">
        <v>1446</v>
      </c>
      <c r="C23" s="1126" t="s">
        <v>1457</v>
      </c>
      <c r="D23" s="1127"/>
      <c r="E23" s="1149">
        <v>1</v>
      </c>
      <c r="F23" s="1128" t="s">
        <v>1458</v>
      </c>
      <c r="G23" s="1129"/>
      <c r="H23" s="1100"/>
      <c r="I23" s="1100"/>
    </row>
    <row r="24" spans="1:9" s="1583" customFormat="1" ht="19.5" customHeight="1">
      <c r="A24" s="3442"/>
      <c r="B24" s="3442" t="s">
        <v>1449</v>
      </c>
      <c r="C24" s="1126" t="s">
        <v>1459</v>
      </c>
      <c r="D24" s="1127"/>
      <c r="E24" s="1149">
        <v>0.5</v>
      </c>
      <c r="F24" s="1128"/>
      <c r="G24" s="1129"/>
      <c r="H24" s="1100"/>
      <c r="I24" s="1100"/>
    </row>
    <row r="25" spans="1:9" s="1583" customFormat="1" ht="19.5" customHeight="1">
      <c r="A25" s="3442"/>
      <c r="B25" s="3442"/>
      <c r="C25" s="1126" t="s">
        <v>1460</v>
      </c>
      <c r="D25" s="1127"/>
      <c r="E25" s="1149">
        <v>1.1000000000000001</v>
      </c>
      <c r="F25" s="1128"/>
      <c r="G25" s="1129"/>
      <c r="H25" s="1100"/>
      <c r="I25" s="1100"/>
    </row>
    <row r="26" spans="1:9" s="1583" customFormat="1" ht="19.5" customHeight="1">
      <c r="A26" s="3442"/>
      <c r="B26" s="3442"/>
      <c r="C26" s="1126" t="s">
        <v>1461</v>
      </c>
      <c r="D26" s="1127"/>
      <c r="E26" s="1149">
        <v>1.1000000000000001</v>
      </c>
      <c r="F26" s="1128"/>
      <c r="G26" s="1129"/>
      <c r="H26" s="1100"/>
      <c r="I26" s="1100"/>
    </row>
    <row r="27" spans="1:9" s="1583" customFormat="1" ht="19.5" customHeight="1">
      <c r="A27" s="3442"/>
      <c r="B27" s="3442"/>
      <c r="C27" s="1126" t="s">
        <v>1462</v>
      </c>
      <c r="D27" s="1127"/>
      <c r="E27" s="1149">
        <v>0.9</v>
      </c>
      <c r="F27" s="1128" t="s">
        <v>1463</v>
      </c>
      <c r="G27" s="1129"/>
      <c r="H27" s="1100"/>
      <c r="I27" s="1100"/>
    </row>
    <row r="28" spans="1:9" s="1583" customFormat="1" ht="19.5" customHeight="1">
      <c r="A28" s="3442"/>
      <c r="B28" s="3442"/>
      <c r="C28" s="1126" t="s">
        <v>1464</v>
      </c>
      <c r="D28" s="1127"/>
      <c r="E28" s="1149">
        <v>0.9</v>
      </c>
      <c r="F28" s="1128" t="s">
        <v>1465</v>
      </c>
      <c r="G28" s="1129"/>
      <c r="H28" s="1100"/>
      <c r="I28" s="1100"/>
    </row>
    <row r="29" spans="1:9" s="1583" customFormat="1" ht="19.5" customHeight="1">
      <c r="A29" s="3442"/>
      <c r="B29" s="3442"/>
      <c r="C29" s="1126" t="s">
        <v>1466</v>
      </c>
      <c r="D29" s="1127"/>
      <c r="E29" s="1149">
        <v>0.9</v>
      </c>
      <c r="F29" s="1128" t="s">
        <v>1467</v>
      </c>
      <c r="G29" s="1129"/>
      <c r="H29" s="1100"/>
      <c r="I29" s="1100"/>
    </row>
    <row r="30" spans="1:9" s="1583" customFormat="1" ht="19.5" customHeight="1">
      <c r="A30" s="3442"/>
      <c r="B30" s="3442"/>
      <c r="C30" s="1126" t="s">
        <v>1468</v>
      </c>
      <c r="D30" s="1127"/>
      <c r="E30" s="1149">
        <v>0.9</v>
      </c>
      <c r="F30" s="1128" t="s">
        <v>1469</v>
      </c>
      <c r="G30" s="1129"/>
      <c r="H30" s="1100"/>
      <c r="I30" s="1100"/>
    </row>
    <row r="31" spans="1:9" s="1583" customFormat="1" ht="19.5" customHeight="1">
      <c r="A31" s="3442"/>
      <c r="B31" s="3442"/>
      <c r="C31" s="1126" t="s">
        <v>1470</v>
      </c>
      <c r="D31" s="1127"/>
      <c r="E31" s="1149">
        <v>0.8</v>
      </c>
      <c r="F31" s="1128" t="s">
        <v>1471</v>
      </c>
      <c r="G31" s="1129"/>
      <c r="H31" s="1100"/>
      <c r="I31" s="1100"/>
    </row>
    <row r="32" spans="1:9" s="1583" customFormat="1" ht="19.5" customHeight="1">
      <c r="A32" s="3442"/>
      <c r="B32" s="3442"/>
      <c r="C32" s="1126" t="s">
        <v>1472</v>
      </c>
      <c r="D32" s="1127"/>
      <c r="E32" s="1149">
        <v>0.8</v>
      </c>
      <c r="F32" s="1128" t="s">
        <v>1473</v>
      </c>
      <c r="G32" s="1129"/>
      <c r="H32" s="1100"/>
      <c r="I32" s="1100"/>
    </row>
    <row r="33" spans="1:9" s="1583" customFormat="1" ht="19.5" customHeight="1">
      <c r="A33" s="3442" t="s">
        <v>1474</v>
      </c>
      <c r="B33" s="1149" t="s">
        <v>1446</v>
      </c>
      <c r="C33" s="1126" t="s">
        <v>1475</v>
      </c>
      <c r="D33" s="1127"/>
      <c r="E33" s="1149">
        <v>1</v>
      </c>
      <c r="F33" s="1128" t="s">
        <v>1476</v>
      </c>
      <c r="G33" s="1129"/>
      <c r="H33" s="1100"/>
      <c r="I33" s="1100"/>
    </row>
    <row r="34" spans="1:9" s="1583" customFormat="1" ht="19.5" customHeight="1">
      <c r="A34" s="3442"/>
      <c r="B34" s="1149" t="s">
        <v>1449</v>
      </c>
      <c r="C34" s="1126" t="s">
        <v>1477</v>
      </c>
      <c r="D34" s="1127"/>
      <c r="E34" s="1149">
        <v>1.5</v>
      </c>
      <c r="F34" s="1128" t="s">
        <v>1478</v>
      </c>
      <c r="G34" s="1129"/>
      <c r="H34" s="1100"/>
      <c r="I34" s="1100"/>
    </row>
    <row r="35" spans="1:9" s="1583" customFormat="1" ht="19.5" customHeight="1">
      <c r="A35" s="3442" t="s">
        <v>1432</v>
      </c>
      <c r="B35" s="1149" t="s">
        <v>1446</v>
      </c>
      <c r="C35" s="1126" t="s">
        <v>1479</v>
      </c>
      <c r="D35" s="1127"/>
      <c r="E35" s="1149">
        <v>1</v>
      </c>
      <c r="F35" s="1128" t="s">
        <v>1480</v>
      </c>
      <c r="G35" s="1129"/>
      <c r="H35" s="1100"/>
      <c r="I35" s="1100"/>
    </row>
    <row r="36" spans="1:9" s="1583" customFormat="1" ht="19.5" customHeight="1">
      <c r="A36" s="3442"/>
      <c r="B36" s="3442" t="s">
        <v>1449</v>
      </c>
      <c r="C36" s="1126" t="s">
        <v>1481</v>
      </c>
      <c r="D36" s="1127"/>
      <c r="E36" s="1149">
        <v>1</v>
      </c>
      <c r="F36" s="1128" t="s">
        <v>1482</v>
      </c>
      <c r="G36" s="1129"/>
      <c r="H36" s="1100"/>
      <c r="I36" s="1100"/>
    </row>
    <row r="37" spans="1:9" s="1583" customFormat="1" ht="19.5" customHeight="1">
      <c r="A37" s="3442"/>
      <c r="B37" s="3442"/>
      <c r="C37" s="1126" t="s">
        <v>1483</v>
      </c>
      <c r="D37" s="1127"/>
      <c r="E37" s="1149">
        <v>1.5</v>
      </c>
      <c r="F37" s="1128" t="s">
        <v>1484</v>
      </c>
      <c r="G37" s="1129"/>
      <c r="H37" s="1100"/>
      <c r="I37" s="1100"/>
    </row>
    <row r="38" spans="1:9" s="1583" customFormat="1" ht="19.5" customHeight="1">
      <c r="A38" s="3442"/>
      <c r="B38" s="3442"/>
      <c r="C38" s="1126" t="s">
        <v>1485</v>
      </c>
      <c r="D38" s="1127"/>
      <c r="E38" s="1149">
        <v>1</v>
      </c>
      <c r="F38" s="1128" t="s">
        <v>1486</v>
      </c>
      <c r="G38" s="1129"/>
      <c r="H38" s="1100"/>
      <c r="I38" s="1100"/>
    </row>
    <row r="39" spans="1:9" s="1583" customFormat="1" ht="19.5" customHeight="1">
      <c r="A39" s="3442"/>
      <c r="B39" s="344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2" t="s">
        <v>1501</v>
      </c>
      <c r="C61" s="1063" t="s">
        <v>1502</v>
      </c>
      <c r="D61" s="1063" t="s">
        <v>1503</v>
      </c>
      <c r="E61" s="1134">
        <v>0.5</v>
      </c>
      <c r="F61" s="1149">
        <v>80</v>
      </c>
      <c r="H61" s="1100">
        <f>SUMIF(C59:C119,基准地价!C8,E59:E119)</f>
        <v>0</v>
      </c>
    </row>
    <row r="62" spans="1:8" s="1100" customFormat="1" ht="24">
      <c r="A62" s="1149">
        <v>2</v>
      </c>
      <c r="B62" s="3442"/>
      <c r="C62" s="1063" t="s">
        <v>1504</v>
      </c>
      <c r="D62" s="1063" t="s">
        <v>1505</v>
      </c>
      <c r="E62" s="1134">
        <v>0.5</v>
      </c>
      <c r="F62" s="1149">
        <v>80</v>
      </c>
    </row>
    <row r="63" spans="1:8" s="1100" customFormat="1" ht="36">
      <c r="A63" s="1149">
        <v>3</v>
      </c>
      <c r="B63" s="3442"/>
      <c r="C63" s="1063" t="s">
        <v>1506</v>
      </c>
      <c r="D63" s="1063" t="s">
        <v>1507</v>
      </c>
      <c r="E63" s="1134">
        <v>0.5</v>
      </c>
      <c r="F63" s="1149">
        <v>80</v>
      </c>
    </row>
    <row r="64" spans="1:8" s="1100" customFormat="1" ht="36">
      <c r="A64" s="1149">
        <v>4</v>
      </c>
      <c r="B64" s="3442"/>
      <c r="C64" s="1063" t="s">
        <v>1508</v>
      </c>
      <c r="D64" s="1063" t="s">
        <v>1509</v>
      </c>
      <c r="E64" s="1134">
        <v>0.4</v>
      </c>
      <c r="F64" s="1149">
        <v>60</v>
      </c>
    </row>
    <row r="65" spans="1:6" s="1100" customFormat="1" ht="36">
      <c r="A65" s="1149">
        <v>5</v>
      </c>
      <c r="B65" s="3442"/>
      <c r="C65" s="1063" t="s">
        <v>1510</v>
      </c>
      <c r="D65" s="1063" t="s">
        <v>1511</v>
      </c>
      <c r="E65" s="1134">
        <v>0.2</v>
      </c>
      <c r="F65" s="1149">
        <v>30</v>
      </c>
    </row>
    <row r="66" spans="1:6" s="1100" customFormat="1" ht="36">
      <c r="A66" s="1149">
        <v>6</v>
      </c>
      <c r="B66" s="3442"/>
      <c r="C66" s="1063" t="s">
        <v>1512</v>
      </c>
      <c r="D66" s="1063" t="s">
        <v>1513</v>
      </c>
      <c r="E66" s="1134">
        <v>0.3</v>
      </c>
      <c r="F66" s="1149">
        <v>50</v>
      </c>
    </row>
    <row r="67" spans="1:6" s="1100" customFormat="1" ht="36">
      <c r="A67" s="1149">
        <v>7</v>
      </c>
      <c r="B67" s="3442"/>
      <c r="C67" s="1063" t="s">
        <v>1514</v>
      </c>
      <c r="D67" s="1063" t="s">
        <v>1515</v>
      </c>
      <c r="E67" s="1134">
        <v>0.2</v>
      </c>
      <c r="F67" s="1149">
        <v>30</v>
      </c>
    </row>
    <row r="68" spans="1:6" s="1100" customFormat="1" ht="36">
      <c r="A68" s="1149">
        <v>8</v>
      </c>
      <c r="B68" s="3442"/>
      <c r="C68" s="1063" t="s">
        <v>1516</v>
      </c>
      <c r="D68" s="1063" t="s">
        <v>1517</v>
      </c>
      <c r="E68" s="1134">
        <v>0.2</v>
      </c>
      <c r="F68" s="1149">
        <v>30</v>
      </c>
    </row>
    <row r="69" spans="1:6" s="1100" customFormat="1" ht="36">
      <c r="A69" s="1149">
        <v>9</v>
      </c>
      <c r="B69" s="3442"/>
      <c r="C69" s="1063" t="s">
        <v>1518</v>
      </c>
      <c r="D69" s="1063" t="s">
        <v>1519</v>
      </c>
      <c r="E69" s="1134">
        <v>0.2</v>
      </c>
      <c r="F69" s="1149">
        <v>30</v>
      </c>
    </row>
    <row r="70" spans="1:6" s="1100" customFormat="1" ht="48">
      <c r="A70" s="1149">
        <v>10</v>
      </c>
      <c r="B70" s="3442"/>
      <c r="C70" s="1063" t="s">
        <v>1520</v>
      </c>
      <c r="D70" s="1063" t="s">
        <v>1521</v>
      </c>
      <c r="E70" s="1134">
        <v>0.2</v>
      </c>
      <c r="F70" s="1149">
        <v>30</v>
      </c>
    </row>
    <row r="71" spans="1:6" s="1100" customFormat="1" ht="48">
      <c r="A71" s="1149">
        <v>11</v>
      </c>
      <c r="B71" s="3442"/>
      <c r="C71" s="1063" t="s">
        <v>1522</v>
      </c>
      <c r="D71" s="1063" t="s">
        <v>1523</v>
      </c>
      <c r="E71" s="1134">
        <v>0.2</v>
      </c>
      <c r="F71" s="1149">
        <v>30</v>
      </c>
    </row>
    <row r="72" spans="1:6" s="1100" customFormat="1" ht="36">
      <c r="A72" s="1149">
        <v>12</v>
      </c>
      <c r="B72" s="3442"/>
      <c r="C72" s="1063" t="s">
        <v>1524</v>
      </c>
      <c r="D72" s="1063" t="s">
        <v>1525</v>
      </c>
      <c r="E72" s="1134">
        <v>0.5</v>
      </c>
      <c r="F72" s="1149">
        <v>80</v>
      </c>
    </row>
    <row r="73" spans="1:6" s="1100" customFormat="1" ht="24">
      <c r="A73" s="1149">
        <v>13</v>
      </c>
      <c r="B73" s="3442"/>
      <c r="C73" s="1063" t="s">
        <v>1526</v>
      </c>
      <c r="D73" s="1063" t="s">
        <v>1527</v>
      </c>
      <c r="E73" s="1134">
        <v>0.4</v>
      </c>
      <c r="F73" s="1149">
        <v>60</v>
      </c>
    </row>
    <row r="74" spans="1:6" s="1100" customFormat="1" ht="24">
      <c r="A74" s="1149">
        <v>14</v>
      </c>
      <c r="B74" s="3442"/>
      <c r="C74" s="1063" t="s">
        <v>1528</v>
      </c>
      <c r="D74" s="1063" t="s">
        <v>1529</v>
      </c>
      <c r="E74" s="1134">
        <v>0.2</v>
      </c>
      <c r="F74" s="1149">
        <v>30</v>
      </c>
    </row>
    <row r="75" spans="1:6" s="1100" customFormat="1" ht="24">
      <c r="A75" s="1149">
        <v>15</v>
      </c>
      <c r="B75" s="3442"/>
      <c r="C75" s="1063" t="s">
        <v>1530</v>
      </c>
      <c r="D75" s="1063" t="s">
        <v>1531</v>
      </c>
      <c r="E75" s="1134">
        <v>0.2</v>
      </c>
      <c r="F75" s="1149">
        <v>30</v>
      </c>
    </row>
    <row r="76" spans="1:6" s="1100" customFormat="1" ht="24">
      <c r="A76" s="1149">
        <v>16</v>
      </c>
      <c r="B76" s="3442" t="s">
        <v>1532</v>
      </c>
      <c r="C76" s="1063" t="s">
        <v>1533</v>
      </c>
      <c r="D76" s="1063" t="s">
        <v>1534</v>
      </c>
      <c r="E76" s="1134">
        <v>0.5</v>
      </c>
      <c r="F76" s="1149">
        <v>80</v>
      </c>
    </row>
    <row r="77" spans="1:6" s="1100" customFormat="1" ht="24">
      <c r="A77" s="1149">
        <v>17</v>
      </c>
      <c r="B77" s="3442"/>
      <c r="C77" s="1063" t="s">
        <v>1535</v>
      </c>
      <c r="D77" s="1063" t="s">
        <v>1536</v>
      </c>
      <c r="E77" s="1134">
        <v>0.5</v>
      </c>
      <c r="F77" s="1149">
        <v>80</v>
      </c>
    </row>
    <row r="78" spans="1:6" s="1100" customFormat="1" ht="24">
      <c r="A78" s="1149">
        <v>18</v>
      </c>
      <c r="B78" s="3442"/>
      <c r="C78" s="1063" t="s">
        <v>1537</v>
      </c>
      <c r="D78" s="1063" t="s">
        <v>1538</v>
      </c>
      <c r="E78" s="1134">
        <v>0.2</v>
      </c>
      <c r="F78" s="1149">
        <v>30</v>
      </c>
    </row>
    <row r="79" spans="1:6" s="1100" customFormat="1" ht="24">
      <c r="A79" s="1149">
        <v>19</v>
      </c>
      <c r="B79" s="3442"/>
      <c r="C79" s="1063" t="s">
        <v>1539</v>
      </c>
      <c r="D79" s="1063" t="s">
        <v>1540</v>
      </c>
      <c r="E79" s="1134">
        <v>0.5</v>
      </c>
      <c r="F79" s="1149">
        <v>80</v>
      </c>
    </row>
    <row r="80" spans="1:6" s="1100" customFormat="1" ht="36">
      <c r="A80" s="1149">
        <v>20</v>
      </c>
      <c r="B80" s="3442"/>
      <c r="C80" s="1063" t="s">
        <v>1541</v>
      </c>
      <c r="D80" s="1063" t="s">
        <v>1542</v>
      </c>
      <c r="E80" s="1134">
        <v>0.2</v>
      </c>
      <c r="F80" s="1149">
        <v>30</v>
      </c>
    </row>
    <row r="81" spans="1:6" s="1100" customFormat="1" ht="36">
      <c r="A81" s="1149">
        <v>21</v>
      </c>
      <c r="B81" s="3442"/>
      <c r="C81" s="1063" t="s">
        <v>1543</v>
      </c>
      <c r="D81" s="1063" t="s">
        <v>1544</v>
      </c>
      <c r="E81" s="1134">
        <v>0.2</v>
      </c>
      <c r="F81" s="1149">
        <v>30</v>
      </c>
    </row>
    <row r="82" spans="1:6" s="1100" customFormat="1" ht="48">
      <c r="A82" s="1149">
        <v>22</v>
      </c>
      <c r="B82" s="3442"/>
      <c r="C82" s="1063" t="s">
        <v>1545</v>
      </c>
      <c r="D82" s="1063" t="s">
        <v>1546</v>
      </c>
      <c r="E82" s="1134">
        <v>0.2</v>
      </c>
      <c r="F82" s="1149">
        <v>30</v>
      </c>
    </row>
    <row r="83" spans="1:6" s="1100" customFormat="1" ht="48">
      <c r="A83" s="1149">
        <v>23</v>
      </c>
      <c r="B83" s="3442"/>
      <c r="C83" s="1063" t="s">
        <v>1547</v>
      </c>
      <c r="D83" s="1063" t="s">
        <v>1548</v>
      </c>
      <c r="E83" s="1134">
        <v>0.2</v>
      </c>
      <c r="F83" s="1149">
        <v>30</v>
      </c>
    </row>
    <row r="84" spans="1:6" s="1100" customFormat="1" ht="36">
      <c r="A84" s="1149">
        <v>24</v>
      </c>
      <c r="B84" s="3442"/>
      <c r="C84" s="1063" t="s">
        <v>1549</v>
      </c>
      <c r="D84" s="1063" t="s">
        <v>1550</v>
      </c>
      <c r="E84" s="1134">
        <v>0.2</v>
      </c>
      <c r="F84" s="1149">
        <v>30</v>
      </c>
    </row>
    <row r="85" spans="1:6" s="1100" customFormat="1" ht="36">
      <c r="A85" s="1149">
        <v>25</v>
      </c>
      <c r="B85" s="3442"/>
      <c r="C85" s="1063" t="s">
        <v>1551</v>
      </c>
      <c r="D85" s="1063" t="s">
        <v>1552</v>
      </c>
      <c r="E85" s="1134">
        <v>0.5</v>
      </c>
      <c r="F85" s="1149">
        <v>80</v>
      </c>
    </row>
    <row r="86" spans="1:6" s="1100" customFormat="1" ht="36">
      <c r="A86" s="1149">
        <v>26</v>
      </c>
      <c r="B86" s="3442"/>
      <c r="C86" s="1063" t="s">
        <v>1553</v>
      </c>
      <c r="D86" s="1063" t="s">
        <v>1554</v>
      </c>
      <c r="E86" s="1134">
        <v>0.2</v>
      </c>
      <c r="F86" s="1149">
        <v>30</v>
      </c>
    </row>
    <row r="87" spans="1:6" s="1100" customFormat="1" ht="36">
      <c r="A87" s="1149">
        <v>27</v>
      </c>
      <c r="B87" s="3442"/>
      <c r="C87" s="1063" t="s">
        <v>1555</v>
      </c>
      <c r="D87" s="1063" t="s">
        <v>1556</v>
      </c>
      <c r="E87" s="1134">
        <v>0.2</v>
      </c>
      <c r="F87" s="1149">
        <v>30</v>
      </c>
    </row>
    <row r="88" spans="1:6" s="1100" customFormat="1" ht="36">
      <c r="A88" s="1149">
        <v>28</v>
      </c>
      <c r="B88" s="3442"/>
      <c r="C88" s="1063" t="s">
        <v>1557</v>
      </c>
      <c r="D88" s="1063" t="s">
        <v>1558</v>
      </c>
      <c r="E88" s="1134">
        <v>0.2</v>
      </c>
      <c r="F88" s="1149">
        <v>30</v>
      </c>
    </row>
    <row r="89" spans="1:6" s="1100" customFormat="1" ht="24">
      <c r="A89" s="1149">
        <v>29</v>
      </c>
      <c r="B89" s="3442"/>
      <c r="C89" s="1063" t="s">
        <v>1559</v>
      </c>
      <c r="D89" s="1063" t="s">
        <v>1560</v>
      </c>
      <c r="E89" s="1134">
        <v>0.2</v>
      </c>
      <c r="F89" s="1149">
        <v>30</v>
      </c>
    </row>
    <row r="90" spans="1:6" s="1100" customFormat="1" ht="24">
      <c r="A90" s="1149">
        <v>30</v>
      </c>
      <c r="B90" s="3442"/>
      <c r="C90" s="1063" t="s">
        <v>1561</v>
      </c>
      <c r="D90" s="1063" t="s">
        <v>1562</v>
      </c>
      <c r="E90" s="1134">
        <v>0.2</v>
      </c>
      <c r="F90" s="1149">
        <v>30</v>
      </c>
    </row>
    <row r="91" spans="1:6" s="1100" customFormat="1" ht="36">
      <c r="A91" s="1149">
        <v>31</v>
      </c>
      <c r="B91" s="3442"/>
      <c r="C91" s="1063" t="s">
        <v>1563</v>
      </c>
      <c r="D91" s="1063" t="s">
        <v>1564</v>
      </c>
      <c r="E91" s="1134">
        <v>0.2</v>
      </c>
      <c r="F91" s="1149">
        <v>30</v>
      </c>
    </row>
    <row r="92" spans="1:6" s="1100" customFormat="1" ht="24">
      <c r="A92" s="1149">
        <v>32</v>
      </c>
      <c r="B92" s="3442" t="s">
        <v>1565</v>
      </c>
      <c r="C92" s="1149" t="s">
        <v>1566</v>
      </c>
      <c r="D92" s="1063" t="s">
        <v>1567</v>
      </c>
      <c r="E92" s="1134">
        <v>0.2</v>
      </c>
      <c r="F92" s="1149">
        <v>30</v>
      </c>
    </row>
    <row r="93" spans="1:6" s="1100" customFormat="1" ht="36">
      <c r="A93" s="1149">
        <v>33</v>
      </c>
      <c r="B93" s="3442"/>
      <c r="C93" s="1149" t="s">
        <v>1568</v>
      </c>
      <c r="D93" s="1063" t="s">
        <v>1569</v>
      </c>
      <c r="E93" s="1134">
        <v>0.2</v>
      </c>
      <c r="F93" s="1149">
        <v>30</v>
      </c>
    </row>
    <row r="94" spans="1:6" s="1100" customFormat="1" ht="48">
      <c r="A94" s="1149">
        <v>34</v>
      </c>
      <c r="B94" s="3442"/>
      <c r="C94" s="1149" t="s">
        <v>1570</v>
      </c>
      <c r="D94" s="1063" t="s">
        <v>1571</v>
      </c>
      <c r="E94" s="1134">
        <v>0.2</v>
      </c>
      <c r="F94" s="1149">
        <v>30</v>
      </c>
    </row>
    <row r="95" spans="1:6" s="1100" customFormat="1" ht="36">
      <c r="A95" s="1149">
        <v>35</v>
      </c>
      <c r="B95" s="3442"/>
      <c r="C95" s="1149" t="s">
        <v>1572</v>
      </c>
      <c r="D95" s="1063" t="s">
        <v>1573</v>
      </c>
      <c r="E95" s="1134">
        <v>0.2</v>
      </c>
      <c r="F95" s="1149">
        <v>30</v>
      </c>
    </row>
    <row r="96" spans="1:6" s="1100" customFormat="1" ht="48">
      <c r="A96" s="1149">
        <v>36</v>
      </c>
      <c r="B96" s="3442"/>
      <c r="C96" s="1063" t="s">
        <v>1574</v>
      </c>
      <c r="D96" s="1063" t="s">
        <v>1575</v>
      </c>
      <c r="E96" s="1134">
        <v>0.2</v>
      </c>
      <c r="F96" s="1149">
        <v>30</v>
      </c>
    </row>
    <row r="97" spans="1:6" s="1100" customFormat="1" ht="36">
      <c r="A97" s="1149">
        <v>37</v>
      </c>
      <c r="B97" s="3442"/>
      <c r="C97" s="1149" t="s">
        <v>1576</v>
      </c>
      <c r="D97" s="1063" t="s">
        <v>1577</v>
      </c>
      <c r="E97" s="1134">
        <v>0.2</v>
      </c>
      <c r="F97" s="1149">
        <v>30</v>
      </c>
    </row>
    <row r="98" spans="1:6" s="1100" customFormat="1" ht="36">
      <c r="A98" s="1149">
        <v>38</v>
      </c>
      <c r="B98" s="3442"/>
      <c r="C98" s="1149" t="s">
        <v>1578</v>
      </c>
      <c r="D98" s="1063" t="s">
        <v>1579</v>
      </c>
      <c r="E98" s="1134">
        <v>0.2</v>
      </c>
      <c r="F98" s="1149">
        <v>30</v>
      </c>
    </row>
    <row r="99" spans="1:6" s="1100" customFormat="1" ht="36">
      <c r="A99" s="1149">
        <v>39</v>
      </c>
      <c r="B99" s="3442" t="s">
        <v>1580</v>
      </c>
      <c r="C99" s="1149" t="s">
        <v>1581</v>
      </c>
      <c r="D99" s="1063" t="s">
        <v>1582</v>
      </c>
      <c r="E99" s="1134">
        <v>0.3</v>
      </c>
      <c r="F99" s="1149">
        <v>50</v>
      </c>
    </row>
    <row r="100" spans="1:6" s="1100" customFormat="1" ht="24">
      <c r="A100" s="1149">
        <v>40</v>
      </c>
      <c r="B100" s="3442"/>
      <c r="C100" s="1149" t="s">
        <v>1583</v>
      </c>
      <c r="D100" s="1063" t="s">
        <v>1584</v>
      </c>
      <c r="E100" s="1134">
        <v>0.2</v>
      </c>
      <c r="F100" s="1149">
        <v>30</v>
      </c>
    </row>
    <row r="101" spans="1:6" s="1100" customFormat="1" ht="36">
      <c r="A101" s="1149">
        <v>41</v>
      </c>
      <c r="B101" s="344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2" t="s">
        <v>1595</v>
      </c>
      <c r="C105" s="1149" t="s">
        <v>1596</v>
      </c>
      <c r="D105" s="1063" t="s">
        <v>1597</v>
      </c>
      <c r="E105" s="1134">
        <v>0.2</v>
      </c>
      <c r="F105" s="1149">
        <v>30</v>
      </c>
    </row>
    <row r="106" spans="1:6" s="1100" customFormat="1" ht="36">
      <c r="A106" s="1149">
        <v>46</v>
      </c>
      <c r="B106" s="3442"/>
      <c r="C106" s="1149" t="s">
        <v>1598</v>
      </c>
      <c r="D106" s="1063" t="s">
        <v>1599</v>
      </c>
      <c r="E106" s="1134">
        <v>0.2</v>
      </c>
      <c r="F106" s="1149">
        <v>30</v>
      </c>
    </row>
    <row r="107" spans="1:6" s="1100" customFormat="1" ht="36">
      <c r="A107" s="1149">
        <v>47</v>
      </c>
      <c r="B107" s="3442" t="s">
        <v>1600</v>
      </c>
      <c r="C107" s="1149" t="s">
        <v>1601</v>
      </c>
      <c r="D107" s="1063" t="s">
        <v>1602</v>
      </c>
      <c r="E107" s="1134">
        <v>0.3</v>
      </c>
      <c r="F107" s="1149">
        <v>50</v>
      </c>
    </row>
    <row r="108" spans="1:6" s="1100" customFormat="1" ht="36">
      <c r="A108" s="1149">
        <v>48</v>
      </c>
      <c r="B108" s="344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2" t="s">
        <v>1611</v>
      </c>
      <c r="C111" s="1149" t="s">
        <v>1612</v>
      </c>
      <c r="D111" s="1063" t="s">
        <v>1613</v>
      </c>
      <c r="E111" s="1134">
        <v>0.2</v>
      </c>
      <c r="F111" s="1149">
        <v>30</v>
      </c>
    </row>
    <row r="112" spans="1:6" s="1100" customFormat="1" ht="24">
      <c r="A112" s="1149">
        <v>52</v>
      </c>
      <c r="B112" s="3442"/>
      <c r="C112" s="1149" t="s">
        <v>1614</v>
      </c>
      <c r="D112" s="1063" t="s">
        <v>1615</v>
      </c>
      <c r="E112" s="1134">
        <v>0.2</v>
      </c>
      <c r="F112" s="1149">
        <v>30</v>
      </c>
    </row>
    <row r="113" spans="1:14" s="1100" customFormat="1" ht="24">
      <c r="A113" s="1149">
        <v>53</v>
      </c>
      <c r="B113" s="344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2" t="s">
        <v>1624</v>
      </c>
      <c r="C116" s="1149" t="s">
        <v>1625</v>
      </c>
      <c r="D116" s="1063" t="s">
        <v>1626</v>
      </c>
      <c r="E116" s="1134">
        <v>0.2</v>
      </c>
      <c r="F116" s="1149">
        <v>30</v>
      </c>
    </row>
    <row r="117" spans="1:14" ht="36">
      <c r="A117" s="1149">
        <v>57</v>
      </c>
      <c r="B117" s="344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1" t="s">
        <v>1633</v>
      </c>
      <c r="B121" s="3441"/>
      <c r="C121" s="3441"/>
      <c r="D121" s="3441"/>
      <c r="E121" s="3441"/>
      <c r="F121" s="3441"/>
      <c r="G121" s="3441"/>
      <c r="H121" s="3441"/>
      <c r="I121" s="3441"/>
      <c r="J121" s="34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0" t="s">
        <v>2079</v>
      </c>
      <c r="B1" s="3450"/>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8" t="s">
        <v>2576</v>
      </c>
      <c r="C1" s="3458"/>
      <c r="D1" s="3458"/>
      <c r="E1" s="3458"/>
      <c r="F1" s="3458"/>
      <c r="G1" s="3457" t="s">
        <v>2577</v>
      </c>
      <c r="H1" s="3457"/>
      <c r="I1" s="3457"/>
      <c r="J1" s="3457"/>
      <c r="K1" s="3457"/>
      <c r="L1" s="3457"/>
      <c r="N1" s="3457" t="s">
        <v>2578</v>
      </c>
      <c r="O1" s="3457"/>
      <c r="P1" s="3457"/>
      <c r="Q1" s="3457"/>
      <c r="R1" s="2617"/>
      <c r="S1" s="3457" t="s">
        <v>2579</v>
      </c>
      <c r="T1" s="3457"/>
      <c r="U1" s="3457"/>
      <c r="V1" s="3457"/>
      <c r="X1" s="3456" t="s">
        <v>2639</v>
      </c>
      <c r="Y1" s="3457"/>
      <c r="Z1" s="3457"/>
      <c r="AA1" s="3457"/>
      <c r="AB1" s="3457"/>
      <c r="AD1" s="3456" t="s">
        <v>2643</v>
      </c>
      <c r="AE1" s="3457"/>
      <c r="AF1" s="3457"/>
      <c r="AG1" s="3457"/>
      <c r="AH1" s="3457"/>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0" customFormat="1" ht="14.25">
      <c r="A3" s="3092" t="s">
        <v>2966</v>
      </c>
      <c r="B3" s="3081"/>
      <c r="C3" s="3081"/>
      <c r="D3" s="3082"/>
      <c r="E3" s="3082"/>
      <c r="F3" s="3081"/>
      <c r="G3" s="3083"/>
      <c r="H3" s="3084"/>
      <c r="I3" s="3091">
        <f>ROUND(AVERAGE($I4:$I27),2)</f>
        <v>2.04</v>
      </c>
      <c r="J3" s="3091">
        <f>ROUND(AVERAGE($J4:$J27),2)</f>
        <v>1.44</v>
      </c>
      <c r="K3" s="3091">
        <f>ROUND(AVERAGE($K4:$K27),2)</f>
        <v>2.23</v>
      </c>
      <c r="L3" s="3091">
        <f>ROUND(AVERAGE($L4:$L27),2)</f>
        <v>1.4</v>
      </c>
      <c r="N3" s="3083"/>
      <c r="O3" s="3085"/>
      <c r="P3" s="3085"/>
      <c r="Q3" s="3085"/>
      <c r="R3" s="3085"/>
      <c r="S3" s="3083"/>
      <c r="T3" s="3085"/>
      <c r="U3" s="3085"/>
      <c r="V3" s="3085"/>
      <c r="W3" s="3088"/>
      <c r="X3" s="3086">
        <f>ROUND(SUMPRODUCT(PRODUCT(1+N3:N$26)),4)</f>
        <v>1.5422</v>
      </c>
      <c r="Y3" s="3086">
        <f>ROUND(SUMPRODUCT(PRODUCT(1+O3:O$26)),4)</f>
        <v>1.3557999999999999</v>
      </c>
      <c r="Z3" s="3086">
        <f t="shared" ref="Z3:Z24" si="0">Y3</f>
        <v>1.3557999999999999</v>
      </c>
      <c r="AA3" s="3086">
        <f>ROUND(SUMPRODUCT(PRODUCT(1+P3:P$26)),4)</f>
        <v>1.6036999999999999</v>
      </c>
      <c r="AB3" s="3086">
        <f>ROUND(SUMPRODUCT(PRODUCT(1+Q3:Q$26)),4)</f>
        <v>1.3573</v>
      </c>
      <c r="AD3" s="3087">
        <f>ROUND(AVERAGE(I3:I$27)/100,4)</f>
        <v>2.0400000000000001E-2</v>
      </c>
      <c r="AE3" s="3087">
        <f>ROUND(AVERAGE(J3:J$27)/100,4)</f>
        <v>1.44E-2</v>
      </c>
      <c r="AF3" s="3087">
        <f t="shared" ref="AF3:AF25" si="1">AE3</f>
        <v>1.44E-2</v>
      </c>
      <c r="AG3" s="3087">
        <f>ROUND(AVERAGE(K3:K$27)/100,4)</f>
        <v>2.23E-2</v>
      </c>
      <c r="AH3" s="3087">
        <f>ROUND(AVERAGE(L3:L$27)/100,4)</f>
        <v>1.4E-2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2992</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3">
        <v>3</v>
      </c>
      <c r="I5" s="3077">
        <v>0</v>
      </c>
      <c r="J5" s="3077">
        <v>0</v>
      </c>
      <c r="K5" s="3077">
        <v>0</v>
      </c>
      <c r="L5" s="3077">
        <v>0</v>
      </c>
      <c r="N5" s="2724">
        <f t="shared" ref="N5" si="7">I5/100</f>
        <v>0</v>
      </c>
      <c r="O5" s="2724">
        <f t="shared" ref="O5" si="8">J5/100</f>
        <v>0</v>
      </c>
      <c r="P5" s="2724">
        <f t="shared" ref="P5" si="9">K5/100</f>
        <v>0</v>
      </c>
      <c r="Q5" s="2724">
        <f t="shared" ref="Q5" si="10">L5/100</f>
        <v>0</v>
      </c>
      <c r="R5" s="3065"/>
      <c r="S5" s="3066"/>
      <c r="T5" s="3065"/>
      <c r="U5" s="3065"/>
      <c r="V5" s="3065"/>
      <c r="W5" s="3090" t="s">
        <v>2967</v>
      </c>
      <c r="X5" s="3067">
        <f>ROUND(IF(项目基本情况!B8="出让",SUMPRODUCT(PRODUCT(1+N5:N$27)),SUMPRODUCT(PRODUCT(1+N5:N$26))),4)</f>
        <v>1.5422</v>
      </c>
      <c r="Y5" s="3067">
        <f>ROUND(IF(项目基本情况!B8="出让",SUMPRODUCT(PRODUCT(1+O5:O$27)),SUMPRODUCT(PRODUCT(1+O5:O$26))),4)</f>
        <v>1.3557999999999999</v>
      </c>
      <c r="Z5" s="3067">
        <f t="shared" ref="Z5" si="11">Y5</f>
        <v>1.3557999999999999</v>
      </c>
      <c r="AA5" s="3067">
        <f>ROUND(IF(项目基本情况!B8="出让",SUMPRODUCT(PRODUCT(1+P5:P$27)),SUMPRODUCT(PRODUCT(1+P5:P$26))),4)</f>
        <v>1.6036999999999999</v>
      </c>
      <c r="AB5" s="3067">
        <f>ROUND(IF(项目基本情况!B8="出让",SUMPRODUCT(PRODUCT(1+Q5:Q$27)),SUMPRODUCT(PRODUCT(1+Q5:Q$26))),4)</f>
        <v>1.3573</v>
      </c>
      <c r="AD5" s="3068">
        <f>ROUND(AVERAGE(I5:I$27)/100,4)</f>
        <v>2.0400000000000001E-2</v>
      </c>
      <c r="AE5" s="3068">
        <f>ROUND(AVERAGE(J5:J$27)/100,4)</f>
        <v>1.44E-2</v>
      </c>
      <c r="AF5" s="3068">
        <f t="shared" ref="AF5" si="12">AE5</f>
        <v>1.44E-2</v>
      </c>
      <c r="AG5" s="3068">
        <f>ROUND(AVERAGE(K5:K$27)/100,4)</f>
        <v>2.23E-2</v>
      </c>
      <c r="AH5" s="3068">
        <f>ROUND(AVERAGE(L5:L$27)/100,4)</f>
        <v>1.4E-2</v>
      </c>
    </row>
    <row r="6" spans="1:34" s="2723" customFormat="1">
      <c r="A6" s="2618" t="s">
        <v>2991</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79">
        <v>1.53</v>
      </c>
      <c r="J6" s="3179">
        <v>1.01</v>
      </c>
      <c r="K6" s="3179">
        <v>1.62</v>
      </c>
      <c r="L6" s="318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2989</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2986</v>
      </c>
      <c r="B8" s="3176">
        <f t="shared" si="13"/>
        <v>464.37293017158942</v>
      </c>
      <c r="C8" s="3176">
        <f t="shared" ref="C8" si="34">C9*(1+O8)</f>
        <v>344.73679941385956</v>
      </c>
      <c r="D8" s="3176">
        <f t="shared" ref="D8" si="35">C8</f>
        <v>344.73679941385956</v>
      </c>
      <c r="E8" s="3176">
        <f t="shared" ref="E8" si="36">E9*(1+P8)</f>
        <v>663.2377795103107</v>
      </c>
      <c r="F8" s="3177">
        <f t="shared" ref="F8" si="37">F9*(1+Q8)</f>
        <v>304.75936311478398</v>
      </c>
      <c r="G8" s="3452">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2976</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52"/>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2977</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52"/>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2973</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53"/>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2964</v>
      </c>
      <c r="B12" s="3094">
        <v>439</v>
      </c>
      <c r="C12" s="3094">
        <v>327</v>
      </c>
      <c r="D12" s="3094">
        <f t="shared" si="65"/>
        <v>327</v>
      </c>
      <c r="E12" s="3094">
        <v>627</v>
      </c>
      <c r="F12" s="3095">
        <v>283</v>
      </c>
      <c r="G12" s="3451">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2968</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52"/>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52"/>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53"/>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51">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52"/>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52"/>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55"/>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3454">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52"/>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52"/>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55"/>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3454">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52"/>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52"/>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55"/>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2583</v>
      </c>
      <c r="B28" s="2623">
        <v>299</v>
      </c>
      <c r="C28" s="2623">
        <v>252</v>
      </c>
      <c r="D28" s="2623">
        <f t="shared" si="87"/>
        <v>252</v>
      </c>
      <c r="E28" s="2623">
        <v>409</v>
      </c>
      <c r="F28" s="2624">
        <v>227</v>
      </c>
      <c r="G28" s="3459">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60"/>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60"/>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61"/>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2587</v>
      </c>
      <c r="B32" s="2661">
        <v>278</v>
      </c>
      <c r="C32" s="2661">
        <v>234</v>
      </c>
      <c r="D32" s="2661">
        <f t="shared" si="87"/>
        <v>234</v>
      </c>
      <c r="E32" s="2661">
        <v>379</v>
      </c>
      <c r="F32" s="2662">
        <v>220</v>
      </c>
      <c r="G32" s="3454">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52"/>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52"/>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2590</v>
      </c>
      <c r="B35" s="2631">
        <f>B34/(1+N34)</f>
        <v>275.19025476197027</v>
      </c>
      <c r="C35" s="2663">
        <v>232</v>
      </c>
      <c r="D35" s="2663">
        <f t="shared" si="87"/>
        <v>232</v>
      </c>
      <c r="E35" s="2631">
        <f t="shared" si="98"/>
        <v>375.65990977608692</v>
      </c>
      <c r="F35" s="2631">
        <f t="shared" si="98"/>
        <v>214.12518283971252</v>
      </c>
      <c r="G35" s="3455"/>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2591</v>
      </c>
      <c r="B36" s="2623">
        <v>275</v>
      </c>
      <c r="C36" s="2623">
        <v>232</v>
      </c>
      <c r="D36" s="2623">
        <f t="shared" si="87"/>
        <v>232</v>
      </c>
      <c r="E36" s="2623">
        <v>376</v>
      </c>
      <c r="F36" s="2624">
        <v>213</v>
      </c>
      <c r="G36" s="3454">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52">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52">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55">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2595</v>
      </c>
      <c r="B40" s="2623">
        <v>269</v>
      </c>
      <c r="C40" s="2623">
        <v>221</v>
      </c>
      <c r="D40" s="2623">
        <f t="shared" si="87"/>
        <v>221</v>
      </c>
      <c r="E40" s="2623">
        <v>373</v>
      </c>
      <c r="F40" s="2624">
        <v>196</v>
      </c>
      <c r="G40" s="3454">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52">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52">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55">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2599</v>
      </c>
      <c r="B44" s="2623">
        <v>220</v>
      </c>
      <c r="C44" s="2623">
        <v>187</v>
      </c>
      <c r="D44" s="2623">
        <f t="shared" si="87"/>
        <v>187</v>
      </c>
      <c r="E44" s="2623">
        <v>301</v>
      </c>
      <c r="F44" s="2624">
        <v>168</v>
      </c>
      <c r="G44" s="3454">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52">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52">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55">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2603</v>
      </c>
      <c r="B48" s="2661">
        <v>214</v>
      </c>
      <c r="C48" s="2661">
        <v>188</v>
      </c>
      <c r="D48" s="2661">
        <f t="shared" si="87"/>
        <v>188</v>
      </c>
      <c r="E48" s="2661">
        <v>289</v>
      </c>
      <c r="F48" s="2662">
        <v>166</v>
      </c>
      <c r="G48" s="3454">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52">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52">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55">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2607</v>
      </c>
      <c r="B52" s="2623">
        <v>188</v>
      </c>
      <c r="C52" s="2623">
        <v>165</v>
      </c>
      <c r="D52" s="2623">
        <f t="shared" si="87"/>
        <v>165</v>
      </c>
      <c r="E52" s="2623">
        <v>254</v>
      </c>
      <c r="F52" s="2624">
        <v>148</v>
      </c>
      <c r="G52" s="3454">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52">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52">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55">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2611</v>
      </c>
      <c r="B56" s="2645">
        <v>159</v>
      </c>
      <c r="C56" s="2645">
        <v>141</v>
      </c>
      <c r="D56" s="2645">
        <f t="shared" si="87"/>
        <v>141</v>
      </c>
      <c r="E56" s="2645">
        <v>195</v>
      </c>
      <c r="F56" s="2646">
        <v>122</v>
      </c>
      <c r="G56" s="3454">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52">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52">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55">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2615</v>
      </c>
      <c r="B60" s="2645">
        <v>138</v>
      </c>
      <c r="C60" s="2645">
        <v>131</v>
      </c>
      <c r="D60" s="2645">
        <f t="shared" si="87"/>
        <v>131</v>
      </c>
      <c r="E60" s="2645">
        <v>155</v>
      </c>
      <c r="F60" s="2646">
        <v>114</v>
      </c>
      <c r="G60" s="3454">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52">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52">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55">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2619</v>
      </c>
      <c r="B64" s="2661">
        <v>121</v>
      </c>
      <c r="C64" s="2661">
        <v>122</v>
      </c>
      <c r="D64" s="2661">
        <f t="shared" si="87"/>
        <v>122</v>
      </c>
      <c r="E64" s="2661">
        <v>124</v>
      </c>
      <c r="F64" s="2662">
        <v>107</v>
      </c>
      <c r="G64" s="3454">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52">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52">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55">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2623</v>
      </c>
      <c r="B68" s="2682">
        <v>111</v>
      </c>
      <c r="C68" s="2682">
        <v>114</v>
      </c>
      <c r="D68" s="2682">
        <f t="shared" si="87"/>
        <v>114</v>
      </c>
      <c r="E68" s="2682">
        <v>108</v>
      </c>
      <c r="F68" s="2683">
        <v>104</v>
      </c>
      <c r="G68" s="3454">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52">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52">
        <v>2003</v>
      </c>
      <c r="H70" s="2622">
        <v>2</v>
      </c>
      <c r="I70" s="2684"/>
      <c r="J70" s="2684"/>
      <c r="K70" s="2684"/>
      <c r="L70" s="2684"/>
      <c r="X70" s="2676"/>
      <c r="Y70" s="2676"/>
      <c r="Z70" s="2676"/>
    </row>
    <row r="71" spans="1:26" ht="13.5" thickBot="1">
      <c r="A71" s="2618" t="s">
        <v>2626</v>
      </c>
      <c r="B71" s="2686">
        <f t="shared" si="123"/>
        <v>107.25</v>
      </c>
      <c r="C71" s="2686">
        <f t="shared" si="123"/>
        <v>108.75</v>
      </c>
      <c r="D71" s="2686">
        <f t="shared" si="87"/>
        <v>108.75</v>
      </c>
      <c r="E71" s="2686">
        <f t="shared" si="124"/>
        <v>105.75</v>
      </c>
      <c r="F71" s="2686">
        <f t="shared" si="124"/>
        <v>102.5</v>
      </c>
      <c r="G71" s="3455">
        <v>2003</v>
      </c>
      <c r="H71" s="2687">
        <v>1</v>
      </c>
      <c r="I71" s="2684"/>
      <c r="J71" s="2684"/>
      <c r="K71" s="2684"/>
      <c r="L71" s="2684"/>
      <c r="S71" s="2626"/>
      <c r="T71" s="2627"/>
      <c r="U71" s="2627"/>
      <c r="X71" s="2676"/>
      <c r="Y71" s="2676"/>
      <c r="Z71" s="2676"/>
    </row>
    <row r="72" spans="1:26" ht="13.5" thickBot="1">
      <c r="A72" s="2618" t="s">
        <v>2627</v>
      </c>
      <c r="B72" s="2688">
        <v>106</v>
      </c>
      <c r="C72" s="2688">
        <v>107</v>
      </c>
      <c r="D72" s="2688">
        <f t="shared" si="87"/>
        <v>107</v>
      </c>
      <c r="E72" s="2688">
        <v>105</v>
      </c>
      <c r="F72" s="2689">
        <v>102</v>
      </c>
      <c r="G72" s="3454">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52">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52">
        <v>2002</v>
      </c>
      <c r="H74" s="2622">
        <v>2</v>
      </c>
      <c r="I74" s="2684"/>
      <c r="J74" s="2684"/>
      <c r="K74" s="2684"/>
      <c r="L74" s="2684"/>
      <c r="X74" s="2676"/>
      <c r="Y74" s="2676"/>
      <c r="Z74" s="2676"/>
    </row>
    <row r="75" spans="1:26" s="2653" customFormat="1" ht="13.5" thickBot="1">
      <c r="A75" s="2649" t="s">
        <v>2630</v>
      </c>
      <c r="B75" s="2690">
        <f t="shared" si="125"/>
        <v>103</v>
      </c>
      <c r="C75" s="2690">
        <f t="shared" si="125"/>
        <v>104</v>
      </c>
      <c r="D75" s="2690">
        <f t="shared" si="87"/>
        <v>104</v>
      </c>
      <c r="E75" s="2690">
        <f t="shared" si="126"/>
        <v>103.5</v>
      </c>
      <c r="F75" s="2690">
        <f t="shared" si="126"/>
        <v>100.5</v>
      </c>
      <c r="G75" s="3455">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5"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26425平方米。根据《建设工程规划许可证》[]、《出让合同》[]，估价对象规划建筑面积为374106平方米。</v>
      </c>
    </row>
    <row r="7" spans="1:4" ht="56.25">
      <c r="A7" s="1779" t="s">
        <v>2747</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2019年7月17日（评估专业人员勘察现场之日）</v>
      </c>
    </row>
    <row r="12" spans="1:4" ht="18.75">
      <c r="A12" s="1781" t="s">
        <v>2025</v>
      </c>
    </row>
    <row r="13" spans="1:4" ht="18.75">
      <c r="A13" s="1775" t="s">
        <v>2939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根据《国有土地使用证》[]，估价对象（分摊）出让国有建设用地使用权面积为26425平方米。根据《建设工程规划许可证》[]、《出让合同》[]，估价对象规划建筑面积为374106平方米。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17日、商业2059年7月17日、办公2059年7月17日、地下车库2069年7月17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2946</v>
      </c>
      <c r="B1" s="3054"/>
      <c r="C1" s="3054"/>
      <c r="D1" s="3054"/>
      <c r="E1" s="3054"/>
      <c r="F1" s="3054"/>
    </row>
    <row r="2" spans="1:6" ht="14.25">
      <c r="A2" s="3055" t="s">
        <v>2941</v>
      </c>
      <c r="B2" s="3056" t="e">
        <f ca="1">SUMIF(B7:B14,"&lt;&gt;#ref!",B7:B14)</f>
        <v>#DIV/0!</v>
      </c>
      <c r="C2" s="3055" t="s">
        <v>2942</v>
      </c>
      <c r="D2" s="3054"/>
      <c r="E2" s="3054"/>
      <c r="F2" s="3054"/>
    </row>
    <row r="3" spans="1:6" ht="14.25">
      <c r="A3" s="3055" t="s">
        <v>2974</v>
      </c>
      <c r="B3" s="3056" t="e">
        <f ca="1">ROUND(B2*10000/E3,0)</f>
        <v>#DIV/0!</v>
      </c>
      <c r="C3" s="3055" t="s">
        <v>2078</v>
      </c>
      <c r="D3" s="3055" t="s">
        <v>2943</v>
      </c>
      <c r="E3" s="3056">
        <f ca="1">SUMIF(E7:E14,"&lt;&gt;#ref!",E7:E14)</f>
        <v>0</v>
      </c>
      <c r="F3" s="3054"/>
    </row>
    <row r="4" spans="1:6" ht="14.25">
      <c r="A4" s="3055" t="s">
        <v>2950</v>
      </c>
      <c r="B4" s="3056" t="e">
        <f ca="1">ROUND(B2*10000/E4,0)</f>
        <v>#DIV/0!</v>
      </c>
      <c r="C4" s="3055" t="s">
        <v>2078</v>
      </c>
      <c r="D4" s="3055" t="s">
        <v>2951</v>
      </c>
      <c r="E4" s="3056">
        <f ca="1">SUMIF(F7:F14,"&lt;&gt;#ref!",F7:F14)</f>
        <v>0</v>
      </c>
      <c r="F4" s="3054"/>
    </row>
    <row r="5" spans="1:6" ht="14.25">
      <c r="A5" s="3057"/>
      <c r="B5" s="1865"/>
      <c r="C5" s="1865"/>
      <c r="D5" s="1865"/>
      <c r="E5" s="1865"/>
      <c r="F5" s="3054"/>
    </row>
    <row r="6" spans="1:6" ht="28.5">
      <c r="A6" s="3058" t="s">
        <v>2947</v>
      </c>
      <c r="B6" s="3055" t="s">
        <v>2944</v>
      </c>
      <c r="C6" s="3056"/>
      <c r="D6" s="1865"/>
      <c r="E6" s="3055" t="s">
        <v>2945</v>
      </c>
      <c r="F6" s="3055" t="s">
        <v>2949</v>
      </c>
    </row>
    <row r="7" spans="1:6" ht="14.25">
      <c r="A7" s="259" t="s">
        <v>2948</v>
      </c>
      <c r="B7" s="3059" t="e">
        <f ca="1">SUMIF(INDIRECT("'"&amp;A7&amp;"'"&amp;"!A:A"),"总价",INDIRECT("'"&amp;A7&amp;"'"&amp;"!B:B"))</f>
        <v>#DIV/0!</v>
      </c>
      <c r="C7" s="3055" t="s">
        <v>2942</v>
      </c>
      <c r="D7" s="1865"/>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2942</v>
      </c>
      <c r="D8" s="1865"/>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2942</v>
      </c>
      <c r="D9" s="1865"/>
      <c r="E9" s="3060" t="e">
        <f t="shared" ca="1" si="1"/>
        <v>#REF!</v>
      </c>
      <c r="F9" s="3060" t="e">
        <f t="shared" ca="1" si="2"/>
        <v>#REF!</v>
      </c>
    </row>
    <row r="10" spans="1:6" ht="14.25">
      <c r="A10" s="259"/>
      <c r="B10" s="3059" t="e">
        <f t="shared" ca="1" si="0"/>
        <v>#REF!</v>
      </c>
      <c r="C10" s="3055" t="s">
        <v>2942</v>
      </c>
      <c r="D10" s="1865"/>
      <c r="E10" s="3060" t="e">
        <f t="shared" ca="1" si="1"/>
        <v>#REF!</v>
      </c>
      <c r="F10" s="3060" t="e">
        <f t="shared" ca="1" si="2"/>
        <v>#REF!</v>
      </c>
    </row>
    <row r="11" spans="1:6" ht="14.25">
      <c r="A11" s="259"/>
      <c r="B11" s="3059" t="e">
        <f t="shared" ca="1" si="0"/>
        <v>#REF!</v>
      </c>
      <c r="C11" s="3055" t="s">
        <v>2942</v>
      </c>
      <c r="D11" s="1865"/>
      <c r="E11" s="3060" t="e">
        <f t="shared" ca="1" si="1"/>
        <v>#REF!</v>
      </c>
      <c r="F11" s="3060" t="e">
        <f t="shared" ca="1" si="2"/>
        <v>#REF!</v>
      </c>
    </row>
    <row r="12" spans="1:6" ht="14.25">
      <c r="A12" s="259"/>
      <c r="B12" s="3059" t="e">
        <f t="shared" ca="1" si="0"/>
        <v>#REF!</v>
      </c>
      <c r="C12" s="3055" t="s">
        <v>2942</v>
      </c>
      <c r="D12" s="1865"/>
      <c r="E12" s="3060" t="e">
        <f t="shared" ca="1" si="1"/>
        <v>#REF!</v>
      </c>
      <c r="F12" s="3060" t="e">
        <f t="shared" ca="1" si="2"/>
        <v>#REF!</v>
      </c>
    </row>
    <row r="13" spans="1:6" ht="14.25">
      <c r="A13" s="259"/>
      <c r="B13" s="3059" t="e">
        <f t="shared" ca="1" si="0"/>
        <v>#REF!</v>
      </c>
      <c r="C13" s="3055" t="s">
        <v>2942</v>
      </c>
      <c r="D13" s="1865"/>
      <c r="E13" s="3060" t="e">
        <f t="shared" ca="1" si="1"/>
        <v>#REF!</v>
      </c>
      <c r="F13" s="3060" t="e">
        <f t="shared" ca="1" si="2"/>
        <v>#REF!</v>
      </c>
    </row>
    <row r="14" spans="1:6" ht="14.25">
      <c r="A14" s="3053"/>
      <c r="B14" s="3059" t="e">
        <f t="shared" ca="1" si="0"/>
        <v>#REF!</v>
      </c>
      <c r="C14" s="3055" t="s">
        <v>2942</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13</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63" t="s">
        <v>2463</v>
      </c>
      <c r="C8" s="1809">
        <f ca="1">ROUND(F8*F10*F9*(1-F11)/10000,0)</f>
        <v>0</v>
      </c>
      <c r="D8" s="1806" t="s">
        <v>2534</v>
      </c>
      <c r="E8" s="61" t="s">
        <v>637</v>
      </c>
      <c r="F8" s="784">
        <f ca="1">INDIRECT("'数据-取费表'!u"&amp;$G$1)</f>
        <v>0</v>
      </c>
      <c r="G8" s="1577"/>
      <c r="H8" s="2467" t="s">
        <v>1824</v>
      </c>
      <c r="I8" s="3463" t="s">
        <v>2463</v>
      </c>
      <c r="J8" s="782">
        <f ca="1">ROUND(M8*M10*M9*(1-M11)/10000,0)</f>
        <v>0</v>
      </c>
      <c r="K8" s="340" t="s">
        <v>2534</v>
      </c>
      <c r="L8" s="783" t="s">
        <v>1738</v>
      </c>
      <c r="M8" s="784">
        <f ca="1">INDIRECT("'数据-取费表'!z"&amp;$G$1)</f>
        <v>0</v>
      </c>
    </row>
    <row r="9" spans="1:25" ht="18" customHeight="1">
      <c r="A9" s="2463"/>
      <c r="B9" s="3464"/>
      <c r="C9" s="1810"/>
      <c r="D9" s="1807"/>
      <c r="E9" s="61" t="s">
        <v>638</v>
      </c>
      <c r="F9" s="784">
        <f ca="1">IF(INDIRECT("'数据-取费表'!ah"&amp;$G$1)="",INDIRECT("'数据-取费表'!k"&amp;$G$1),INDIRECT("'数据-取费表'!ah"&amp;$G$1))</f>
        <v>0</v>
      </c>
      <c r="G9" s="1577"/>
      <c r="H9" s="2452"/>
      <c r="I9" s="3464"/>
      <c r="J9" s="787"/>
      <c r="K9" s="788"/>
      <c r="L9" s="783" t="s">
        <v>1739</v>
      </c>
      <c r="M9" s="784">
        <f ca="1">F9</f>
        <v>0</v>
      </c>
    </row>
    <row r="10" spans="1:25" ht="18" customHeight="1">
      <c r="A10" s="2456"/>
      <c r="B10" s="3465"/>
      <c r="C10" s="1810"/>
      <c r="D10" s="1807"/>
      <c r="E10" s="61" t="s">
        <v>639</v>
      </c>
      <c r="F10" s="784">
        <f ca="1">INDIRECT("'数据-取费表'!ai"&amp;$G$1)</f>
        <v>0</v>
      </c>
      <c r="G10" s="1577"/>
      <c r="H10" s="2452"/>
      <c r="I10" s="3465"/>
      <c r="J10" s="787"/>
      <c r="K10" s="788"/>
      <c r="L10" s="783" t="s">
        <v>1740</v>
      </c>
      <c r="M10" s="784">
        <f ca="1">INDIRECT("'数据-取费表'!ai"&amp;$G$1)</f>
        <v>0</v>
      </c>
    </row>
    <row r="11" spans="1:25" ht="18" customHeight="1">
      <c r="A11" s="785"/>
      <c r="B11" s="3466"/>
      <c r="C11" s="1810"/>
      <c r="D11" s="1807"/>
      <c r="E11" s="61" t="s">
        <v>640</v>
      </c>
      <c r="F11" s="793">
        <f ca="1">INDIRECT("'数据-取费表'!w"&amp;$G$1)</f>
        <v>0</v>
      </c>
      <c r="G11" s="1577"/>
      <c r="H11" s="2468"/>
      <c r="I11" s="3465"/>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0.04</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0.02</v>
      </c>
      <c r="G22" s="1578"/>
      <c r="H22" s="1816" t="s">
        <v>1850</v>
      </c>
      <c r="I22" s="1806" t="s">
        <v>668</v>
      </c>
      <c r="J22" s="54">
        <f ca="1">ROUND(M22*M23/10000,0)</f>
        <v>0</v>
      </c>
      <c r="K22" s="813" t="s">
        <v>669</v>
      </c>
      <c r="L22" s="783" t="s">
        <v>670</v>
      </c>
      <c r="M22" s="639">
        <f>'数据-取费表'!B52</f>
        <v>10</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1.1999999999999999E-3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10</v>
      </c>
      <c r="G36" s="2046"/>
      <c r="H36" s="2049"/>
      <c r="I36" s="3462"/>
      <c r="J36" s="2063"/>
      <c r="K36" s="2064"/>
      <c r="L36" s="2063"/>
      <c r="M36" s="2063"/>
    </row>
    <row r="37" spans="1:18" ht="18" customHeight="1">
      <c r="A37" s="814"/>
      <c r="B37" s="792"/>
      <c r="C37" s="69"/>
      <c r="D37" s="815"/>
      <c r="E37" s="783" t="s">
        <v>674</v>
      </c>
      <c r="F37" s="784">
        <f ca="1">INDIRECT("'数据-取费表'!r"&amp;$G$1)</f>
        <v>0</v>
      </c>
      <c r="G37" s="2046"/>
      <c r="H37" s="2049"/>
      <c r="I37" s="3462"/>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1" t="s">
        <v>2959</v>
      </c>
      <c r="F43" s="3072">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9">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3"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6" t="s">
        <v>2344</v>
      </c>
      <c r="J48" s="2344"/>
      <c r="K48" s="3102" t="s">
        <v>2349</v>
      </c>
      <c r="L48" s="3106">
        <f ca="1">INDIRECT("'数据-取费表'!d"&amp;$G$1)</f>
        <v>0</v>
      </c>
      <c r="M48" s="3070"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5"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5"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5" t="s">
        <v>2347</v>
      </c>
      <c r="J51" s="3100">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7" t="s">
        <v>2348</v>
      </c>
      <c r="J52" s="3101">
        <f>IF(J50="",J51,J50+J51-YEAR('数据-取费表'!B3))</f>
        <v>0</v>
      </c>
      <c r="K52" s="3075"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8" t="s">
        <v>2421</v>
      </c>
      <c r="J53" s="2348"/>
      <c r="K53" s="3098" t="s">
        <v>2420</v>
      </c>
      <c r="L53" s="2348"/>
      <c r="O53" s="2364" t="s">
        <v>2386</v>
      </c>
      <c r="P53" s="2362" t="s">
        <v>2387</v>
      </c>
      <c r="Q53" s="2365">
        <f>J53</f>
        <v>0</v>
      </c>
      <c r="R53" s="2366"/>
    </row>
    <row r="54" spans="1:18" s="2043" customFormat="1" ht="29.25" thickBot="1">
      <c r="A54" s="2080"/>
      <c r="I54" s="3099" t="s">
        <v>2975</v>
      </c>
      <c r="J54" s="3178">
        <f ca="1">IF(M48="住宅",MAX(J52,L49-'数据-取费表'!B20),MIN(J52,L49-'数据-取费表'!B20))</f>
        <v>-2.5</v>
      </c>
      <c r="K54" s="3467"/>
      <c r="L54" s="3468"/>
      <c r="O54" s="2364" t="s">
        <v>2388</v>
      </c>
      <c r="P54" s="2362" t="s">
        <v>2389</v>
      </c>
      <c r="Q54" s="2363">
        <f ca="1">J54</f>
        <v>-2.5</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50"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5"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5"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1" t="e">
        <f ca="1">IF(J56&lt;0.4,0.4,J56)</f>
        <v>#VALUE!</v>
      </c>
      <c r="K59" s="3075"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5"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2940</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I41" sqref="I4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c r="D1" s="3074" t="s">
        <v>952</v>
      </c>
      <c r="E1" s="2350" t="s">
        <v>2374</v>
      </c>
      <c r="F1" s="2351">
        <f ca="1">J53</f>
        <v>0</v>
      </c>
      <c r="G1" s="773">
        <f>MATCH(C1,'数据-取费表'!A6:A16,0)+5</f>
        <v>13</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t="e">
        <f ca="1">C40+J29+L46</f>
        <v>#DIV/0!</v>
      </c>
      <c r="C2" s="2041"/>
      <c r="D2" s="2039"/>
      <c r="E2" s="2040"/>
      <c r="F2" s="2040"/>
      <c r="G2" s="1575"/>
      <c r="H2" s="2041"/>
      <c r="I2" s="2041"/>
      <c r="J2" s="2041"/>
      <c r="K2" s="2042"/>
      <c r="L2" s="2041"/>
      <c r="M2" s="2041"/>
    </row>
    <row r="3" spans="1:33" ht="18" customHeight="1" thickBot="1">
      <c r="A3" s="832" t="s">
        <v>1727</v>
      </c>
      <c r="B3" s="833">
        <f ca="1">IF(ISERROR(B2*10000/F43),0,ROUND(B2*10000/F43,0))</f>
        <v>0</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0</v>
      </c>
      <c r="D5" s="2459" t="s">
        <v>2461</v>
      </c>
      <c r="E5" s="2453"/>
      <c r="F5" s="2454"/>
      <c r="G5" s="1577"/>
      <c r="H5" s="780">
        <v>1</v>
      </c>
      <c r="I5" s="781" t="s">
        <v>2458</v>
      </c>
      <c r="J5" s="55">
        <f ca="1">J6+J10+J12</f>
        <v>0</v>
      </c>
      <c r="K5" s="2459" t="s">
        <v>2461</v>
      </c>
      <c r="L5" s="2453"/>
      <c r="M5" s="2454"/>
    </row>
    <row r="6" spans="1:33" ht="18" customHeight="1">
      <c r="A6" s="1814" t="s">
        <v>1824</v>
      </c>
      <c r="B6" s="3463" t="s">
        <v>2463</v>
      </c>
      <c r="C6" s="782">
        <f ca="1">ROUND(F6*F8*F7*(1-F9)/10000,0)</f>
        <v>0</v>
      </c>
      <c r="D6" s="2460" t="s">
        <v>2462</v>
      </c>
      <c r="E6" s="783" t="s">
        <v>1738</v>
      </c>
      <c r="F6" s="784">
        <f ca="1">INDIRECT("'数据-取费表'!u"&amp;$G$1)</f>
        <v>0</v>
      </c>
      <c r="G6" s="1577"/>
      <c r="H6" s="2467" t="s">
        <v>2468</v>
      </c>
      <c r="I6" s="3463" t="s">
        <v>2463</v>
      </c>
      <c r="J6" s="782">
        <f ca="1">ROUND(M6*M8*M7*(1-M9)/10000,0)</f>
        <v>0</v>
      </c>
      <c r="K6" s="340" t="s">
        <v>1737</v>
      </c>
      <c r="L6" s="783" t="s">
        <v>1738</v>
      </c>
      <c r="M6" s="784">
        <f ca="1">INDIRECT("'数据-取费表'!z"&amp;$G$1)</f>
        <v>0</v>
      </c>
    </row>
    <row r="7" spans="1:33" ht="18" customHeight="1">
      <c r="A7" s="2463"/>
      <c r="B7" s="3464"/>
      <c r="C7" s="787"/>
      <c r="D7" s="788"/>
      <c r="E7" s="783" t="s">
        <v>1739</v>
      </c>
      <c r="F7" s="784">
        <f ca="1">IF(INDIRECT("'数据-取费表'!ah"&amp;$G$1)="",INDIRECT("'数据-取费表'!k"&amp;$G$1),INDIRECT("'数据-取费表'!ah"&amp;$G$1))</f>
        <v>0</v>
      </c>
      <c r="G7" s="1577"/>
      <c r="H7" s="2452"/>
      <c r="I7" s="3464"/>
      <c r="J7" s="787"/>
      <c r="K7" s="788"/>
      <c r="L7" s="783" t="s">
        <v>1739</v>
      </c>
      <c r="M7" s="784">
        <f ca="1">F7</f>
        <v>0</v>
      </c>
    </row>
    <row r="8" spans="1:33" ht="18" customHeight="1">
      <c r="A8" s="2456"/>
      <c r="B8" s="3465"/>
      <c r="C8" s="787"/>
      <c r="D8" s="788"/>
      <c r="E8" s="783" t="s">
        <v>1740</v>
      </c>
      <c r="F8" s="784">
        <f ca="1">INDIRECT("'数据-取费表'!ai"&amp;$G$1)</f>
        <v>0</v>
      </c>
      <c r="G8" s="1577"/>
      <c r="H8" s="2452"/>
      <c r="I8" s="3465"/>
      <c r="J8" s="787"/>
      <c r="K8" s="788"/>
      <c r="L8" s="783" t="s">
        <v>1740</v>
      </c>
      <c r="M8" s="784">
        <f ca="1">INDIRECT("'数据-取费表'!ai"&amp;$G$1)</f>
        <v>0</v>
      </c>
    </row>
    <row r="9" spans="1:33" ht="18" customHeight="1">
      <c r="A9" s="785"/>
      <c r="B9" s="3466"/>
      <c r="C9" s="787"/>
      <c r="D9" s="788"/>
      <c r="E9" s="783" t="s">
        <v>1741</v>
      </c>
      <c r="F9" s="793">
        <f ca="1">INDIRECT("'数据-取费表'!w"&amp;$G$1)</f>
        <v>0</v>
      </c>
      <c r="G9" s="1577"/>
      <c r="H9" s="2468"/>
      <c r="I9" s="3465"/>
      <c r="J9" s="787"/>
      <c r="K9" s="788"/>
      <c r="L9" s="794" t="s">
        <v>1741</v>
      </c>
      <c r="M9" s="795">
        <f ca="1">INDIRECT("'数据-取费表'!ab"&amp;$G$1)</f>
        <v>0</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0</v>
      </c>
      <c r="D14" s="1963" t="s">
        <v>1745</v>
      </c>
      <c r="E14" s="1964"/>
      <c r="F14" s="804"/>
      <c r="G14" s="1577"/>
      <c r="H14" s="1633" t="s">
        <v>1830</v>
      </c>
      <c r="I14" s="2215" t="s">
        <v>2826</v>
      </c>
      <c r="J14" s="53">
        <f ca="1">C29</f>
        <v>0</v>
      </c>
      <c r="K14" s="26"/>
      <c r="L14" s="800"/>
      <c r="M14" s="801"/>
    </row>
    <row r="15" spans="1:33" s="2048" customFormat="1" ht="18" customHeight="1" thickBot="1">
      <c r="A15" s="1632" t="s">
        <v>1885</v>
      </c>
      <c r="B15" s="783" t="s">
        <v>647</v>
      </c>
      <c r="C15" s="53">
        <f ca="1">ROUND(C14*F15,0)</f>
        <v>0</v>
      </c>
      <c r="D15" s="805" t="s">
        <v>1746</v>
      </c>
      <c r="E15" s="805" t="s">
        <v>1747</v>
      </c>
      <c r="F15" s="806">
        <f>'数据-取费表'!B33</f>
        <v>0.04</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0</v>
      </c>
      <c r="K16" s="1805" t="s">
        <v>1750</v>
      </c>
      <c r="L16" s="2449"/>
      <c r="M16" s="2454"/>
    </row>
    <row r="17" spans="1:33" s="2048" customFormat="1" ht="18" customHeight="1">
      <c r="A17" s="1632" t="s">
        <v>1887</v>
      </c>
      <c r="B17" s="783" t="s">
        <v>653</v>
      </c>
      <c r="C17" s="53">
        <f ca="1">ROUND(F17*(F43+INDIRECT("'数据-取费表'!S"&amp;$G$1))/10000,0)</f>
        <v>0</v>
      </c>
      <c r="D17" s="783" t="s">
        <v>1751</v>
      </c>
      <c r="E17" s="783" t="s">
        <v>1752</v>
      </c>
      <c r="F17" s="56">
        <f>'数据-取费表'!B35</f>
        <v>200</v>
      </c>
      <c r="G17" s="1578"/>
      <c r="H17" s="1633" t="s">
        <v>1830</v>
      </c>
      <c r="I17" s="783" t="s">
        <v>656</v>
      </c>
      <c r="J17" s="53">
        <f ca="1">ROUND(IF(项目基本情况!B11="自然人",J6*M17/(1+'数据-取费表'!C42),J18+J19+J20),0)</f>
        <v>0</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0</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0</v>
      </c>
      <c r="D19" s="260" t="s">
        <v>1757</v>
      </c>
      <c r="E19" s="1966"/>
      <c r="F19" s="56"/>
      <c r="G19" s="1577"/>
      <c r="H19" s="1632"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8" customFormat="1" ht="18" customHeight="1">
      <c r="A20" s="1633" t="s">
        <v>1889</v>
      </c>
      <c r="B20" s="783" t="s">
        <v>666</v>
      </c>
      <c r="C20" s="53">
        <f ca="1">ROUND(C19*F20,0)</f>
        <v>0</v>
      </c>
      <c r="D20" s="811" t="s">
        <v>1759</v>
      </c>
      <c r="E20" s="783" t="s">
        <v>1747</v>
      </c>
      <c r="F20" s="808">
        <f>'数据-取费表'!B37</f>
        <v>0.02</v>
      </c>
      <c r="G20" s="1578"/>
      <c r="H20" s="1635" t="s">
        <v>1880</v>
      </c>
      <c r="I20" s="340" t="s">
        <v>1760</v>
      </c>
      <c r="J20" s="54">
        <f ca="1">ROUND(M20*M21/10000,0)</f>
        <v>0</v>
      </c>
      <c r="K20" s="813" t="s">
        <v>1761</v>
      </c>
      <c r="L20" s="783" t="s">
        <v>1762</v>
      </c>
      <c r="M20" s="639">
        <f>'数据-取费表'!B52</f>
        <v>10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0.02</v>
      </c>
      <c r="G21" s="1578"/>
      <c r="H21" s="2469"/>
      <c r="I21" s="792"/>
      <c r="J21" s="69"/>
      <c r="K21" s="815"/>
      <c r="L21" s="783" t="s">
        <v>1766</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0</v>
      </c>
      <c r="K22" s="2447" t="s">
        <v>1769</v>
      </c>
      <c r="L22" s="783" t="s">
        <v>1747</v>
      </c>
      <c r="M22" s="816">
        <f ca="1">INDIRECT("'数据-取费表'!Ak"&amp;$G$1)</f>
        <v>0</v>
      </c>
    </row>
    <row r="23" spans="1:33" s="2048" customFormat="1" ht="18" customHeight="1">
      <c r="A23" s="1632" t="s">
        <v>1831</v>
      </c>
      <c r="B23" s="783" t="s">
        <v>2535</v>
      </c>
      <c r="C23" s="53">
        <f ca="1">ROUND(IF('数据-取费表'!B22&lt;=1,(C19+C20)*F24*F23/2,(C19+C20)*(POWER((1+F24),F23/2)-1)),0)</f>
        <v>0</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0</v>
      </c>
      <c r="K25" s="2511" t="s">
        <v>1777</v>
      </c>
      <c r="L25" s="2512"/>
      <c r="M25" s="2513"/>
    </row>
    <row r="26" spans="1:33" ht="18" customHeight="1">
      <c r="A26" s="1632" t="s">
        <v>1831</v>
      </c>
      <c r="B26" s="783" t="s">
        <v>2438</v>
      </c>
      <c r="C26" s="53">
        <f ca="1">ROUND((C19+C20)*F26,0)</f>
        <v>0</v>
      </c>
      <c r="D26" s="811" t="s">
        <v>1778</v>
      </c>
      <c r="E26" s="794" t="s">
        <v>1779</v>
      </c>
      <c r="F26" s="793">
        <f ca="1">INDIRECT("'数据-取费表'!q"&amp;$G$1)</f>
        <v>0</v>
      </c>
      <c r="G26" s="1577"/>
      <c r="H26" s="2465" t="s">
        <v>1780</v>
      </c>
      <c r="I26" s="2216" t="s">
        <v>2827</v>
      </c>
      <c r="J26" s="782">
        <f ca="1">IF(J5&lt;&gt;0,ROUND(J25*(1-((1+M28)/(1+M26))^M27)/(M26-M28),0),0)</f>
        <v>0</v>
      </c>
      <c r="K26" s="813" t="s">
        <v>1781</v>
      </c>
      <c r="L26" s="783" t="s">
        <v>2419</v>
      </c>
      <c r="M26" s="793">
        <f ca="1">INDIRECT("'数据-取费表'!I"&amp;$G$1)</f>
        <v>0</v>
      </c>
    </row>
    <row r="27" spans="1:33" ht="18" customHeight="1">
      <c r="A27" s="1632" t="s">
        <v>1832</v>
      </c>
      <c r="B27" s="783" t="s">
        <v>686</v>
      </c>
      <c r="C27" s="53">
        <f ca="1">ROUND(F21*F26,4)</f>
        <v>0</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2" t="s">
        <v>1787</v>
      </c>
      <c r="I29" s="823" t="s">
        <v>1788</v>
      </c>
      <c r="J29" s="824">
        <f ca="1">ROUND(J26/(1+F40)^F41,0)</f>
        <v>0</v>
      </c>
      <c r="K29" s="825" t="s">
        <v>1789</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0</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0</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6"/>
      <c r="H33" s="2061"/>
      <c r="I33" s="2061"/>
      <c r="J33" s="2061"/>
      <c r="K33" s="2062"/>
      <c r="L33" s="2061"/>
      <c r="M33" s="2061"/>
    </row>
    <row r="34" spans="1:18" ht="18" customHeight="1">
      <c r="A34" s="1635" t="s">
        <v>1833</v>
      </c>
      <c r="B34" s="340" t="s">
        <v>1798</v>
      </c>
      <c r="C34" s="54">
        <f ca="1">ROUND(F34*F35/10000,1)</f>
        <v>0</v>
      </c>
      <c r="D34" s="813" t="s">
        <v>1799</v>
      </c>
      <c r="E34" s="783" t="s">
        <v>1800</v>
      </c>
      <c r="F34" s="639">
        <f>'数据-取费表'!B52</f>
        <v>10</v>
      </c>
      <c r="G34" s="2046"/>
      <c r="H34" s="2049"/>
      <c r="I34" s="834" t="s">
        <v>1813</v>
      </c>
      <c r="J34" s="835"/>
      <c r="K34" s="2064"/>
      <c r="L34" s="2063"/>
      <c r="M34" s="2063"/>
    </row>
    <row r="35" spans="1:18" ht="18" customHeight="1">
      <c r="A35" s="814"/>
      <c r="B35" s="792"/>
      <c r="C35" s="69"/>
      <c r="D35" s="815"/>
      <c r="E35" s="783" t="s">
        <v>1801</v>
      </c>
      <c r="F35" s="784">
        <f ca="1">INDIRECT("'数据-取费表'!r"&amp;$G$1)</f>
        <v>0</v>
      </c>
      <c r="G35" s="2046"/>
      <c r="H35" s="2049"/>
      <c r="I35" s="836" t="s">
        <v>1814</v>
      </c>
      <c r="J35" s="837">
        <f ca="1">ROUND(C13*J36,0)</f>
        <v>0</v>
      </c>
      <c r="K35" s="2062"/>
      <c r="L35" s="2061"/>
      <c r="M35" s="2061"/>
    </row>
    <row r="36" spans="1:18" ht="18" customHeight="1">
      <c r="A36" s="1633" t="s">
        <v>1889</v>
      </c>
      <c r="B36" s="783" t="s">
        <v>1802</v>
      </c>
      <c r="C36" s="53">
        <f ca="1">ROUND(C29*F36,1)</f>
        <v>0</v>
      </c>
      <c r="D36" s="1961" t="s">
        <v>1803</v>
      </c>
      <c r="E36" s="783" t="s">
        <v>1796</v>
      </c>
      <c r="F36" s="816">
        <f ca="1">INDIRECT("'数据-取费表'!Ak"&amp;$G$1)</f>
        <v>0</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0</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2" t="s">
        <v>1817</v>
      </c>
      <c r="J38" s="843"/>
      <c r="K38" s="2067"/>
      <c r="L38" s="2061"/>
      <c r="M38" s="2061"/>
    </row>
    <row r="39" spans="1:18" ht="24.6" customHeight="1" thickTop="1">
      <c r="A39" s="1813" t="s">
        <v>1894</v>
      </c>
      <c r="B39" s="2961" t="s">
        <v>2822</v>
      </c>
      <c r="C39" s="791">
        <f ca="1">C5-C30</f>
        <v>0</v>
      </c>
      <c r="D39" s="2511" t="s">
        <v>1806</v>
      </c>
      <c r="E39" s="2512"/>
      <c r="F39" s="2513"/>
      <c r="G39" s="2046"/>
      <c r="H39" s="2061"/>
      <c r="I39" s="836" t="s">
        <v>1818</v>
      </c>
      <c r="J39" s="844" t="e">
        <f ca="1">ROUND(J35/C39,3)</f>
        <v>#DIV/0!</v>
      </c>
      <c r="K39" s="2067"/>
      <c r="L39" s="2061"/>
      <c r="M39" s="2061"/>
    </row>
    <row r="40" spans="1:18" ht="18" customHeight="1">
      <c r="A40" s="780" t="s">
        <v>1895</v>
      </c>
      <c r="B40" s="2216" t="s">
        <v>2301</v>
      </c>
      <c r="C40" s="782" t="e">
        <f ca="1">ROUND(C39*(1-((1+F42)/(1+F40))^F41)/(F40-F42),0)</f>
        <v>#DIV/0!</v>
      </c>
      <c r="D40" s="813" t="s">
        <v>1807</v>
      </c>
      <c r="E40" s="783" t="s">
        <v>2419</v>
      </c>
      <c r="F40" s="793">
        <f ca="1">INDIRECT("'数据-取费表'!I"&amp;$G$1)</f>
        <v>0</v>
      </c>
      <c r="G40" s="2046"/>
      <c r="H40" s="2046"/>
      <c r="I40" s="836" t="s">
        <v>1819</v>
      </c>
      <c r="J40" s="844" t="e">
        <f ca="1">1-J39</f>
        <v>#DIV/0!</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0</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t="e">
        <f ca="1">ROUND(C13/C40,3)</f>
        <v>#DIV/0!</v>
      </c>
      <c r="K42" s="2066"/>
      <c r="L42" s="1972"/>
      <c r="M42" s="1972"/>
    </row>
    <row r="43" spans="1:18" ht="18" customHeight="1" thickBot="1">
      <c r="A43" s="822" t="s">
        <v>1787</v>
      </c>
      <c r="B43" s="823" t="s">
        <v>1810</v>
      </c>
      <c r="C43" s="824" t="e">
        <f ca="1">ROUND(C40*10000/F43,0)</f>
        <v>#DIV/0!</v>
      </c>
      <c r="D43" s="825" t="s">
        <v>1811</v>
      </c>
      <c r="E43" s="826" t="s">
        <v>1812</v>
      </c>
      <c r="F43" s="827">
        <f ca="1">INDIRECT("'数据-取费表'!k"&amp;$G$1)</f>
        <v>0</v>
      </c>
      <c r="G43" s="2046"/>
      <c r="H43" s="1972"/>
      <c r="I43" s="846" t="s">
        <v>1822</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5" t="e">
        <f ca="1">IF(OR(M47="住宅",D1="土地（套用方法）"),0,IF(L48&gt;J51,L60,J60))</f>
        <v>#DIV/0!</v>
      </c>
      <c r="O46" s="2357" t="s">
        <v>2410</v>
      </c>
      <c r="P46" s="1577"/>
      <c r="Q46" s="1588"/>
      <c r="R46" s="1577"/>
    </row>
    <row r="47" spans="1:18" s="2043" customFormat="1" ht="18" customHeight="1" thickBot="1">
      <c r="A47" s="2335">
        <v>1</v>
      </c>
      <c r="B47" s="2336" t="s">
        <v>635</v>
      </c>
      <c r="C47" s="2537">
        <f ca="1">C48+C52+C54</f>
        <v>0</v>
      </c>
      <c r="D47" s="2069"/>
      <c r="E47" s="2069"/>
      <c r="F47" s="2069"/>
      <c r="I47" s="3096" t="s">
        <v>2344</v>
      </c>
      <c r="J47" s="2344"/>
      <c r="K47" s="3102" t="s">
        <v>2349</v>
      </c>
      <c r="L47" s="3106">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5" t="s">
        <v>2345</v>
      </c>
      <c r="J48" s="2345"/>
      <c r="K48" s="3103" t="s">
        <v>2351</v>
      </c>
      <c r="L48" s="1892">
        <f ca="1">INDIRECT("'数据-取费表'!f"&amp;$G$1)</f>
        <v>0</v>
      </c>
      <c r="O48" s="2361" t="s">
        <v>2379</v>
      </c>
      <c r="P48" s="2362" t="s">
        <v>2405</v>
      </c>
      <c r="Q48" s="2363" t="e">
        <f ca="1">C40+J29</f>
        <v>#DIV/0!</v>
      </c>
      <c r="R48" s="2362" t="s">
        <v>2380</v>
      </c>
    </row>
    <row r="49" spans="1:18" s="2043" customFormat="1" ht="18" customHeight="1" thickBot="1">
      <c r="A49" s="785"/>
      <c r="B49" s="786"/>
      <c r="C49" s="787"/>
      <c r="D49" s="788"/>
      <c r="E49" s="783" t="s">
        <v>1739</v>
      </c>
      <c r="F49" s="784">
        <f ca="1">F7</f>
        <v>0</v>
      </c>
      <c r="G49" s="2074"/>
      <c r="H49" s="2077"/>
      <c r="I49" s="3075" t="s">
        <v>2346</v>
      </c>
      <c r="J49" s="2346"/>
      <c r="K49" s="3104" t="s">
        <v>2352</v>
      </c>
      <c r="L49" s="2347"/>
      <c r="O49" s="2361" t="s">
        <v>2381</v>
      </c>
      <c r="P49" s="2362" t="s">
        <v>2406</v>
      </c>
      <c r="Q49" s="2363" t="e">
        <f ca="1">J60</f>
        <v>#DIV/0!</v>
      </c>
      <c r="R49" s="2362" t="s">
        <v>2382</v>
      </c>
    </row>
    <row r="50" spans="1:18" s="2043" customFormat="1" ht="18" customHeight="1" thickBot="1">
      <c r="A50" s="785"/>
      <c r="B50" s="786"/>
      <c r="C50" s="787"/>
      <c r="D50" s="788"/>
      <c r="E50" s="783" t="s">
        <v>1740</v>
      </c>
      <c r="F50" s="784">
        <f ca="1">F8</f>
        <v>0</v>
      </c>
      <c r="G50" s="2079"/>
      <c r="H50" s="2077"/>
      <c r="I50" s="3075" t="s">
        <v>2347</v>
      </c>
      <c r="J50" s="3100">
        <f>SUMPRODUCT((I63:I65=J47)*(J62:L62=J48)*(J63:L65))</f>
        <v>0</v>
      </c>
      <c r="K50" s="3104" t="s">
        <v>2353</v>
      </c>
      <c r="L50" s="2347"/>
      <c r="O50" s="2364" t="s">
        <v>2383</v>
      </c>
      <c r="P50" s="2362" t="s">
        <v>2407</v>
      </c>
      <c r="Q50" s="2363">
        <f ca="1">C29</f>
        <v>0</v>
      </c>
      <c r="R50" s="2362" t="s">
        <v>2380</v>
      </c>
    </row>
    <row r="51" spans="1:18" s="2043" customFormat="1" ht="18" customHeight="1" thickBot="1">
      <c r="A51" s="785"/>
      <c r="B51" s="786"/>
      <c r="C51" s="787"/>
      <c r="D51" s="788"/>
      <c r="E51" s="783" t="s">
        <v>640</v>
      </c>
      <c r="F51" s="2334"/>
      <c r="H51" s="2077"/>
      <c r="I51" s="3097" t="s">
        <v>2348</v>
      </c>
      <c r="J51" s="3101">
        <f>IF(J49="",J50,J49+J50-YEAR('数据-取费表'!B2))</f>
        <v>0</v>
      </c>
      <c r="K51" s="3075" t="s">
        <v>2354</v>
      </c>
      <c r="L51" s="3107">
        <f ca="1">ROUND(-PV(INDIRECT("'数据-取费表'!h"&amp;$G$1),L48,(C39-C13*J36),0),0)</f>
        <v>0</v>
      </c>
      <c r="O51" s="2364" t="s">
        <v>2384</v>
      </c>
      <c r="P51" s="2362" t="s">
        <v>2385</v>
      </c>
      <c r="Q51" s="2365" t="e">
        <f ca="1">J58</f>
        <v>#DIV/0!</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8" t="s">
        <v>2421</v>
      </c>
      <c r="J52" s="2348"/>
      <c r="K52" s="3098"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9" t="s">
        <v>2975</v>
      </c>
      <c r="J53" s="3178">
        <f ca="1">IF(M47="住宅",IF(D1="——",MAX(J51,L48),MAX(J51,L48-'数据-取费表'!B20)),IF(D1="——",MIN(J51,L48),MIN(J51,L48-'数据-取费表'!B20)))</f>
        <v>0</v>
      </c>
      <c r="K53" s="3469" t="s">
        <v>2963</v>
      </c>
      <c r="L53" s="3470"/>
      <c r="O53" s="2364" t="s">
        <v>2388</v>
      </c>
      <c r="P53" s="2362" t="s">
        <v>2389</v>
      </c>
      <c r="Q53" s="2363">
        <f ca="1">J53</f>
        <v>0</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2391</v>
      </c>
      <c r="P54" s="2362" t="s">
        <v>2408</v>
      </c>
      <c r="Q54" s="2363" t="e">
        <f ca="1">Q48+Q49</f>
        <v>#DIV/0!</v>
      </c>
      <c r="R54" s="2366" t="s">
        <v>2392</v>
      </c>
    </row>
    <row r="55" spans="1:18" s="2043" customFormat="1" ht="18" customHeight="1" thickTop="1" thickBot="1">
      <c r="A55" s="796">
        <v>2</v>
      </c>
      <c r="B55" s="797" t="s">
        <v>644</v>
      </c>
      <c r="C55" s="798">
        <f ca="1">C13</f>
        <v>0</v>
      </c>
      <c r="D55" s="794"/>
      <c r="E55" s="794"/>
      <c r="F55" s="799"/>
      <c r="I55" s="3110" t="s">
        <v>2355</v>
      </c>
      <c r="J55" s="3050" t="e">
        <f ca="1">ROUND(IF(J47="钢混",J57/J50,1-(1-2%)*(J50-J57)/J50),3)</f>
        <v>#DIV/0!</v>
      </c>
      <c r="K55" s="3111" t="s">
        <v>2356</v>
      </c>
      <c r="L55" s="2349"/>
      <c r="O55" s="2367" t="s">
        <v>2411</v>
      </c>
      <c r="P55" s="1577"/>
      <c r="Q55" s="1588"/>
      <c r="R55" s="1577"/>
    </row>
    <row r="56" spans="1:18" s="2043" customFormat="1" ht="42.75" customHeight="1" thickBot="1">
      <c r="A56" s="1634"/>
      <c r="B56" s="2215" t="s">
        <v>2302</v>
      </c>
      <c r="C56" s="53">
        <f ca="1">C29</f>
        <v>0</v>
      </c>
      <c r="D56" s="2602"/>
      <c r="E56" s="783"/>
      <c r="F56" s="808"/>
      <c r="I56" s="3112" t="s">
        <v>2357</v>
      </c>
      <c r="J56" s="3122"/>
      <c r="K56" s="3075" t="s">
        <v>2362</v>
      </c>
      <c r="L56" s="1892">
        <f ca="1">IF(L48&lt;J51,"——",L48-J51)</f>
        <v>0</v>
      </c>
      <c r="O56" s="2358" t="s">
        <v>2375</v>
      </c>
      <c r="P56" s="2359" t="s">
        <v>2376</v>
      </c>
      <c r="Q56" s="2360" t="s">
        <v>2377</v>
      </c>
      <c r="R56" s="2359" t="s">
        <v>2378</v>
      </c>
    </row>
    <row r="57" spans="1:18" s="2043" customFormat="1" ht="28.5" customHeight="1" thickBot="1">
      <c r="A57" s="796" t="s">
        <v>1748</v>
      </c>
      <c r="B57" s="797" t="s">
        <v>651</v>
      </c>
      <c r="C57" s="798">
        <f ca="1">ROUND(C58+C63+C64+C65,0)</f>
        <v>0</v>
      </c>
      <c r="D57" s="26" t="s">
        <v>1750</v>
      </c>
      <c r="E57" s="2603"/>
      <c r="F57" s="56"/>
      <c r="I57" s="3113" t="s">
        <v>2358</v>
      </c>
      <c r="J57" s="3114">
        <f ca="1">IF(OR(M47="住宅",J51&lt;L48,J56="是"),"——",J51-L48)</f>
        <v>0</v>
      </c>
      <c r="K57" s="3075" t="s">
        <v>2363</v>
      </c>
      <c r="L57" s="1892">
        <f ca="1">IF(L48&lt;J51,"——",IF(L55="比较法",L49,IF(L55="基准地价",L50,L51)))</f>
        <v>0</v>
      </c>
      <c r="O57" s="2361" t="s">
        <v>2379</v>
      </c>
      <c r="P57" s="2362" t="s">
        <v>2409</v>
      </c>
      <c r="Q57" s="2363" t="e">
        <f ca="1">C40+J29</f>
        <v>#DIV/0!</v>
      </c>
      <c r="R57" s="2362" t="s">
        <v>2380</v>
      </c>
    </row>
    <row r="58" spans="1:18" s="2043" customFormat="1" ht="28.5" customHeight="1" thickBot="1">
      <c r="A58" s="1633" t="s">
        <v>1824</v>
      </c>
      <c r="B58" s="783" t="s">
        <v>656</v>
      </c>
      <c r="C58" s="53">
        <f ca="1">ROUND(IF(项目基本情况!B11="自然人",C47*F58,C59+C60+C61),1)</f>
        <v>0</v>
      </c>
      <c r="D58" s="2601" t="s">
        <v>657</v>
      </c>
      <c r="E58" s="2602" t="s">
        <v>690</v>
      </c>
      <c r="F58" s="809" t="str">
        <f ca="1">IF(项目基本情况!B11="企业","",IF(INDIRECT("'数据-取费表'!c"&amp;$G$1)="住宅",5%,IF(F48*F49*F50/12/(1+'数据-取费表'!C42)&gt;20000,12%,7%)))</f>
        <v/>
      </c>
      <c r="I58" s="3113" t="s">
        <v>2359</v>
      </c>
      <c r="J58" s="3051" t="e">
        <f ca="1">IF(J55&lt;0.4,0.4,J55)</f>
        <v>#DIV/0!</v>
      </c>
      <c r="K58" s="3075" t="s">
        <v>2364</v>
      </c>
      <c r="L58" s="1892" t="e">
        <f ca="1">ROUND(POWER(1+L52,L47-L48)*(POWER(1+L52,L48)-1)/(POWER(1+L52,L47)-1),4)</f>
        <v>#DIV/0!</v>
      </c>
      <c r="O58" s="2361" t="s">
        <v>2381</v>
      </c>
      <c r="P58" s="2362" t="s">
        <v>2412</v>
      </c>
      <c r="Q58" s="2363" t="e">
        <f ca="1">L60</f>
        <v>#DIV/0!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13" t="s">
        <v>2360</v>
      </c>
      <c r="J59" s="3114"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按房产原值计税</v>
      </c>
      <c r="E60" s="783" t="s">
        <v>1747</v>
      </c>
      <c r="F60" s="808">
        <f t="shared" si="0"/>
        <v>1.2E-2</v>
      </c>
      <c r="I60" s="3115" t="s">
        <v>2361</v>
      </c>
      <c r="J60" s="3116" t="e">
        <f ca="1">IF(OR(M47="住宅",J51&lt;L48,J56="是"),"0",ROUND(J59/(1+J52)^J53,0))</f>
        <v>#DIV/0!</v>
      </c>
      <c r="K60" s="3117" t="s">
        <v>2366</v>
      </c>
      <c r="L60" s="3116" t="e">
        <f ca="1">IF(OR(M47="住宅",L48&lt;J51),0,ROUND(L57*(L58/L59-1),0))</f>
        <v>#DIV/0!</v>
      </c>
      <c r="O60" s="2364" t="s">
        <v>2384</v>
      </c>
      <c r="P60" s="2362" t="s">
        <v>2393</v>
      </c>
      <c r="Q60" s="2365">
        <f>L52</f>
        <v>0</v>
      </c>
      <c r="R60" s="2366"/>
    </row>
    <row r="61" spans="1:18" s="2043" customFormat="1" ht="18" customHeight="1" thickBot="1">
      <c r="A61" s="1635" t="s">
        <v>1833</v>
      </c>
      <c r="B61" s="340" t="s">
        <v>668</v>
      </c>
      <c r="C61" s="54">
        <f ca="1">ROUND(F61*F62/10000,1)</f>
        <v>0</v>
      </c>
      <c r="D61" s="813" t="s">
        <v>669</v>
      </c>
      <c r="E61" s="783" t="s">
        <v>670</v>
      </c>
      <c r="F61" s="639">
        <f t="shared" si="0"/>
        <v>10</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0</v>
      </c>
      <c r="I62" s="3118" t="s">
        <v>2367</v>
      </c>
      <c r="J62" s="3119" t="s">
        <v>2368</v>
      </c>
      <c r="K62" s="3119" t="s">
        <v>2369</v>
      </c>
      <c r="L62" s="3119" t="s">
        <v>2350</v>
      </c>
      <c r="M62" s="3120" t="s">
        <v>2940</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0</v>
      </c>
      <c r="D63" s="2602" t="s">
        <v>1803</v>
      </c>
      <c r="E63" s="783" t="s">
        <v>1747</v>
      </c>
      <c r="F63" s="816">
        <f t="shared" ca="1" si="0"/>
        <v>0</v>
      </c>
      <c r="I63" s="3118" t="s">
        <v>2370</v>
      </c>
      <c r="J63" s="3119">
        <v>70</v>
      </c>
      <c r="K63" s="3119">
        <v>50</v>
      </c>
      <c r="L63" s="3119">
        <v>80</v>
      </c>
      <c r="M63" s="3121">
        <v>0.02</v>
      </c>
      <c r="O63" s="2361" t="s">
        <v>2391</v>
      </c>
      <c r="P63" s="2362" t="s">
        <v>2408</v>
      </c>
      <c r="Q63" s="2363" t="e">
        <f ca="1">Q57+Q58</f>
        <v>#DIV/0!</v>
      </c>
      <c r="R63" s="2366" t="s">
        <v>2392</v>
      </c>
    </row>
    <row r="64" spans="1:18" s="2043" customFormat="1" ht="16.5" thickBot="1">
      <c r="A64" s="1633" t="s">
        <v>1890</v>
      </c>
      <c r="B64" s="783" t="s">
        <v>679</v>
      </c>
      <c r="C64" s="53">
        <f ca="1">ROUND(C55*F64,1)</f>
        <v>0</v>
      </c>
      <c r="D64" s="2602" t="s">
        <v>680</v>
      </c>
      <c r="E64" s="783" t="s">
        <v>1747</v>
      </c>
      <c r="F64" s="817">
        <f t="shared" ca="1" si="0"/>
        <v>0</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2" t="s">
        <v>2822</v>
      </c>
      <c r="C66" s="798">
        <f ca="1">C47-C57</f>
        <v>0</v>
      </c>
      <c r="D66" s="2601" t="s">
        <v>700</v>
      </c>
      <c r="E66" s="2600"/>
      <c r="F66" s="819"/>
      <c r="K66" s="2070"/>
      <c r="O66" s="2361" t="s">
        <v>2379</v>
      </c>
      <c r="P66" s="2362" t="s">
        <v>2409</v>
      </c>
      <c r="Q66" s="2363" t="e">
        <f ca="1">C40+J29</f>
        <v>#DIV/0!</v>
      </c>
      <c r="R66" s="2362" t="s">
        <v>2380</v>
      </c>
    </row>
    <row r="67" spans="1:18" s="2043" customFormat="1" ht="20.25" thickBot="1">
      <c r="A67" s="780" t="s">
        <v>1780</v>
      </c>
      <c r="B67" s="2216" t="s">
        <v>2301</v>
      </c>
      <c r="C67" s="782" t="e">
        <f ca="1">ROUND(C66*(1-((1+F69)/(1+F67))^F68)/(F67-F69),0)</f>
        <v>#DIV/0!</v>
      </c>
      <c r="D67" s="813" t="s">
        <v>704</v>
      </c>
      <c r="E67" s="783" t="s">
        <v>705</v>
      </c>
      <c r="F67" s="793">
        <f ca="1">F40</f>
        <v>0</v>
      </c>
      <c r="K67" s="2070"/>
      <c r="O67" s="2361" t="s">
        <v>2381</v>
      </c>
      <c r="P67" s="2362" t="s">
        <v>2412</v>
      </c>
      <c r="Q67" s="2363" t="e">
        <f ca="1">L60</f>
        <v>#DIV/0!</v>
      </c>
      <c r="R67" s="2366" t="s">
        <v>2414</v>
      </c>
    </row>
    <row r="68" spans="1:18" ht="21.75" thickBot="1">
      <c r="A68" s="785"/>
      <c r="B68" s="786"/>
      <c r="C68" s="787"/>
      <c r="D68" s="820" t="s">
        <v>1808</v>
      </c>
      <c r="E68" s="783" t="s">
        <v>1784</v>
      </c>
      <c r="F68" s="821">
        <f ca="1">F41</f>
        <v>0</v>
      </c>
      <c r="O68" s="2364" t="s">
        <v>2383</v>
      </c>
      <c r="P68" s="2362" t="s">
        <v>2413</v>
      </c>
      <c r="Q68" s="2368">
        <f ca="1">L51</f>
        <v>0</v>
      </c>
      <c r="R68" s="2369" t="s">
        <v>2416</v>
      </c>
    </row>
    <row r="69" spans="1:18" ht="20.25" thickBot="1">
      <c r="A69" s="789"/>
      <c r="B69" s="790"/>
      <c r="C69" s="791"/>
      <c r="D69" s="815"/>
      <c r="E69" s="783" t="s">
        <v>710</v>
      </c>
      <c r="F69" s="2334"/>
      <c r="O69" s="2364" t="s">
        <v>2384</v>
      </c>
      <c r="P69" s="2370" t="s">
        <v>2398</v>
      </c>
      <c r="Q69" s="2363">
        <f ca="1">ROUND(Q70-Q71*Q72,0)</f>
        <v>0</v>
      </c>
      <c r="R69" s="2366"/>
    </row>
    <row r="70" spans="1:18" ht="15.75" thickBot="1">
      <c r="A70" s="822" t="s">
        <v>1787</v>
      </c>
      <c r="B70" s="823" t="s">
        <v>1810</v>
      </c>
      <c r="C70" s="824" t="e">
        <f ca="1">ROUND(C67*10000/F70,0)</f>
        <v>#DIV/0!</v>
      </c>
      <c r="D70" s="825" t="s">
        <v>1811</v>
      </c>
      <c r="E70" s="826" t="s">
        <v>1812</v>
      </c>
      <c r="F70" s="827">
        <f ca="1">F43</f>
        <v>0</v>
      </c>
      <c r="O70" s="2364" t="s">
        <v>2399</v>
      </c>
      <c r="P70" s="2370" t="s">
        <v>2400</v>
      </c>
      <c r="Q70" s="2363">
        <f ca="1">C39</f>
        <v>0</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t="e">
        <f ca="1">Q66+Q67</f>
        <v>#DIV/0!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2471</v>
      </c>
      <c r="B1" s="3472"/>
      <c r="C1" s="3473"/>
      <c r="D1" s="3474">
        <f>SUM(I10,I15,I20,I21,I23)</f>
        <v>0</v>
      </c>
      <c r="E1" s="3474"/>
      <c r="F1" s="3474"/>
      <c r="G1" s="3474"/>
      <c r="H1" s="3474"/>
      <c r="I1" s="3475"/>
    </row>
    <row r="2" spans="1:9">
      <c r="A2" s="3476" t="s">
        <v>2472</v>
      </c>
      <c r="B2" s="3477" t="s">
        <v>2473</v>
      </c>
      <c r="C2" s="3477"/>
      <c r="D2" s="2470" t="s">
        <v>2474</v>
      </c>
      <c r="E2" s="2470" t="s">
        <v>2475</v>
      </c>
      <c r="F2" s="2470" t="s">
        <v>2476</v>
      </c>
      <c r="G2" s="2470" t="s">
        <v>2477</v>
      </c>
      <c r="H2" s="2470" t="s">
        <v>2478</v>
      </c>
      <c r="I2" s="2471" t="s">
        <v>2479</v>
      </c>
    </row>
    <row r="3" spans="1:9">
      <c r="A3" s="3476"/>
      <c r="B3" s="3477" t="s">
        <v>2480</v>
      </c>
      <c r="C3" s="3477"/>
      <c r="D3" s="2472"/>
      <c r="E3" s="2470"/>
      <c r="F3" s="2473"/>
      <c r="G3" s="2473"/>
      <c r="H3" s="2474"/>
      <c r="I3" s="2475">
        <f>ROUND(D3*E3*F3*G3*H3/10000,0)</f>
        <v>0</v>
      </c>
    </row>
    <row r="4" spans="1:9">
      <c r="A4" s="3476"/>
      <c r="B4" s="3477" t="s">
        <v>2481</v>
      </c>
      <c r="C4" s="3477"/>
      <c r="D4" s="2472"/>
      <c r="E4" s="2470"/>
      <c r="F4" s="2473"/>
      <c r="G4" s="2473"/>
      <c r="H4" s="2474"/>
      <c r="I4" s="2475">
        <f t="shared" ref="I4:I9" si="0">ROUND(D4*E4*F4*G4*H4/10000,0)</f>
        <v>0</v>
      </c>
    </row>
    <row r="5" spans="1:9">
      <c r="A5" s="3476"/>
      <c r="B5" s="3477" t="s">
        <v>2482</v>
      </c>
      <c r="C5" s="3477"/>
      <c r="D5" s="2472"/>
      <c r="E5" s="2470"/>
      <c r="F5" s="2473"/>
      <c r="G5" s="2473"/>
      <c r="H5" s="2474"/>
      <c r="I5" s="2475">
        <f t="shared" si="0"/>
        <v>0</v>
      </c>
    </row>
    <row r="6" spans="1:9">
      <c r="A6" s="3476"/>
      <c r="B6" s="3477" t="s">
        <v>2483</v>
      </c>
      <c r="C6" s="3477"/>
      <c r="D6" s="2472"/>
      <c r="E6" s="2470"/>
      <c r="F6" s="2473"/>
      <c r="G6" s="2473"/>
      <c r="H6" s="2474"/>
      <c r="I6" s="2475">
        <f t="shared" si="0"/>
        <v>0</v>
      </c>
    </row>
    <row r="7" spans="1:9">
      <c r="A7" s="3476"/>
      <c r="B7" s="3477" t="s">
        <v>2484</v>
      </c>
      <c r="C7" s="3477"/>
      <c r="D7" s="2472"/>
      <c r="E7" s="2470"/>
      <c r="F7" s="2473"/>
      <c r="G7" s="2473"/>
      <c r="H7" s="2474"/>
      <c r="I7" s="2475">
        <f t="shared" si="0"/>
        <v>0</v>
      </c>
    </row>
    <row r="8" spans="1:9">
      <c r="A8" s="3476"/>
      <c r="B8" s="3477" t="s">
        <v>2485</v>
      </c>
      <c r="C8" s="3477"/>
      <c r="D8" s="2472"/>
      <c r="E8" s="2470"/>
      <c r="F8" s="2473"/>
      <c r="G8" s="2473"/>
      <c r="H8" s="2474"/>
      <c r="I8" s="2475">
        <f t="shared" si="0"/>
        <v>0</v>
      </c>
    </row>
    <row r="9" spans="1:9">
      <c r="A9" s="3476"/>
      <c r="B9" s="3477" t="s">
        <v>2486</v>
      </c>
      <c r="C9" s="3477"/>
      <c r="D9" s="2472"/>
      <c r="E9" s="2470"/>
      <c r="F9" s="2473"/>
      <c r="G9" s="2473"/>
      <c r="H9" s="2474"/>
      <c r="I9" s="2475">
        <f t="shared" si="0"/>
        <v>0</v>
      </c>
    </row>
    <row r="10" spans="1:9">
      <c r="A10" s="3476"/>
      <c r="B10" s="3478" t="s">
        <v>2487</v>
      </c>
      <c r="C10" s="3478"/>
      <c r="D10" s="2476">
        <v>527</v>
      </c>
      <c r="E10" s="2476" t="e">
        <f>ROUND(D1*10000/D10/H9,0)</f>
        <v>#DIV/0!</v>
      </c>
      <c r="F10" s="2477"/>
      <c r="G10" s="2477"/>
      <c r="H10" s="2478"/>
      <c r="I10" s="2479">
        <f>SUM(I3:I9)</f>
        <v>0</v>
      </c>
    </row>
    <row r="11" spans="1:9" ht="14.25">
      <c r="A11" s="3476" t="s">
        <v>2488</v>
      </c>
      <c r="B11" s="3477" t="s">
        <v>2489</v>
      </c>
      <c r="C11" s="3477"/>
      <c r="D11" s="2472" t="s">
        <v>2490</v>
      </c>
      <c r="E11" s="2472" t="s">
        <v>2491</v>
      </c>
      <c r="F11" s="2473" t="s">
        <v>2492</v>
      </c>
      <c r="G11" s="2473" t="s">
        <v>2493</v>
      </c>
      <c r="H11" s="2480" t="s">
        <v>2494</v>
      </c>
      <c r="I11" s="2471" t="s">
        <v>2495</v>
      </c>
    </row>
    <row r="12" spans="1:9">
      <c r="A12" s="3476"/>
      <c r="B12" s="3477" t="s">
        <v>2496</v>
      </c>
      <c r="C12" s="3477"/>
      <c r="D12" s="2472"/>
      <c r="E12" s="2472"/>
      <c r="F12" s="2473"/>
      <c r="G12" s="2474"/>
      <c r="H12" s="2481"/>
      <c r="I12" s="2471">
        <f>ROUND(D12*E12*F12*G12/10000,0)</f>
        <v>0</v>
      </c>
    </row>
    <row r="13" spans="1:9">
      <c r="A13" s="3476"/>
      <c r="B13" s="3477" t="s">
        <v>2497</v>
      </c>
      <c r="C13" s="3477"/>
      <c r="D13" s="2472"/>
      <c r="E13" s="2472"/>
      <c r="F13" s="2473"/>
      <c r="G13" s="2474"/>
      <c r="H13" s="2481"/>
      <c r="I13" s="2471">
        <f>ROUND(D13*E13*F13*G13/10000,0)</f>
        <v>0</v>
      </c>
    </row>
    <row r="14" spans="1:9">
      <c r="A14" s="3476"/>
      <c r="B14" s="3477" t="s">
        <v>2498</v>
      </c>
      <c r="C14" s="3477"/>
      <c r="D14" s="2472"/>
      <c r="E14" s="2472"/>
      <c r="F14" s="2473"/>
      <c r="G14" s="2474"/>
      <c r="H14" s="2481"/>
      <c r="I14" s="2471">
        <f>ROUND(D14*E14*F14*G14/10000,0)</f>
        <v>0</v>
      </c>
    </row>
    <row r="15" spans="1:9">
      <c r="A15" s="3476"/>
      <c r="B15" s="3478" t="s">
        <v>2487</v>
      </c>
      <c r="C15" s="3478"/>
      <c r="D15" s="2476"/>
      <c r="E15" s="2476">
        <f>SUM(E12:E14)</f>
        <v>0</v>
      </c>
      <c r="F15" s="2477"/>
      <c r="G15" s="2474"/>
      <c r="H15" s="2481"/>
      <c r="I15" s="2482">
        <f>SUM(I12:I14)</f>
        <v>0</v>
      </c>
    </row>
    <row r="16" spans="1:9" ht="24">
      <c r="A16" s="3476" t="s">
        <v>2499</v>
      </c>
      <c r="B16" s="3477" t="s">
        <v>2500</v>
      </c>
      <c r="C16" s="3477"/>
      <c r="D16" s="2472" t="s">
        <v>2501</v>
      </c>
      <c r="E16" s="2483" t="s">
        <v>2502</v>
      </c>
      <c r="F16" s="2473" t="s">
        <v>2503</v>
      </c>
      <c r="G16" s="2474" t="s">
        <v>2493</v>
      </c>
      <c r="H16" s="2480" t="s">
        <v>2494</v>
      </c>
      <c r="I16" s="2471" t="s">
        <v>2495</v>
      </c>
    </row>
    <row r="17" spans="1:9" ht="14.25">
      <c r="A17" s="3476"/>
      <c r="B17" s="3477" t="s">
        <v>2504</v>
      </c>
      <c r="C17" s="3477"/>
      <c r="D17" s="2472"/>
      <c r="E17" s="2472"/>
      <c r="F17" s="2473"/>
      <c r="G17" s="2474"/>
      <c r="H17" s="2484"/>
      <c r="I17" s="2485">
        <f>ROUND(D17*E17*F17*G17/10000,0)</f>
        <v>0</v>
      </c>
    </row>
    <row r="18" spans="1:9" ht="14.25">
      <c r="A18" s="3476"/>
      <c r="B18" s="3477" t="s">
        <v>2505</v>
      </c>
      <c r="C18" s="3477"/>
      <c r="D18" s="2472"/>
      <c r="E18" s="2472"/>
      <c r="F18" s="2473"/>
      <c r="G18" s="2474"/>
      <c r="H18" s="2484"/>
      <c r="I18" s="2485">
        <f>ROUND(D18*E18*F18*G18/10000,0)</f>
        <v>0</v>
      </c>
    </row>
    <row r="19" spans="1:9" ht="14.25">
      <c r="A19" s="3476"/>
      <c r="B19" s="3477" t="s">
        <v>2506</v>
      </c>
      <c r="C19" s="3477"/>
      <c r="D19" s="2472"/>
      <c r="E19" s="2472"/>
      <c r="F19" s="2473"/>
      <c r="G19" s="2474"/>
      <c r="H19" s="2484"/>
      <c r="I19" s="2485">
        <f>ROUND(D19*E19*F19*G19/10000,0)</f>
        <v>0</v>
      </c>
    </row>
    <row r="20" spans="1:9">
      <c r="A20" s="3476"/>
      <c r="B20" s="3478" t="s">
        <v>2487</v>
      </c>
      <c r="C20" s="3478"/>
      <c r="D20" s="2476">
        <f>SUM(D17:D19)</f>
        <v>0</v>
      </c>
      <c r="E20" s="2476"/>
      <c r="F20" s="2477"/>
      <c r="G20" s="2474"/>
      <c r="H20" s="2481"/>
      <c r="I20" s="2482">
        <f>SUM(I17:I19)</f>
        <v>0</v>
      </c>
    </row>
    <row r="21" spans="1:9">
      <c r="A21" s="3476" t="s">
        <v>2507</v>
      </c>
      <c r="B21" s="3480"/>
      <c r="C21" s="3480"/>
      <c r="D21" s="3480"/>
      <c r="E21" s="3480"/>
      <c r="F21" s="3480"/>
      <c r="G21" s="3480"/>
      <c r="H21" s="2486">
        <v>0.1</v>
      </c>
      <c r="I21" s="2479">
        <f>ROUND(I10*H21,0)</f>
        <v>0</v>
      </c>
    </row>
    <row r="22" spans="1:9" ht="14.25">
      <c r="A22" s="3481" t="s">
        <v>2508</v>
      </c>
      <c r="B22" s="3482"/>
      <c r="C22" s="3483"/>
      <c r="D22" s="2487" t="s">
        <v>2509</v>
      </c>
      <c r="E22" s="2487" t="s">
        <v>2510</v>
      </c>
      <c r="F22" s="2488" t="s">
        <v>2511</v>
      </c>
      <c r="G22" s="2488" t="s">
        <v>2512</v>
      </c>
      <c r="H22" s="2480" t="s">
        <v>2513</v>
      </c>
      <c r="I22" s="2471" t="s">
        <v>2514</v>
      </c>
    </row>
    <row r="23" spans="1:9" ht="14.25" thickBot="1">
      <c r="A23" s="3484"/>
      <c r="B23" s="3485"/>
      <c r="C23" s="3486"/>
      <c r="D23" s="2489"/>
      <c r="E23" s="2489"/>
      <c r="F23" s="2489"/>
      <c r="G23" s="2490"/>
      <c r="H23" s="2491"/>
      <c r="I23" s="2492">
        <f>ROUND(E23*D23*F23*(1-G23)/10000,0)</f>
        <v>0</v>
      </c>
    </row>
    <row r="26" spans="1:9">
      <c r="A26" s="2493" t="s">
        <v>2515</v>
      </c>
      <c r="B26" s="2493"/>
      <c r="C26" s="2493"/>
      <c r="D26" s="2493"/>
      <c r="E26" s="3487">
        <f>C27-C30-C31-C32</f>
        <v>0</v>
      </c>
      <c r="F26" s="3487"/>
      <c r="G26" s="3487"/>
      <c r="H26" s="2994" t="s">
        <v>2843</v>
      </c>
    </row>
    <row r="27" spans="1:9">
      <c r="A27" s="2494">
        <v>1</v>
      </c>
      <c r="B27" s="2495" t="s">
        <v>2516</v>
      </c>
      <c r="C27" s="2495"/>
      <c r="D27" s="2495"/>
      <c r="E27" s="3488"/>
      <c r="F27" s="3488"/>
      <c r="G27" s="3488"/>
    </row>
    <row r="28" spans="1:9">
      <c r="A28" s="2496" t="s">
        <v>2517</v>
      </c>
      <c r="B28" s="2495" t="s">
        <v>2518</v>
      </c>
      <c r="C28" s="2495"/>
      <c r="D28" s="2495"/>
      <c r="E28" s="3488"/>
      <c r="F28" s="3488"/>
      <c r="G28" s="3488"/>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79"/>
      <c r="F32" s="3479"/>
      <c r="G32" s="3479"/>
    </row>
    <row r="33" spans="1:7" hidden="1">
      <c r="A33" s="3489" t="s">
        <v>2526</v>
      </c>
      <c r="B33" s="3490"/>
      <c r="C33" s="3490"/>
      <c r="D33" s="3491"/>
      <c r="E33" s="3487"/>
      <c r="F33" s="3487"/>
      <c r="G33" s="3487"/>
    </row>
    <row r="34" spans="1:7" hidden="1">
      <c r="A34" s="2498">
        <v>1</v>
      </c>
      <c r="B34" s="2495" t="s">
        <v>2527</v>
      </c>
      <c r="C34" s="2495"/>
      <c r="D34" s="2495"/>
      <c r="E34" s="3488"/>
      <c r="F34" s="3488"/>
      <c r="G34" s="3488"/>
    </row>
    <row r="35" spans="1:7" hidden="1">
      <c r="A35" s="2498">
        <v>2</v>
      </c>
      <c r="B35" s="2495" t="s">
        <v>2528</v>
      </c>
      <c r="C35" s="2495"/>
      <c r="D35" s="2495"/>
      <c r="E35" s="3488"/>
      <c r="F35" s="3488"/>
      <c r="G35" s="3488"/>
    </row>
    <row r="36" spans="1:7" hidden="1">
      <c r="A36" s="2498">
        <v>3</v>
      </c>
      <c r="B36" s="2495" t="s">
        <v>2529</v>
      </c>
      <c r="C36" s="2495"/>
      <c r="D36" s="2495"/>
      <c r="E36" s="3488"/>
      <c r="F36" s="3488"/>
      <c r="G36" s="3488"/>
    </row>
    <row r="37" spans="1:7" hidden="1">
      <c r="A37" s="2498">
        <v>4</v>
      </c>
      <c r="B37" s="2495" t="s">
        <v>2530</v>
      </c>
      <c r="C37" s="2495"/>
      <c r="D37" s="2495"/>
      <c r="E37" s="3488"/>
      <c r="F37" s="3488"/>
      <c r="G37" s="3488"/>
    </row>
    <row r="38" spans="1:7" hidden="1">
      <c r="A38" s="3489" t="s">
        <v>2531</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374106</v>
      </c>
      <c r="E10" s="748">
        <f>'数据-取费表'!B31</f>
        <v>80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2930</v>
      </c>
      <c r="D12" s="757">
        <f>'数据-汇总表'!E5</f>
        <v>115829</v>
      </c>
      <c r="E12" s="756">
        <f>'数据-取费表'!B27</f>
        <v>253</v>
      </c>
      <c r="F12" s="754"/>
      <c r="G12" s="758"/>
    </row>
    <row r="13" spans="1:25" s="2167" customFormat="1" ht="13.5" customHeight="1">
      <c r="A13" s="2439" t="s">
        <v>2447</v>
      </c>
      <c r="B13" s="755" t="s">
        <v>612</v>
      </c>
      <c r="C13" s="756">
        <f>ROUND(D13*E13/10000,0)</f>
        <v>5837</v>
      </c>
      <c r="D13" s="757">
        <f>'数据-汇总表'!E6</f>
        <v>258277</v>
      </c>
      <c r="E13" s="756">
        <f>'数据-取费表'!B28</f>
        <v>226</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0.09</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0.88900000000000001</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c r="E1" s="2589"/>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82" t="s">
        <v>522</v>
      </c>
      <c r="D4" s="3383"/>
      <c r="E4" s="3416" t="s">
        <v>523</v>
      </c>
      <c r="F4" s="3417"/>
      <c r="G4" s="3382" t="s">
        <v>524</v>
      </c>
      <c r="H4" s="3383"/>
      <c r="I4" s="3382" t="s">
        <v>525</v>
      </c>
      <c r="J4" s="3383"/>
      <c r="K4" s="852" t="s">
        <v>526</v>
      </c>
      <c r="L4" s="2117"/>
      <c r="M4" s="2118"/>
      <c r="N4" s="2118"/>
      <c r="O4" s="2118"/>
      <c r="P4" s="3384" t="s">
        <v>527</v>
      </c>
      <c r="Q4" s="3385"/>
      <c r="R4" s="3390" t="s">
        <v>523</v>
      </c>
      <c r="S4" s="3391"/>
      <c r="T4" s="3390" t="s">
        <v>524</v>
      </c>
      <c r="U4" s="3391"/>
      <c r="V4" s="3377" t="s">
        <v>525</v>
      </c>
      <c r="W4" s="3377"/>
      <c r="X4" s="1552"/>
      <c r="Y4" s="3390" t="s">
        <v>527</v>
      </c>
      <c r="Z4" s="3391"/>
      <c r="AA4" s="3379" t="s">
        <v>523</v>
      </c>
      <c r="AB4" s="3379" t="s">
        <v>524</v>
      </c>
      <c r="AC4" s="3379" t="s">
        <v>525</v>
      </c>
    </row>
    <row r="5" spans="1:29" ht="15">
      <c r="A5" s="514"/>
      <c r="B5" s="515"/>
      <c r="C5" s="3398" t="s">
        <v>2927</v>
      </c>
      <c r="D5" s="3399"/>
      <c r="E5" s="3418" t="s">
        <v>2928</v>
      </c>
      <c r="F5" s="3419"/>
      <c r="G5" s="3398" t="s">
        <v>2929</v>
      </c>
      <c r="H5" s="3399"/>
      <c r="I5" s="3398" t="s">
        <v>2930</v>
      </c>
      <c r="J5" s="3399"/>
      <c r="K5" s="853"/>
      <c r="L5" s="2117"/>
      <c r="M5" s="2118"/>
      <c r="N5" s="2118"/>
      <c r="O5" s="2118"/>
      <c r="P5" s="3386"/>
      <c r="Q5" s="3387"/>
      <c r="R5" s="3392"/>
      <c r="S5" s="3393"/>
      <c r="T5" s="3392"/>
      <c r="U5" s="3393"/>
      <c r="V5" s="3377"/>
      <c r="W5" s="3377"/>
      <c r="X5" s="1552"/>
      <c r="Y5" s="3392"/>
      <c r="Z5" s="3393"/>
      <c r="AA5" s="3380"/>
      <c r="AB5" s="3380"/>
      <c r="AC5" s="3380"/>
    </row>
    <row r="6" spans="1:29" ht="15.75" thickBot="1">
      <c r="A6" s="516"/>
      <c r="B6" s="517"/>
      <c r="C6" s="3396" t="s">
        <v>2931</v>
      </c>
      <c r="D6" s="3397"/>
      <c r="E6" s="3414" t="s">
        <v>2931</v>
      </c>
      <c r="F6" s="3415"/>
      <c r="G6" s="3396" t="s">
        <v>2931</v>
      </c>
      <c r="H6" s="3397"/>
      <c r="I6" s="3396" t="s">
        <v>2931</v>
      </c>
      <c r="J6" s="3397"/>
      <c r="K6" s="853" t="s">
        <v>528</v>
      </c>
      <c r="L6" s="2117"/>
      <c r="M6" s="2118"/>
      <c r="N6" s="2118"/>
      <c r="O6" s="2118"/>
      <c r="P6" s="3388"/>
      <c r="Q6" s="3389"/>
      <c r="R6" s="3392"/>
      <c r="S6" s="3393"/>
      <c r="T6" s="3394"/>
      <c r="U6" s="3395"/>
      <c r="V6" s="3377"/>
      <c r="W6" s="3377"/>
      <c r="X6" s="1552"/>
      <c r="Y6" s="3394"/>
      <c r="Z6" s="3395"/>
      <c r="AA6" s="3381"/>
      <c r="AB6" s="3381"/>
      <c r="AC6" s="3381"/>
    </row>
    <row r="7" spans="1:29" s="1215" customFormat="1" ht="15.75" thickBot="1">
      <c r="A7" s="2866"/>
      <c r="B7" s="2873" t="s">
        <v>529</v>
      </c>
      <c r="C7" s="518">
        <f>'数据-取费表'!B2</f>
        <v>43663</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07" t="s">
        <v>530</v>
      </c>
      <c r="Q7" s="3409"/>
      <c r="R7" s="1553" t="s">
        <v>13</v>
      </c>
      <c r="S7" s="1554">
        <f t="shared" ref="S7:S15" si="0">F7</f>
        <v>0</v>
      </c>
      <c r="T7" s="1553" t="s">
        <v>13</v>
      </c>
      <c r="U7" s="1554">
        <f t="shared" ref="U7:U15" si="1">H7</f>
        <v>0</v>
      </c>
      <c r="V7" s="1553" t="s">
        <v>13</v>
      </c>
      <c r="W7" s="1554">
        <f t="shared" ref="W7:W15" si="2">J7</f>
        <v>0</v>
      </c>
      <c r="X7" s="1555"/>
      <c r="Y7" s="3407" t="s">
        <v>530</v>
      </c>
      <c r="Z7" s="3408"/>
      <c r="AA7" s="1556" t="e">
        <f>D7/F7</f>
        <v>#DIV/0!</v>
      </c>
      <c r="AB7" s="1556" t="e">
        <f>D7/H7</f>
        <v>#DIV/0!</v>
      </c>
      <c r="AC7" s="1556" t="e">
        <f>D7/J7</f>
        <v>#DIV/0!</v>
      </c>
    </row>
    <row r="8" spans="1:29" s="1215" customFormat="1" ht="15.7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07" t="s">
        <v>533</v>
      </c>
      <c r="Q8" s="3408"/>
      <c r="R8" s="1553" t="s">
        <v>13</v>
      </c>
      <c r="S8" s="1554">
        <f t="shared" si="0"/>
        <v>0</v>
      </c>
      <c r="T8" s="1553" t="s">
        <v>13</v>
      </c>
      <c r="U8" s="1554">
        <f t="shared" si="1"/>
        <v>0</v>
      </c>
      <c r="V8" s="1553" t="s">
        <v>13</v>
      </c>
      <c r="W8" s="1554">
        <f t="shared" si="2"/>
        <v>0</v>
      </c>
      <c r="X8" s="1555"/>
      <c r="Y8" s="3407" t="s">
        <v>533</v>
      </c>
      <c r="Z8" s="3408"/>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6"/>
      <c r="Q11" s="1146" t="str">
        <f t="shared" si="6"/>
        <v>容积率</v>
      </c>
      <c r="R11" s="1553" t="s">
        <v>11</v>
      </c>
      <c r="S11" s="1554" t="e">
        <f t="shared" si="0"/>
        <v>#N/A</v>
      </c>
      <c r="T11" s="1553" t="s">
        <v>11</v>
      </c>
      <c r="U11" s="1554" t="e">
        <f t="shared" si="1"/>
        <v>#N/A</v>
      </c>
      <c r="V11" s="1553" t="s">
        <v>11</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6"/>
      <c r="Q12" s="1146">
        <f t="shared" si="6"/>
        <v>111</v>
      </c>
      <c r="R12" s="1553" t="s">
        <v>11</v>
      </c>
      <c r="S12" s="1554">
        <f t="shared" si="0"/>
        <v>100</v>
      </c>
      <c r="T12" s="1553" t="s">
        <v>11</v>
      </c>
      <c r="U12" s="1554">
        <f t="shared" si="1"/>
        <v>100</v>
      </c>
      <c r="V12" s="1553" t="s">
        <v>11</v>
      </c>
      <c r="W12" s="1554">
        <f t="shared" si="2"/>
        <v>100</v>
      </c>
      <c r="X12" s="1555"/>
      <c r="Y12" s="3322"/>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6"/>
      <c r="Q13" s="1146">
        <f t="shared" si="6"/>
        <v>111</v>
      </c>
      <c r="R13" s="1553" t="s">
        <v>11</v>
      </c>
      <c r="S13" s="1554">
        <f t="shared" si="0"/>
        <v>100</v>
      </c>
      <c r="T13" s="1553" t="s">
        <v>11</v>
      </c>
      <c r="U13" s="1554">
        <f t="shared" si="1"/>
        <v>100</v>
      </c>
      <c r="V13" s="1553" t="s">
        <v>11</v>
      </c>
      <c r="W13" s="1554">
        <f t="shared" si="2"/>
        <v>100</v>
      </c>
      <c r="X13" s="1555"/>
      <c r="Y13" s="3322"/>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6"/>
      <c r="Q14" s="1146">
        <f t="shared" si="6"/>
        <v>111</v>
      </c>
      <c r="R14" s="1553" t="s">
        <v>11</v>
      </c>
      <c r="S14" s="1554">
        <f t="shared" si="0"/>
        <v>100</v>
      </c>
      <c r="T14" s="1553" t="s">
        <v>11</v>
      </c>
      <c r="U14" s="1554">
        <f t="shared" si="1"/>
        <v>100</v>
      </c>
      <c r="V14" s="1553" t="s">
        <v>11</v>
      </c>
      <c r="W14" s="1554">
        <f t="shared" si="2"/>
        <v>100</v>
      </c>
      <c r="X14" s="1555"/>
      <c r="Y14" s="3322"/>
      <c r="Z14" s="1145">
        <f t="shared" si="7"/>
        <v>111</v>
      </c>
      <c r="AA14" s="1556">
        <f t="shared" si="3"/>
        <v>1</v>
      </c>
      <c r="AB14" s="1556">
        <f t="shared" si="4"/>
        <v>1</v>
      </c>
      <c r="AC14" s="1556">
        <f t="shared" si="5"/>
        <v>1</v>
      </c>
    </row>
    <row r="15" spans="1:29" ht="15">
      <c r="A15" s="2864" t="s">
        <v>2754</v>
      </c>
      <c r="B15" s="165"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10" t="s">
        <v>540</v>
      </c>
      <c r="Q15" s="1557" t="str">
        <f t="shared" si="6"/>
        <v>居住社区成熟度</v>
      </c>
      <c r="R15" s="1558" t="s">
        <v>11</v>
      </c>
      <c r="S15" s="1559">
        <f t="shared" si="0"/>
        <v>100</v>
      </c>
      <c r="T15" s="1558" t="s">
        <v>11</v>
      </c>
      <c r="U15" s="1559">
        <f t="shared" si="1"/>
        <v>100</v>
      </c>
      <c r="V15" s="1558" t="s">
        <v>11</v>
      </c>
      <c r="W15" s="1559">
        <f t="shared" si="2"/>
        <v>100</v>
      </c>
      <c r="X15" s="1552"/>
      <c r="Y15" s="3410"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411"/>
      <c r="Q16" s="1557"/>
      <c r="R16" s="1558"/>
      <c r="S16" s="1559"/>
      <c r="T16" s="1558"/>
      <c r="U16" s="1559"/>
      <c r="V16" s="1558"/>
      <c r="W16" s="1559"/>
      <c r="X16" s="1552"/>
      <c r="Y16" s="3411"/>
      <c r="Z16" s="1560"/>
      <c r="AA16" s="1561">
        <v>1</v>
      </c>
      <c r="AB16" s="1561">
        <v>1</v>
      </c>
      <c r="AC16" s="1561">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11"/>
      <c r="Q17" s="1557" t="str">
        <f>B17</f>
        <v>交通便捷度</v>
      </c>
      <c r="R17" s="1558" t="s">
        <v>11</v>
      </c>
      <c r="S17" s="1559">
        <f>F17</f>
        <v>100</v>
      </c>
      <c r="T17" s="1558" t="s">
        <v>11</v>
      </c>
      <c r="U17" s="1559">
        <f>H17</f>
        <v>100</v>
      </c>
      <c r="V17" s="1558" t="s">
        <v>11</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411"/>
      <c r="Q18" s="1557"/>
      <c r="R18" s="1558"/>
      <c r="S18" s="1559"/>
      <c r="T18" s="1558"/>
      <c r="U18" s="1559"/>
      <c r="V18" s="1558"/>
      <c r="W18" s="1559"/>
      <c r="X18" s="1552"/>
      <c r="Y18" s="3411"/>
      <c r="Z18" s="1560"/>
      <c r="AA18" s="1561">
        <v>1</v>
      </c>
      <c r="AB18" s="1561">
        <v>1</v>
      </c>
      <c r="AC18" s="1561">
        <v>1</v>
      </c>
    </row>
    <row r="19" spans="1:29" ht="15">
      <c r="A19" s="531"/>
      <c r="B19" s="2563" t="s">
        <v>2546</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11"/>
      <c r="Q19" s="1557" t="str">
        <f>B19</f>
        <v>公共配套设施</v>
      </c>
      <c r="R19" s="1558" t="s">
        <v>11</v>
      </c>
      <c r="S19" s="1559">
        <f>F19</f>
        <v>100</v>
      </c>
      <c r="T19" s="1558" t="s">
        <v>11</v>
      </c>
      <c r="U19" s="1559">
        <f>H19</f>
        <v>100</v>
      </c>
      <c r="V19" s="1558" t="s">
        <v>11</v>
      </c>
      <c r="W19" s="1559">
        <f>J19</f>
        <v>100</v>
      </c>
      <c r="X19" s="1552"/>
      <c r="Y19" s="341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411"/>
      <c r="Q20" s="1557"/>
      <c r="R20" s="1558"/>
      <c r="S20" s="1559"/>
      <c r="T20" s="1558"/>
      <c r="U20" s="1559"/>
      <c r="V20" s="1558"/>
      <c r="W20" s="1559"/>
      <c r="X20" s="1552"/>
      <c r="Y20" s="3411"/>
      <c r="Z20" s="1560"/>
      <c r="AA20" s="1561">
        <v>1</v>
      </c>
      <c r="AB20" s="1561">
        <v>1</v>
      </c>
      <c r="AC20" s="1561">
        <v>1</v>
      </c>
    </row>
    <row r="21" spans="1:29" ht="15">
      <c r="A21" s="531"/>
      <c r="B21" s="2556" t="s">
        <v>2558</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11"/>
      <c r="Q21" s="2542" t="str">
        <f>B21</f>
        <v>基础设施水平</v>
      </c>
      <c r="R21" s="1558" t="s">
        <v>11</v>
      </c>
      <c r="S21" s="1559">
        <f>F21</f>
        <v>100</v>
      </c>
      <c r="T21" s="1558" t="s">
        <v>11</v>
      </c>
      <c r="U21" s="1559">
        <f>H21</f>
        <v>100</v>
      </c>
      <c r="V21" s="1558" t="s">
        <v>11</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6"/>
      <c r="M22" s="2118"/>
      <c r="N22" s="2118"/>
      <c r="O22" s="2125"/>
      <c r="P22" s="3411"/>
      <c r="Q22" s="2542"/>
      <c r="R22" s="1558"/>
      <c r="S22" s="1559"/>
      <c r="T22" s="1558"/>
      <c r="U22" s="1559"/>
      <c r="V22" s="1558"/>
      <c r="W22" s="1559"/>
      <c r="X22" s="2544"/>
      <c r="Y22" s="3411"/>
      <c r="Z22" s="2543"/>
      <c r="AA22" s="1561">
        <v>1</v>
      </c>
      <c r="AB22" s="1561">
        <v>1</v>
      </c>
      <c r="AC22" s="1561">
        <v>1</v>
      </c>
    </row>
    <row r="23" spans="1:29" ht="15">
      <c r="A23" s="531"/>
      <c r="B23" s="870" t="s">
        <v>297</v>
      </c>
      <c r="C23" s="871"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11"/>
      <c r="Q23" s="1557" t="str">
        <f>B23</f>
        <v>自然及人文环境</v>
      </c>
      <c r="R23" s="1558" t="s">
        <v>11</v>
      </c>
      <c r="S23" s="1559">
        <f>F23</f>
        <v>100</v>
      </c>
      <c r="T23" s="1558" t="s">
        <v>11</v>
      </c>
      <c r="U23" s="1559">
        <f>H23</f>
        <v>100</v>
      </c>
      <c r="V23" s="1558" t="s">
        <v>11</v>
      </c>
      <c r="W23" s="1559">
        <f>J23</f>
        <v>100</v>
      </c>
      <c r="X23" s="1552"/>
      <c r="Y23" s="341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11"/>
      <c r="Q25" s="1557" t="str">
        <f t="shared" ref="Q25:Q46" si="11">B25</f>
        <v>楼层-1</v>
      </c>
      <c r="R25" s="1558" t="s">
        <v>11</v>
      </c>
      <c r="S25" s="1559">
        <f>F25</f>
        <v>100</v>
      </c>
      <c r="T25" s="1558" t="s">
        <v>11</v>
      </c>
      <c r="U25" s="1559">
        <f>H25</f>
        <v>100</v>
      </c>
      <c r="V25" s="1558" t="s">
        <v>11</v>
      </c>
      <c r="W25" s="1559">
        <f>J25</f>
        <v>100</v>
      </c>
      <c r="X25" s="1552"/>
      <c r="Y25" s="3411"/>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11"/>
      <c r="Q26" s="1557" t="str">
        <f t="shared" si="11"/>
        <v>朝向</v>
      </c>
      <c r="R26" s="1558" t="s">
        <v>11</v>
      </c>
      <c r="S26" s="1559">
        <f>F26</f>
        <v>100</v>
      </c>
      <c r="T26" s="1558" t="s">
        <v>11</v>
      </c>
      <c r="U26" s="1559">
        <f>H26</f>
        <v>100</v>
      </c>
      <c r="V26" s="1558" t="s">
        <v>11</v>
      </c>
      <c r="W26" s="1559">
        <f>J26</f>
        <v>100</v>
      </c>
      <c r="X26" s="1552"/>
      <c r="Y26" s="3411"/>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11"/>
      <c r="Q27" s="1146" t="str">
        <f t="shared" si="11"/>
        <v>道路级别</v>
      </c>
      <c r="R27" s="1553" t="s">
        <v>11</v>
      </c>
      <c r="S27" s="1554">
        <f>F27</f>
        <v>100</v>
      </c>
      <c r="T27" s="1553" t="s">
        <v>11</v>
      </c>
      <c r="U27" s="1554">
        <f>H27</f>
        <v>100</v>
      </c>
      <c r="V27" s="1553" t="s">
        <v>11</v>
      </c>
      <c r="W27" s="1554">
        <f>J27</f>
        <v>100</v>
      </c>
      <c r="X27" s="1555"/>
      <c r="Y27" s="3411"/>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1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1"/>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11"/>
      <c r="Q29" s="1557">
        <f t="shared" si="11"/>
        <v>111</v>
      </c>
      <c r="R29" s="1558" t="s">
        <v>11</v>
      </c>
      <c r="S29" s="1559">
        <f t="shared" si="12"/>
        <v>100</v>
      </c>
      <c r="T29" s="1558" t="s">
        <v>11</v>
      </c>
      <c r="U29" s="1559">
        <f t="shared" si="13"/>
        <v>100</v>
      </c>
      <c r="V29" s="1558" t="s">
        <v>11</v>
      </c>
      <c r="W29" s="1559">
        <f t="shared" si="14"/>
        <v>100</v>
      </c>
      <c r="X29" s="1552"/>
      <c r="Y29" s="341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11"/>
      <c r="Q30" s="1557">
        <f t="shared" si="11"/>
        <v>111</v>
      </c>
      <c r="R30" s="1558" t="s">
        <v>11</v>
      </c>
      <c r="S30" s="1559">
        <f t="shared" si="12"/>
        <v>100</v>
      </c>
      <c r="T30" s="1558" t="s">
        <v>11</v>
      </c>
      <c r="U30" s="1559">
        <f t="shared" si="13"/>
        <v>100</v>
      </c>
      <c r="V30" s="1558" t="s">
        <v>11</v>
      </c>
      <c r="W30" s="1559">
        <f t="shared" si="14"/>
        <v>100</v>
      </c>
      <c r="X30" s="1552"/>
      <c r="Y30" s="3411"/>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11"/>
      <c r="Q31" s="1557">
        <f t="shared" si="11"/>
        <v>111</v>
      </c>
      <c r="R31" s="1558" t="s">
        <v>11</v>
      </c>
      <c r="S31" s="1559">
        <f t="shared" si="12"/>
        <v>100</v>
      </c>
      <c r="T31" s="1558" t="s">
        <v>11</v>
      </c>
      <c r="U31" s="1559">
        <f t="shared" si="13"/>
        <v>100</v>
      </c>
      <c r="V31" s="1558" t="s">
        <v>11</v>
      </c>
      <c r="W31" s="1559">
        <f t="shared" si="14"/>
        <v>100</v>
      </c>
      <c r="X31" s="1552"/>
      <c r="Y31" s="3411"/>
      <c r="Z31" s="1560">
        <f t="shared" si="15"/>
        <v>111</v>
      </c>
      <c r="AA31" s="1561">
        <f t="shared" si="3"/>
        <v>1</v>
      </c>
      <c r="AB31" s="1561">
        <f t="shared" si="4"/>
        <v>1</v>
      </c>
      <c r="AC31" s="1561">
        <f t="shared" si="5"/>
        <v>1</v>
      </c>
    </row>
    <row r="32" spans="1:29" ht="15">
      <c r="A32" s="2861" t="s">
        <v>2755</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12" t="s">
        <v>550</v>
      </c>
      <c r="Q32" s="1557" t="str">
        <f t="shared" si="11"/>
        <v>建筑类型</v>
      </c>
      <c r="R32" s="1558" t="s">
        <v>11</v>
      </c>
      <c r="S32" s="1559">
        <f t="shared" si="12"/>
        <v>100</v>
      </c>
      <c r="T32" s="1558" t="s">
        <v>11</v>
      </c>
      <c r="U32" s="1559">
        <f t="shared" si="13"/>
        <v>100</v>
      </c>
      <c r="V32" s="1558" t="s">
        <v>11</v>
      </c>
      <c r="W32" s="1559">
        <f t="shared" si="14"/>
        <v>100</v>
      </c>
      <c r="X32" s="1552"/>
      <c r="Y32" s="3413"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13"/>
      <c r="Q33" s="1589" t="str">
        <f t="shared" si="11"/>
        <v>项目建筑规模</v>
      </c>
      <c r="R33" s="1562" t="s">
        <v>11</v>
      </c>
      <c r="S33" s="1563" t="e">
        <f t="shared" si="12"/>
        <v>#N/A</v>
      </c>
      <c r="T33" s="1562" t="s">
        <v>11</v>
      </c>
      <c r="U33" s="1563" t="e">
        <f t="shared" si="13"/>
        <v>#N/A</v>
      </c>
      <c r="V33" s="1562" t="s">
        <v>11</v>
      </c>
      <c r="W33" s="1563" t="e">
        <f t="shared" si="14"/>
        <v>#N/A</v>
      </c>
      <c r="X33" s="1564"/>
      <c r="Y33" s="341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13"/>
      <c r="Q34" s="1557" t="str">
        <f t="shared" si="11"/>
        <v>建筑结构</v>
      </c>
      <c r="R34" s="1558" t="s">
        <v>11</v>
      </c>
      <c r="S34" s="1559">
        <f t="shared" si="12"/>
        <v>100</v>
      </c>
      <c r="T34" s="1558" t="s">
        <v>11</v>
      </c>
      <c r="U34" s="1559">
        <f t="shared" si="13"/>
        <v>100</v>
      </c>
      <c r="V34" s="1558" t="s">
        <v>11</v>
      </c>
      <c r="W34" s="1559">
        <f t="shared" si="14"/>
        <v>100</v>
      </c>
      <c r="X34" s="1552"/>
      <c r="Y34" s="3413"/>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13"/>
      <c r="Q35" s="1557" t="str">
        <f t="shared" si="11"/>
        <v>建筑品质</v>
      </c>
      <c r="R35" s="1558" t="s">
        <v>11</v>
      </c>
      <c r="S35" s="1559">
        <f t="shared" si="12"/>
        <v>100</v>
      </c>
      <c r="T35" s="1558" t="s">
        <v>11</v>
      </c>
      <c r="U35" s="1559">
        <f t="shared" si="13"/>
        <v>100</v>
      </c>
      <c r="V35" s="1558" t="s">
        <v>11</v>
      </c>
      <c r="W35" s="1559">
        <f t="shared" si="14"/>
        <v>100</v>
      </c>
      <c r="X35" s="1552"/>
      <c r="Y35" s="3413"/>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13"/>
      <c r="Q36" s="1557" t="str">
        <f t="shared" si="11"/>
        <v>公共部分装修</v>
      </c>
      <c r="R36" s="1558" t="s">
        <v>11</v>
      </c>
      <c r="S36" s="1559">
        <f t="shared" si="12"/>
        <v>100</v>
      </c>
      <c r="T36" s="1558" t="s">
        <v>11</v>
      </c>
      <c r="U36" s="1559">
        <f t="shared" si="13"/>
        <v>100</v>
      </c>
      <c r="V36" s="1558" t="s">
        <v>11</v>
      </c>
      <c r="W36" s="1559">
        <f t="shared" si="14"/>
        <v>100</v>
      </c>
      <c r="X36" s="1552"/>
      <c r="Y36" s="3413"/>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13"/>
      <c r="Q37" s="1146" t="str">
        <f t="shared" si="11"/>
        <v>成新度</v>
      </c>
      <c r="R37" s="1553" t="s">
        <v>11</v>
      </c>
      <c r="S37" s="1554" t="e">
        <f t="shared" si="12"/>
        <v>#N/A</v>
      </c>
      <c r="T37" s="1553" t="s">
        <v>11</v>
      </c>
      <c r="U37" s="1554" t="e">
        <f t="shared" si="13"/>
        <v>#N/A</v>
      </c>
      <c r="V37" s="1553" t="s">
        <v>11</v>
      </c>
      <c r="W37" s="1554" t="e">
        <f t="shared" si="14"/>
        <v>#N/A</v>
      </c>
      <c r="X37" s="1555"/>
      <c r="Y37" s="3413"/>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13" t="s">
        <v>550</v>
      </c>
      <c r="Q38" s="1557" t="str">
        <f t="shared" si="11"/>
        <v>物业管理</v>
      </c>
      <c r="R38" s="1558" t="s">
        <v>11</v>
      </c>
      <c r="S38" s="1559">
        <f t="shared" si="12"/>
        <v>100</v>
      </c>
      <c r="T38" s="1558" t="s">
        <v>11</v>
      </c>
      <c r="U38" s="1559">
        <f t="shared" si="13"/>
        <v>100</v>
      </c>
      <c r="V38" s="1558" t="s">
        <v>11</v>
      </c>
      <c r="W38" s="1559">
        <f t="shared" si="14"/>
        <v>100</v>
      </c>
      <c r="X38" s="1552"/>
      <c r="Y38" s="3413" t="s">
        <v>550</v>
      </c>
      <c r="Z38" s="1560" t="str">
        <f t="shared" si="15"/>
        <v>物业管理</v>
      </c>
      <c r="AA38" s="1561">
        <f t="shared" si="3"/>
        <v>1</v>
      </c>
      <c r="AB38" s="1561">
        <f t="shared" si="4"/>
        <v>1</v>
      </c>
      <c r="AC38" s="1561">
        <f t="shared" si="5"/>
        <v>1</v>
      </c>
    </row>
    <row r="39" spans="1:29" ht="15">
      <c r="A39" s="593"/>
      <c r="B39" s="1879"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13"/>
      <c r="Q39" s="1557" t="str">
        <f t="shared" si="11"/>
        <v>市政基础设施</v>
      </c>
      <c r="R39" s="1558" t="s">
        <v>11</v>
      </c>
      <c r="S39" s="1559">
        <f t="shared" si="12"/>
        <v>100</v>
      </c>
      <c r="T39" s="1558" t="s">
        <v>11</v>
      </c>
      <c r="U39" s="1559">
        <f t="shared" si="13"/>
        <v>100</v>
      </c>
      <c r="V39" s="1558" t="s">
        <v>11</v>
      </c>
      <c r="W39" s="1559">
        <f t="shared" si="14"/>
        <v>100</v>
      </c>
      <c r="X39" s="1552"/>
      <c r="Y39" s="3413"/>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13"/>
      <c r="Q40" s="1557" t="str">
        <f t="shared" si="11"/>
        <v>房型</v>
      </c>
      <c r="R40" s="1558" t="s">
        <v>11</v>
      </c>
      <c r="S40" s="1559">
        <f t="shared" si="12"/>
        <v>100</v>
      </c>
      <c r="T40" s="1558" t="s">
        <v>11</v>
      </c>
      <c r="U40" s="1559">
        <f t="shared" si="13"/>
        <v>100</v>
      </c>
      <c r="V40" s="1558" t="s">
        <v>11</v>
      </c>
      <c r="W40" s="1559">
        <f t="shared" si="14"/>
        <v>100</v>
      </c>
      <c r="X40" s="1552"/>
      <c r="Y40" s="3413"/>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13"/>
      <c r="Q41" s="1589" t="str">
        <f t="shared" si="11"/>
        <v>单套/主力户型建筑面积</v>
      </c>
      <c r="R41" s="1562" t="s">
        <v>11</v>
      </c>
      <c r="S41" s="1563">
        <f t="shared" si="12"/>
        <v>100</v>
      </c>
      <c r="T41" s="1562" t="s">
        <v>11</v>
      </c>
      <c r="U41" s="1563">
        <f t="shared" si="13"/>
        <v>100</v>
      </c>
      <c r="V41" s="1562" t="s">
        <v>11</v>
      </c>
      <c r="W41" s="1563">
        <f t="shared" si="14"/>
        <v>100</v>
      </c>
      <c r="X41" s="1564"/>
      <c r="Y41" s="3413"/>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13"/>
      <c r="Q42" s="1557" t="str">
        <f t="shared" si="11"/>
        <v>内部装修</v>
      </c>
      <c r="R42" s="1558" t="s">
        <v>11</v>
      </c>
      <c r="S42" s="1559">
        <f t="shared" si="12"/>
        <v>100</v>
      </c>
      <c r="T42" s="1558" t="s">
        <v>11</v>
      </c>
      <c r="U42" s="1559">
        <f t="shared" si="13"/>
        <v>100</v>
      </c>
      <c r="V42" s="1558" t="s">
        <v>11</v>
      </c>
      <c r="W42" s="1559">
        <f t="shared" si="14"/>
        <v>100</v>
      </c>
      <c r="X42" s="1552"/>
      <c r="Y42" s="3413"/>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13"/>
      <c r="Q43" s="1557" t="str">
        <f t="shared" si="11"/>
        <v>内部装修维护情况</v>
      </c>
      <c r="R43" s="1558" t="s">
        <v>11</v>
      </c>
      <c r="S43" s="1559">
        <f t="shared" si="12"/>
        <v>100</v>
      </c>
      <c r="T43" s="1558" t="s">
        <v>11</v>
      </c>
      <c r="U43" s="1559">
        <f t="shared" si="13"/>
        <v>100</v>
      </c>
      <c r="V43" s="1558" t="s">
        <v>11</v>
      </c>
      <c r="W43" s="1559">
        <f t="shared" si="14"/>
        <v>100</v>
      </c>
      <c r="X43" s="1552"/>
      <c r="Y43" s="341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13"/>
      <c r="Q44" s="1146">
        <f t="shared" si="11"/>
        <v>111</v>
      </c>
      <c r="R44" s="1553" t="s">
        <v>11</v>
      </c>
      <c r="S44" s="1554">
        <f t="shared" si="12"/>
        <v>100</v>
      </c>
      <c r="T44" s="1553" t="s">
        <v>11</v>
      </c>
      <c r="U44" s="1554">
        <f t="shared" si="13"/>
        <v>100</v>
      </c>
      <c r="V44" s="1553" t="s">
        <v>11</v>
      </c>
      <c r="W44" s="1554">
        <f t="shared" si="14"/>
        <v>100</v>
      </c>
      <c r="X44" s="1555"/>
      <c r="Y44" s="341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13"/>
      <c r="Q45" s="1557">
        <f t="shared" si="11"/>
        <v>111</v>
      </c>
      <c r="R45" s="1558" t="s">
        <v>11</v>
      </c>
      <c r="S45" s="1559">
        <f t="shared" si="12"/>
        <v>100</v>
      </c>
      <c r="T45" s="1558" t="s">
        <v>11</v>
      </c>
      <c r="U45" s="1559">
        <f t="shared" si="13"/>
        <v>100</v>
      </c>
      <c r="V45" s="1558" t="s">
        <v>11</v>
      </c>
      <c r="W45" s="1559">
        <f t="shared" si="14"/>
        <v>100</v>
      </c>
      <c r="X45" s="1552"/>
      <c r="Y45" s="3413"/>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94"/>
      <c r="Q46" s="1557">
        <f t="shared" si="11"/>
        <v>111</v>
      </c>
      <c r="R46" s="1558" t="s">
        <v>10</v>
      </c>
      <c r="S46" s="1559">
        <f t="shared" si="12"/>
        <v>100</v>
      </c>
      <c r="T46" s="1558" t="s">
        <v>10</v>
      </c>
      <c r="U46" s="1559">
        <f t="shared" si="13"/>
        <v>100</v>
      </c>
      <c r="V46" s="1558" t="s">
        <v>10</v>
      </c>
      <c r="W46" s="1559">
        <f t="shared" si="14"/>
        <v>100</v>
      </c>
      <c r="X46" s="1552"/>
      <c r="Y46" s="3494"/>
      <c r="Z46" s="1560">
        <f t="shared" si="15"/>
        <v>111</v>
      </c>
      <c r="AA46" s="1561">
        <f t="shared" si="3"/>
        <v>1</v>
      </c>
      <c r="AB46" s="1561">
        <f t="shared" si="4"/>
        <v>1</v>
      </c>
      <c r="AC46" s="1561">
        <f t="shared" si="5"/>
        <v>1</v>
      </c>
    </row>
    <row r="47" spans="1:29" ht="15">
      <c r="A47" s="606" t="s">
        <v>736</v>
      </c>
      <c r="B47" s="886"/>
      <c r="C47" s="2590" t="s">
        <v>9</v>
      </c>
      <c r="D47" s="2591"/>
      <c r="E47" s="2592"/>
      <c r="F47" s="2593"/>
      <c r="G47" s="2594"/>
      <c r="H47" s="2595"/>
      <c r="I47" s="2592"/>
      <c r="J47" s="2595"/>
      <c r="K47" s="1590"/>
      <c r="L47" s="2128"/>
      <c r="M47" s="2129"/>
      <c r="N47" s="2118"/>
      <c r="O47" s="2129"/>
      <c r="P47" s="3376" t="str">
        <f>A47</f>
        <v>成交单价（元/平方米）</v>
      </c>
      <c r="Q47" s="3376"/>
      <c r="R47" s="3493">
        <f>E47</f>
        <v>0</v>
      </c>
      <c r="S47" s="3493"/>
      <c r="T47" s="3493">
        <f>G47</f>
        <v>0</v>
      </c>
      <c r="U47" s="3493"/>
      <c r="V47" s="3493">
        <f>I47</f>
        <v>0</v>
      </c>
      <c r="W47" s="3493"/>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1"/>
      <c r="L48" s="2128"/>
      <c r="M48" s="2129"/>
      <c r="N48" s="2129"/>
      <c r="O48" s="2129"/>
      <c r="P48" s="3376" t="str">
        <f>A48</f>
        <v>比较价格（元/平方米）</v>
      </c>
      <c r="Q48" s="3376"/>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2"/>
      <c r="L49" s="2128"/>
      <c r="M49" s="2129"/>
      <c r="N49" s="2129"/>
      <c r="O49" s="2129"/>
      <c r="P49" s="3373" t="str">
        <f>A49</f>
        <v>估价对象XX用房的比较价格（楼面单价，元/平方米）</v>
      </c>
      <c r="Q49" s="3374"/>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82" t="s">
        <v>522</v>
      </c>
      <c r="D4" s="3383"/>
      <c r="E4" s="3416" t="s">
        <v>523</v>
      </c>
      <c r="F4" s="3417"/>
      <c r="G4" s="3382" t="s">
        <v>524</v>
      </c>
      <c r="H4" s="3383"/>
      <c r="I4" s="3382" t="s">
        <v>525</v>
      </c>
      <c r="J4" s="3383"/>
      <c r="K4" s="513" t="s">
        <v>526</v>
      </c>
      <c r="L4" s="2117"/>
      <c r="M4" s="2118"/>
      <c r="N4" s="2118"/>
      <c r="O4" s="2118"/>
      <c r="P4" s="3384" t="s">
        <v>527</v>
      </c>
      <c r="Q4" s="3385"/>
      <c r="R4" s="3390" t="s">
        <v>523</v>
      </c>
      <c r="S4" s="3391"/>
      <c r="T4" s="3390" t="s">
        <v>524</v>
      </c>
      <c r="U4" s="3391"/>
      <c r="V4" s="3377" t="s">
        <v>525</v>
      </c>
      <c r="W4" s="3377"/>
      <c r="X4" s="1552"/>
      <c r="Y4" s="3390" t="s">
        <v>527</v>
      </c>
      <c r="Z4" s="3391"/>
      <c r="AA4" s="3379" t="s">
        <v>523</v>
      </c>
      <c r="AB4" s="3377" t="s">
        <v>524</v>
      </c>
      <c r="AC4" s="3379" t="s">
        <v>525</v>
      </c>
    </row>
    <row r="5" spans="1:29" ht="15">
      <c r="A5" s="514"/>
      <c r="B5" s="515"/>
      <c r="C5" s="3398" t="s">
        <v>2927</v>
      </c>
      <c r="D5" s="3399"/>
      <c r="E5" s="3418" t="s">
        <v>2928</v>
      </c>
      <c r="F5" s="3419"/>
      <c r="G5" s="3398" t="s">
        <v>2929</v>
      </c>
      <c r="H5" s="3399"/>
      <c r="I5" s="3398" t="s">
        <v>2930</v>
      </c>
      <c r="J5" s="3399"/>
      <c r="K5" s="513"/>
      <c r="L5" s="2117"/>
      <c r="M5" s="2118"/>
      <c r="N5" s="2118"/>
      <c r="O5" s="2118"/>
      <c r="P5" s="3386"/>
      <c r="Q5" s="3387"/>
      <c r="R5" s="3392"/>
      <c r="S5" s="3393"/>
      <c r="T5" s="3392"/>
      <c r="U5" s="3393"/>
      <c r="V5" s="3377"/>
      <c r="W5" s="3377"/>
      <c r="X5" s="1552"/>
      <c r="Y5" s="3392"/>
      <c r="Z5" s="3393"/>
      <c r="AA5" s="3380"/>
      <c r="AB5" s="3377"/>
      <c r="AC5" s="3380"/>
    </row>
    <row r="6" spans="1:29" ht="15.75" thickBot="1">
      <c r="A6" s="516"/>
      <c r="B6" s="517"/>
      <c r="C6" s="3396" t="s">
        <v>2931</v>
      </c>
      <c r="D6" s="3397"/>
      <c r="E6" s="3414" t="s">
        <v>2931</v>
      </c>
      <c r="F6" s="3415"/>
      <c r="G6" s="3396" t="s">
        <v>2931</v>
      </c>
      <c r="H6" s="3397"/>
      <c r="I6" s="3396" t="s">
        <v>2931</v>
      </c>
      <c r="J6" s="3397"/>
      <c r="K6" s="513" t="s">
        <v>528</v>
      </c>
      <c r="L6" s="2117"/>
      <c r="M6" s="2118"/>
      <c r="N6" s="2118"/>
      <c r="O6" s="2118"/>
      <c r="P6" s="3388"/>
      <c r="Q6" s="3389"/>
      <c r="R6" s="3392"/>
      <c r="S6" s="3393"/>
      <c r="T6" s="3394"/>
      <c r="U6" s="3395"/>
      <c r="V6" s="3377"/>
      <c r="W6" s="3377"/>
      <c r="X6" s="1552"/>
      <c r="Y6" s="3394"/>
      <c r="Z6" s="3395"/>
      <c r="AA6" s="3381"/>
      <c r="AB6" s="3377"/>
      <c r="AC6" s="3381"/>
    </row>
    <row r="7" spans="1:29" s="1215" customFormat="1" ht="15.75" thickBot="1">
      <c r="A7" s="2866"/>
      <c r="B7" s="2873" t="s">
        <v>529</v>
      </c>
      <c r="C7" s="518">
        <f>'数据-取费表'!B2</f>
        <v>43663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7" t="s">
        <v>530</v>
      </c>
      <c r="Q7" s="3409"/>
      <c r="R7" s="1553" t="s">
        <v>8</v>
      </c>
      <c r="S7" s="1554">
        <f t="shared" ref="S7:S15" si="0">F7</f>
        <v>0</v>
      </c>
      <c r="T7" s="1553" t="s">
        <v>8</v>
      </c>
      <c r="U7" s="1554">
        <f t="shared" ref="U7:U15" si="1">H7</f>
        <v>0</v>
      </c>
      <c r="V7" s="1553" t="s">
        <v>8</v>
      </c>
      <c r="W7" s="1554">
        <f t="shared" ref="W7:W15" si="2">J7</f>
        <v>0</v>
      </c>
      <c r="X7" s="1555"/>
      <c r="Y7" s="3407" t="s">
        <v>530</v>
      </c>
      <c r="Z7" s="3408"/>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7" t="s">
        <v>533</v>
      </c>
      <c r="Q8" s="3408"/>
      <c r="R8" s="1553" t="s">
        <v>8</v>
      </c>
      <c r="S8" s="1554">
        <f t="shared" si="0"/>
        <v>0</v>
      </c>
      <c r="T8" s="1553" t="s">
        <v>8</v>
      </c>
      <c r="U8" s="1554">
        <f t="shared" si="1"/>
        <v>0</v>
      </c>
      <c r="V8" s="1553" t="s">
        <v>8</v>
      </c>
      <c r="W8" s="1554">
        <f t="shared" si="2"/>
        <v>0</v>
      </c>
      <c r="X8" s="1555"/>
      <c r="Y8" s="3407" t="s">
        <v>533</v>
      </c>
      <c r="Z8" s="3408"/>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6"/>
      <c r="Q11" s="1146" t="str">
        <f t="shared" si="6"/>
        <v>容积率</v>
      </c>
      <c r="R11" s="1553" t="s">
        <v>8</v>
      </c>
      <c r="S11" s="1554" t="e">
        <f t="shared" si="0"/>
        <v>#N/A</v>
      </c>
      <c r="T11" s="1553" t="s">
        <v>8</v>
      </c>
      <c r="U11" s="1554" t="e">
        <f t="shared" si="1"/>
        <v>#N/A</v>
      </c>
      <c r="V11" s="1553" t="s">
        <v>8</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 t="shared" si="3"/>
        <v>1</v>
      </c>
      <c r="AB14" s="1556">
        <f t="shared" si="4"/>
        <v>1</v>
      </c>
      <c r="AC14" s="1556">
        <f t="shared" si="5"/>
        <v>1</v>
      </c>
    </row>
    <row r="15" spans="1:29" ht="15">
      <c r="A15" s="2864" t="s">
        <v>2754</v>
      </c>
      <c r="B15" s="165" t="s">
        <v>541</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10" t="s">
        <v>540</v>
      </c>
      <c r="Q15" s="1557" t="str">
        <f t="shared" si="6"/>
        <v>商业繁华度</v>
      </c>
      <c r="R15" s="1558" t="s">
        <v>8</v>
      </c>
      <c r="S15" s="1559">
        <f t="shared" si="0"/>
        <v>100</v>
      </c>
      <c r="T15" s="1558" t="s">
        <v>8</v>
      </c>
      <c r="U15" s="1559">
        <f t="shared" si="1"/>
        <v>100</v>
      </c>
      <c r="V15" s="1558" t="s">
        <v>8</v>
      </c>
      <c r="W15" s="1559">
        <f t="shared" si="2"/>
        <v>100</v>
      </c>
      <c r="X15" s="1552"/>
      <c r="Y15" s="3410"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1"/>
      <c r="Q16" s="1557"/>
      <c r="R16" s="1558"/>
      <c r="S16" s="1559"/>
      <c r="T16" s="1558"/>
      <c r="U16" s="1559"/>
      <c r="V16" s="1558"/>
      <c r="W16" s="1559"/>
      <c r="X16" s="1552"/>
      <c r="Y16" s="3411"/>
      <c r="Z16" s="1560"/>
      <c r="AA16" s="1561">
        <v>1</v>
      </c>
      <c r="AB16" s="1561">
        <v>1</v>
      </c>
      <c r="AC16" s="1561">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1"/>
      <c r="Q18" s="1557"/>
      <c r="R18" s="1558"/>
      <c r="S18" s="1559"/>
      <c r="T18" s="1558"/>
      <c r="U18" s="1559"/>
      <c r="V18" s="1558"/>
      <c r="W18" s="1559"/>
      <c r="X18" s="1552"/>
      <c r="Y18" s="3411"/>
      <c r="Z18" s="1560"/>
      <c r="AA18" s="1561">
        <v>1</v>
      </c>
      <c r="AB18" s="1561">
        <v>1</v>
      </c>
      <c r="AC18" s="1561">
        <v>1</v>
      </c>
    </row>
    <row r="19" spans="1:29" ht="15">
      <c r="A19" s="531"/>
      <c r="B19" s="2563" t="s">
        <v>2546</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11"/>
      <c r="Q20" s="1557"/>
      <c r="R20" s="1558"/>
      <c r="S20" s="1559"/>
      <c r="T20" s="1558"/>
      <c r="U20" s="1559"/>
      <c r="V20" s="1558"/>
      <c r="W20" s="1559"/>
      <c r="X20" s="1552"/>
      <c r="Y20" s="3411"/>
      <c r="Z20" s="1560"/>
      <c r="AA20" s="1561">
        <v>1</v>
      </c>
      <c r="AB20" s="1561">
        <v>1</v>
      </c>
      <c r="AC20" s="1561">
        <v>1</v>
      </c>
    </row>
    <row r="21" spans="1:29" ht="15">
      <c r="A21" s="531"/>
      <c r="B21" s="2556" t="s">
        <v>2558</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11"/>
      <c r="Q22" s="2542"/>
      <c r="R22" s="1558"/>
      <c r="S22" s="1559"/>
      <c r="T22" s="1558"/>
      <c r="U22" s="1559"/>
      <c r="V22" s="1558"/>
      <c r="W22" s="1559"/>
      <c r="X22" s="2544"/>
      <c r="Y22" s="3411"/>
      <c r="Z22" s="2543"/>
      <c r="AA22" s="1561">
        <v>1</v>
      </c>
      <c r="AB22" s="1561">
        <v>1</v>
      </c>
      <c r="AC22" s="1561">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11"/>
      <c r="Q23" s="1557" t="str">
        <f>B23</f>
        <v>自然及人文环境</v>
      </c>
      <c r="R23" s="1558" t="s">
        <v>8</v>
      </c>
      <c r="S23" s="1559">
        <f>F23</f>
        <v>100</v>
      </c>
      <c r="T23" s="1558" t="s">
        <v>8</v>
      </c>
      <c r="U23" s="1559">
        <f>H23</f>
        <v>100</v>
      </c>
      <c r="V23" s="1558" t="s">
        <v>8</v>
      </c>
      <c r="W23" s="1559">
        <f>J23</f>
        <v>100</v>
      </c>
      <c r="X23" s="1552"/>
      <c r="Y23" s="341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11"/>
      <c r="Q25" s="1557" t="str">
        <f t="shared" ref="Q25:Q46" si="11">B25</f>
        <v>临街状况</v>
      </c>
      <c r="R25" s="1558" t="s">
        <v>8</v>
      </c>
      <c r="S25" s="1559">
        <f>F25</f>
        <v>100</v>
      </c>
      <c r="T25" s="1558" t="s">
        <v>8</v>
      </c>
      <c r="U25" s="1559">
        <f>H25</f>
        <v>100</v>
      </c>
      <c r="V25" s="1558" t="s">
        <v>8</v>
      </c>
      <c r="W25" s="1559">
        <f>J25</f>
        <v>100</v>
      </c>
      <c r="X25" s="1552"/>
      <c r="Y25" s="3411"/>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11"/>
      <c r="Q26" s="1557" t="str">
        <f t="shared" si="11"/>
        <v>平面位置/可视性</v>
      </c>
      <c r="R26" s="1558" t="s">
        <v>8</v>
      </c>
      <c r="S26" s="1559">
        <f>F26</f>
        <v>100</v>
      </c>
      <c r="T26" s="1558" t="s">
        <v>8</v>
      </c>
      <c r="U26" s="1559">
        <f>H26</f>
        <v>100</v>
      </c>
      <c r="V26" s="1558" t="s">
        <v>8</v>
      </c>
      <c r="W26" s="1559">
        <f>J26</f>
        <v>100</v>
      </c>
      <c r="X26" s="1552"/>
      <c r="Y26" s="3411"/>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11"/>
      <c r="Q27" s="1146" t="str">
        <f t="shared" si="11"/>
        <v>人流量</v>
      </c>
      <c r="R27" s="1553" t="s">
        <v>8</v>
      </c>
      <c r="S27" s="1554">
        <f>F27</f>
        <v>100</v>
      </c>
      <c r="T27" s="1553" t="s">
        <v>8</v>
      </c>
      <c r="U27" s="1554">
        <f>H27</f>
        <v>100</v>
      </c>
      <c r="V27" s="1553" t="s">
        <v>8</v>
      </c>
      <c r="W27" s="1554">
        <f>J27</f>
        <v>100</v>
      </c>
      <c r="X27" s="1555"/>
      <c r="Y27" s="3411"/>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1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1"/>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11"/>
      <c r="Q29" s="1557">
        <f t="shared" si="11"/>
        <v>111</v>
      </c>
      <c r="R29" s="1558" t="s">
        <v>8</v>
      </c>
      <c r="S29" s="1559">
        <f t="shared" si="12"/>
        <v>100</v>
      </c>
      <c r="T29" s="1558" t="s">
        <v>8</v>
      </c>
      <c r="U29" s="1559">
        <f t="shared" si="13"/>
        <v>100</v>
      </c>
      <c r="V29" s="1558" t="s">
        <v>8</v>
      </c>
      <c r="W29" s="1559">
        <f t="shared" si="14"/>
        <v>100</v>
      </c>
      <c r="X29" s="1552"/>
      <c r="Y29" s="341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
      <c r="A32" s="2861" t="s">
        <v>2755</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12" t="s">
        <v>550</v>
      </c>
      <c r="Q32" s="1557" t="str">
        <f t="shared" si="11"/>
        <v>商业类型</v>
      </c>
      <c r="R32" s="1558" t="s">
        <v>8</v>
      </c>
      <c r="S32" s="1559">
        <f t="shared" si="12"/>
        <v>100</v>
      </c>
      <c r="T32" s="1558" t="s">
        <v>8</v>
      </c>
      <c r="U32" s="1559">
        <f t="shared" si="13"/>
        <v>100</v>
      </c>
      <c r="V32" s="1558" t="s">
        <v>8</v>
      </c>
      <c r="W32" s="1559">
        <f t="shared" si="14"/>
        <v>100</v>
      </c>
      <c r="X32" s="1552"/>
      <c r="Y32" s="3413"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13"/>
      <c r="Q33" s="1589" t="str">
        <f t="shared" si="11"/>
        <v>项目建筑规模</v>
      </c>
      <c r="R33" s="1562" t="s">
        <v>8</v>
      </c>
      <c r="S33" s="1563" t="e">
        <f t="shared" si="12"/>
        <v>#N/A</v>
      </c>
      <c r="T33" s="1562" t="s">
        <v>8</v>
      </c>
      <c r="U33" s="1563" t="e">
        <f t="shared" si="13"/>
        <v>#N/A</v>
      </c>
      <c r="V33" s="1562" t="s">
        <v>8</v>
      </c>
      <c r="W33" s="1563" t="e">
        <f t="shared" si="14"/>
        <v>#N/A</v>
      </c>
      <c r="X33" s="1564"/>
      <c r="Y33" s="341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13"/>
      <c r="Q34" s="1557" t="str">
        <f t="shared" si="11"/>
        <v>建筑结构</v>
      </c>
      <c r="R34" s="1558" t="s">
        <v>8</v>
      </c>
      <c r="S34" s="1559">
        <f t="shared" si="12"/>
        <v>100</v>
      </c>
      <c r="T34" s="1558" t="s">
        <v>8</v>
      </c>
      <c r="U34" s="1559">
        <f t="shared" si="13"/>
        <v>100</v>
      </c>
      <c r="V34" s="1558" t="s">
        <v>8</v>
      </c>
      <c r="W34" s="1559">
        <f t="shared" si="14"/>
        <v>100</v>
      </c>
      <c r="X34" s="1552"/>
      <c r="Y34" s="3413"/>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13"/>
      <c r="Q35" s="1557" t="str">
        <f t="shared" si="11"/>
        <v>公共部分装修</v>
      </c>
      <c r="R35" s="1558" t="s">
        <v>8</v>
      </c>
      <c r="S35" s="1559">
        <f t="shared" si="12"/>
        <v>100</v>
      </c>
      <c r="T35" s="1558" t="s">
        <v>8</v>
      </c>
      <c r="U35" s="1559">
        <f t="shared" si="13"/>
        <v>100</v>
      </c>
      <c r="V35" s="1558" t="s">
        <v>8</v>
      </c>
      <c r="W35" s="1559">
        <f t="shared" si="14"/>
        <v>100</v>
      </c>
      <c r="X35" s="1552"/>
      <c r="Y35" s="3413"/>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13"/>
      <c r="Q36" s="1557" t="str">
        <f t="shared" si="11"/>
        <v>成新度</v>
      </c>
      <c r="R36" s="1558" t="s">
        <v>8</v>
      </c>
      <c r="S36" s="1559" t="e">
        <f t="shared" si="12"/>
        <v>#N/A</v>
      </c>
      <c r="T36" s="1558" t="s">
        <v>8</v>
      </c>
      <c r="U36" s="1559" t="e">
        <f t="shared" si="13"/>
        <v>#N/A</v>
      </c>
      <c r="V36" s="1558" t="s">
        <v>8</v>
      </c>
      <c r="W36" s="1559" t="e">
        <f t="shared" si="14"/>
        <v>#N/A</v>
      </c>
      <c r="X36" s="1552"/>
      <c r="Y36" s="3413"/>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13"/>
      <c r="Q37" s="1146" t="str">
        <f t="shared" si="11"/>
        <v>市政基础设施</v>
      </c>
      <c r="R37" s="1553" t="s">
        <v>8</v>
      </c>
      <c r="S37" s="1554">
        <f t="shared" si="12"/>
        <v>100</v>
      </c>
      <c r="T37" s="1553" t="s">
        <v>8</v>
      </c>
      <c r="U37" s="1554">
        <f t="shared" si="13"/>
        <v>100</v>
      </c>
      <c r="V37" s="1553" t="s">
        <v>8</v>
      </c>
      <c r="W37" s="1554">
        <f t="shared" si="14"/>
        <v>100</v>
      </c>
      <c r="X37" s="1555"/>
      <c r="Y37" s="3413"/>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13" t="s">
        <v>766</v>
      </c>
      <c r="Q38" s="1557" t="str">
        <f t="shared" si="11"/>
        <v>业态</v>
      </c>
      <c r="R38" s="1558" t="s">
        <v>8</v>
      </c>
      <c r="S38" s="1559">
        <f t="shared" si="12"/>
        <v>100</v>
      </c>
      <c r="T38" s="1558" t="s">
        <v>8</v>
      </c>
      <c r="U38" s="1559">
        <f t="shared" si="13"/>
        <v>100</v>
      </c>
      <c r="V38" s="1558" t="s">
        <v>8</v>
      </c>
      <c r="W38" s="1559">
        <f t="shared" si="14"/>
        <v>100</v>
      </c>
      <c r="X38" s="1552"/>
      <c r="Y38" s="3413"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3"/>
      <c r="Q39" s="1557" t="str">
        <f t="shared" si="11"/>
        <v>层高</v>
      </c>
      <c r="R39" s="1558" t="s">
        <v>8</v>
      </c>
      <c r="S39" s="1559">
        <f t="shared" si="12"/>
        <v>100</v>
      </c>
      <c r="T39" s="1558" t="s">
        <v>8</v>
      </c>
      <c r="U39" s="1559">
        <f t="shared" si="13"/>
        <v>100</v>
      </c>
      <c r="V39" s="1558" t="s">
        <v>8</v>
      </c>
      <c r="W39" s="1559">
        <f t="shared" si="14"/>
        <v>100</v>
      </c>
      <c r="X39" s="1552"/>
      <c r="Y39" s="3413"/>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13"/>
      <c r="Q40" s="1557" t="str">
        <f t="shared" si="11"/>
        <v>单套建筑面积</v>
      </c>
      <c r="R40" s="1558" t="s">
        <v>8</v>
      </c>
      <c r="S40" s="1559">
        <f t="shared" si="12"/>
        <v>100</v>
      </c>
      <c r="T40" s="1558" t="s">
        <v>8</v>
      </c>
      <c r="U40" s="1559">
        <f t="shared" si="13"/>
        <v>100</v>
      </c>
      <c r="V40" s="1558" t="s">
        <v>8</v>
      </c>
      <c r="W40" s="1559">
        <f t="shared" si="14"/>
        <v>100</v>
      </c>
      <c r="X40" s="1552"/>
      <c r="Y40" s="3413"/>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13"/>
      <c r="Q41" s="1589" t="str">
        <f t="shared" si="11"/>
        <v>进深比</v>
      </c>
      <c r="R41" s="1562" t="s">
        <v>8</v>
      </c>
      <c r="S41" s="1563">
        <f t="shared" si="12"/>
        <v>100</v>
      </c>
      <c r="T41" s="1562" t="s">
        <v>8</v>
      </c>
      <c r="U41" s="1563">
        <f t="shared" si="13"/>
        <v>100</v>
      </c>
      <c r="V41" s="1562" t="s">
        <v>8</v>
      </c>
      <c r="W41" s="1563">
        <f t="shared" si="14"/>
        <v>100</v>
      </c>
      <c r="X41" s="1564"/>
      <c r="Y41" s="3413"/>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13"/>
      <c r="Q42" s="1557" t="str">
        <f t="shared" si="11"/>
        <v>内部装修</v>
      </c>
      <c r="R42" s="1558" t="s">
        <v>8</v>
      </c>
      <c r="S42" s="1559">
        <f t="shared" si="12"/>
        <v>100</v>
      </c>
      <c r="T42" s="1558" t="s">
        <v>8</v>
      </c>
      <c r="U42" s="1559">
        <f t="shared" si="13"/>
        <v>100</v>
      </c>
      <c r="V42" s="1558" t="s">
        <v>8</v>
      </c>
      <c r="W42" s="1559">
        <f t="shared" si="14"/>
        <v>100</v>
      </c>
      <c r="X42" s="1552"/>
      <c r="Y42" s="3413"/>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13"/>
      <c r="Q43" s="1557" t="str">
        <f t="shared" si="11"/>
        <v>内部装修维护情况</v>
      </c>
      <c r="R43" s="1558" t="s">
        <v>8</v>
      </c>
      <c r="S43" s="1559">
        <f t="shared" si="12"/>
        <v>100</v>
      </c>
      <c r="T43" s="1558" t="s">
        <v>8</v>
      </c>
      <c r="U43" s="1559">
        <f t="shared" si="13"/>
        <v>100</v>
      </c>
      <c r="V43" s="1558" t="s">
        <v>8</v>
      </c>
      <c r="W43" s="1559">
        <f t="shared" si="14"/>
        <v>100</v>
      </c>
      <c r="X43" s="1552"/>
      <c r="Y43" s="341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13"/>
      <c r="Q44" s="1146">
        <f t="shared" si="11"/>
        <v>111</v>
      </c>
      <c r="R44" s="1553" t="s">
        <v>8</v>
      </c>
      <c r="S44" s="1554">
        <f t="shared" si="12"/>
        <v>100</v>
      </c>
      <c r="T44" s="1553" t="s">
        <v>8</v>
      </c>
      <c r="U44" s="1554">
        <f t="shared" si="13"/>
        <v>100</v>
      </c>
      <c r="V44" s="1553" t="s">
        <v>8</v>
      </c>
      <c r="W44" s="1554">
        <f t="shared" si="14"/>
        <v>100</v>
      </c>
      <c r="X44" s="1555"/>
      <c r="Y44" s="341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13"/>
      <c r="Q45" s="1557">
        <f t="shared" si="11"/>
        <v>111</v>
      </c>
      <c r="R45" s="1558" t="s">
        <v>8</v>
      </c>
      <c r="S45" s="1559">
        <f t="shared" si="12"/>
        <v>100</v>
      </c>
      <c r="T45" s="1558" t="s">
        <v>8</v>
      </c>
      <c r="U45" s="1559">
        <f t="shared" si="13"/>
        <v>100</v>
      </c>
      <c r="V45" s="1558" t="s">
        <v>8</v>
      </c>
      <c r="W45" s="1559">
        <f t="shared" si="14"/>
        <v>100</v>
      </c>
      <c r="X45" s="1552"/>
      <c r="Y45" s="3413"/>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94"/>
      <c r="Q46" s="1557">
        <f t="shared" si="11"/>
        <v>111</v>
      </c>
      <c r="R46" s="1558" t="s">
        <v>8</v>
      </c>
      <c r="S46" s="1559">
        <f t="shared" si="12"/>
        <v>100</v>
      </c>
      <c r="T46" s="1558" t="s">
        <v>8</v>
      </c>
      <c r="U46" s="1559">
        <f t="shared" si="13"/>
        <v>100</v>
      </c>
      <c r="V46" s="1558" t="s">
        <v>8</v>
      </c>
      <c r="W46" s="1559">
        <f t="shared" si="14"/>
        <v>100</v>
      </c>
      <c r="X46" s="1552"/>
      <c r="Y46" s="3494"/>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76" t="str">
        <f>A47</f>
        <v>成交单价（元/平方米）</v>
      </c>
      <c r="Q47" s="3376"/>
      <c r="R47" s="3493">
        <f>E47</f>
        <v>0</v>
      </c>
      <c r="S47" s="3493"/>
      <c r="T47" s="3493">
        <f>G47</f>
        <v>0</v>
      </c>
      <c r="U47" s="3493"/>
      <c r="V47" s="3493">
        <f>I47</f>
        <v>0</v>
      </c>
      <c r="W47" s="3493"/>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76" t="str">
        <f>A48</f>
        <v>比较价格（元/平方米）</v>
      </c>
      <c r="Q48" s="3376"/>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373" t="str">
        <f>A49</f>
        <v>估价对象XX用房的比较价格（楼面单价，元/平方米）</v>
      </c>
      <c r="Q49" s="3374"/>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82" t="s">
        <v>522</v>
      </c>
      <c r="D4" s="3383"/>
      <c r="E4" s="3416" t="s">
        <v>523</v>
      </c>
      <c r="F4" s="3417"/>
      <c r="G4" s="3382" t="s">
        <v>524</v>
      </c>
      <c r="H4" s="3383"/>
      <c r="I4" s="3382" t="s">
        <v>525</v>
      </c>
      <c r="J4" s="3383"/>
      <c r="K4" s="513" t="s">
        <v>526</v>
      </c>
      <c r="L4" s="2117"/>
      <c r="M4" s="2118"/>
      <c r="N4" s="2118"/>
      <c r="O4" s="2118"/>
      <c r="P4" s="3496" t="s">
        <v>527</v>
      </c>
      <c r="Q4" s="3385"/>
      <c r="R4" s="3390" t="s">
        <v>523</v>
      </c>
      <c r="S4" s="3391"/>
      <c r="T4" s="3390" t="s">
        <v>524</v>
      </c>
      <c r="U4" s="3391"/>
      <c r="V4" s="3377" t="s">
        <v>525</v>
      </c>
      <c r="W4" s="3377"/>
      <c r="X4" s="1552"/>
      <c r="Y4" s="3390" t="s">
        <v>527</v>
      </c>
      <c r="Z4" s="3391"/>
      <c r="AA4" s="3379" t="s">
        <v>523</v>
      </c>
      <c r="AB4" s="3379" t="s">
        <v>524</v>
      </c>
      <c r="AC4" s="3379" t="s">
        <v>525</v>
      </c>
    </row>
    <row r="5" spans="1:29" ht="15">
      <c r="A5" s="514"/>
      <c r="B5" s="515"/>
      <c r="C5" s="3398" t="s">
        <v>2927</v>
      </c>
      <c r="D5" s="3399"/>
      <c r="E5" s="3418" t="s">
        <v>2928</v>
      </c>
      <c r="F5" s="3419"/>
      <c r="G5" s="3398" t="s">
        <v>2929</v>
      </c>
      <c r="H5" s="3399"/>
      <c r="I5" s="3398" t="s">
        <v>2930</v>
      </c>
      <c r="J5" s="3399"/>
      <c r="K5" s="513"/>
      <c r="L5" s="2117"/>
      <c r="M5" s="2118"/>
      <c r="N5" s="2118"/>
      <c r="O5" s="2118"/>
      <c r="P5" s="3497"/>
      <c r="Q5" s="3387"/>
      <c r="R5" s="3392"/>
      <c r="S5" s="3393"/>
      <c r="T5" s="3392"/>
      <c r="U5" s="3393"/>
      <c r="V5" s="3377"/>
      <c r="W5" s="3377"/>
      <c r="X5" s="1552"/>
      <c r="Y5" s="3392"/>
      <c r="Z5" s="3393"/>
      <c r="AA5" s="3380"/>
      <c r="AB5" s="3380"/>
      <c r="AC5" s="3380"/>
    </row>
    <row r="6" spans="1:29" ht="15.75" thickBot="1">
      <c r="A6" s="516"/>
      <c r="B6" s="517"/>
      <c r="C6" s="3396" t="s">
        <v>2931</v>
      </c>
      <c r="D6" s="3397"/>
      <c r="E6" s="3414" t="s">
        <v>2931</v>
      </c>
      <c r="F6" s="3415"/>
      <c r="G6" s="3396" t="s">
        <v>2931</v>
      </c>
      <c r="H6" s="3397"/>
      <c r="I6" s="3396" t="s">
        <v>2931</v>
      </c>
      <c r="J6" s="3397"/>
      <c r="K6" s="513" t="s">
        <v>528</v>
      </c>
      <c r="L6" s="2117"/>
      <c r="M6" s="2118"/>
      <c r="N6" s="2118"/>
      <c r="O6" s="2118"/>
      <c r="P6" s="3498"/>
      <c r="Q6" s="3389"/>
      <c r="R6" s="3392"/>
      <c r="S6" s="3393"/>
      <c r="T6" s="3394"/>
      <c r="U6" s="3395"/>
      <c r="V6" s="3377"/>
      <c r="W6" s="3377"/>
      <c r="X6" s="1552"/>
      <c r="Y6" s="3394"/>
      <c r="Z6" s="3395"/>
      <c r="AA6" s="3381"/>
      <c r="AB6" s="3381"/>
      <c r="AC6" s="3381"/>
    </row>
    <row r="7" spans="1:29" s="1215" customFormat="1" ht="15.75" thickBot="1">
      <c r="A7" s="2866"/>
      <c r="B7" s="2873" t="s">
        <v>529</v>
      </c>
      <c r="C7" s="518">
        <f>'数据-取费表'!B2</f>
        <v>43663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09" t="s">
        <v>530</v>
      </c>
      <c r="Q7" s="3409"/>
      <c r="R7" s="1553" t="s">
        <v>8</v>
      </c>
      <c r="S7" s="1554">
        <f t="shared" ref="S7:S15" si="0">F7</f>
        <v>0</v>
      </c>
      <c r="T7" s="1553" t="s">
        <v>8</v>
      </c>
      <c r="U7" s="1554">
        <f t="shared" ref="U7:U15" si="1">H7</f>
        <v>0</v>
      </c>
      <c r="V7" s="1553" t="s">
        <v>8</v>
      </c>
      <c r="W7" s="1554">
        <f t="shared" ref="W7:W15" si="2">J7</f>
        <v>0</v>
      </c>
      <c r="X7" s="1555"/>
      <c r="Y7" s="3407" t="s">
        <v>530</v>
      </c>
      <c r="Z7" s="3408"/>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09" t="s">
        <v>533</v>
      </c>
      <c r="Q8" s="3408"/>
      <c r="R8" s="1553" t="s">
        <v>8</v>
      </c>
      <c r="S8" s="1554">
        <f t="shared" si="0"/>
        <v>0</v>
      </c>
      <c r="T8" s="1553" t="s">
        <v>8</v>
      </c>
      <c r="U8" s="1554">
        <f t="shared" si="1"/>
        <v>0</v>
      </c>
      <c r="V8" s="1553" t="s">
        <v>8</v>
      </c>
      <c r="W8" s="1554">
        <f t="shared" si="2"/>
        <v>0</v>
      </c>
      <c r="X8" s="1555"/>
      <c r="Y8" s="3407" t="s">
        <v>533</v>
      </c>
      <c r="Z8" s="3408"/>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6"/>
      <c r="Q11" s="1146" t="str">
        <f t="shared" si="6"/>
        <v>容积率</v>
      </c>
      <c r="R11" s="1553" t="s">
        <v>8</v>
      </c>
      <c r="S11" s="1554" t="e">
        <f t="shared" si="0"/>
        <v>#N/A</v>
      </c>
      <c r="T11" s="1553" t="s">
        <v>8</v>
      </c>
      <c r="U11" s="1554" t="e">
        <f t="shared" si="1"/>
        <v>#N/A</v>
      </c>
      <c r="V11" s="1553" t="s">
        <v>8</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 t="shared" si="3"/>
        <v>1</v>
      </c>
      <c r="AB14" s="1556">
        <f t="shared" si="4"/>
        <v>1</v>
      </c>
      <c r="AC14" s="1556">
        <f t="shared" si="5"/>
        <v>1</v>
      </c>
    </row>
    <row r="15" spans="1:29" ht="15">
      <c r="A15" s="2864" t="s">
        <v>2754</v>
      </c>
      <c r="B15" s="546" t="s">
        <v>542</v>
      </c>
      <c r="C15" s="547" t="str">
        <f>估价对象房地状况!C5</f>
        <v>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10" t="s">
        <v>540</v>
      </c>
      <c r="Q15" s="1557" t="str">
        <f t="shared" si="6"/>
        <v>办公集聚程度</v>
      </c>
      <c r="R15" s="1558" t="s">
        <v>8</v>
      </c>
      <c r="S15" s="1559">
        <f t="shared" si="0"/>
        <v>100</v>
      </c>
      <c r="T15" s="1558" t="s">
        <v>8</v>
      </c>
      <c r="U15" s="1559">
        <f t="shared" si="1"/>
        <v>100</v>
      </c>
      <c r="V15" s="1558" t="s">
        <v>8</v>
      </c>
      <c r="W15" s="1559">
        <f t="shared" si="2"/>
        <v>100</v>
      </c>
      <c r="X15" s="1552"/>
      <c r="Y15" s="3410"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11"/>
      <c r="Q16" s="1557"/>
      <c r="R16" s="1558"/>
      <c r="S16" s="1559"/>
      <c r="T16" s="1558"/>
      <c r="U16" s="1559"/>
      <c r="V16" s="1558"/>
      <c r="W16" s="1559"/>
      <c r="X16" s="1552"/>
      <c r="Y16" s="3411"/>
      <c r="Z16" s="1560"/>
      <c r="AA16" s="1561">
        <v>1</v>
      </c>
      <c r="AB16" s="1561">
        <v>1</v>
      </c>
      <c r="AC16" s="1561">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11"/>
      <c r="Q18" s="1557"/>
      <c r="R18" s="1558"/>
      <c r="S18" s="1559"/>
      <c r="T18" s="1558"/>
      <c r="U18" s="1559"/>
      <c r="V18" s="1558"/>
      <c r="W18" s="1559"/>
      <c r="X18" s="1552"/>
      <c r="Y18" s="3411"/>
      <c r="Z18" s="1560"/>
      <c r="AA18" s="1561">
        <v>1</v>
      </c>
      <c r="AB18" s="1561">
        <v>1</v>
      </c>
      <c r="AC18" s="1561">
        <v>1</v>
      </c>
    </row>
    <row r="19" spans="1:29" ht="15">
      <c r="A19" s="531"/>
      <c r="B19" s="2566" t="s">
        <v>2546</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11"/>
      <c r="Q20" s="1557"/>
      <c r="R20" s="1558"/>
      <c r="S20" s="1559"/>
      <c r="T20" s="1558"/>
      <c r="U20" s="1559"/>
      <c r="V20" s="1558"/>
      <c r="W20" s="1559"/>
      <c r="X20" s="1552"/>
      <c r="Y20" s="3411"/>
      <c r="Z20" s="1560"/>
      <c r="AA20" s="1561">
        <v>1</v>
      </c>
      <c r="AB20" s="1561">
        <v>1</v>
      </c>
      <c r="AC20" s="1561">
        <v>1</v>
      </c>
    </row>
    <row r="21" spans="1:29" ht="15">
      <c r="A21" s="531"/>
      <c r="B21" s="2554" t="s">
        <v>2558</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11"/>
      <c r="Q22" s="2542"/>
      <c r="R22" s="1558"/>
      <c r="S22" s="1559"/>
      <c r="T22" s="1558"/>
      <c r="U22" s="1559"/>
      <c r="V22" s="1558"/>
      <c r="W22" s="1559"/>
      <c r="X22" s="2544"/>
      <c r="Y22" s="3411"/>
      <c r="Z22" s="2543"/>
      <c r="AA22" s="1561">
        <v>1</v>
      </c>
      <c r="AB22" s="1561">
        <v>1</v>
      </c>
      <c r="AC22" s="1561">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11"/>
      <c r="Q24" s="1557"/>
      <c r="R24" s="1558"/>
      <c r="S24" s="1559"/>
      <c r="T24" s="1558"/>
      <c r="U24" s="1559"/>
      <c r="V24" s="1558"/>
      <c r="W24" s="1559"/>
      <c r="X24" s="1552"/>
      <c r="Y24" s="3411"/>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11"/>
      <c r="Q25" s="1557" t="str">
        <f>B25</f>
        <v>毗邻道路的类型与等级</v>
      </c>
      <c r="R25" s="1558" t="s">
        <v>8</v>
      </c>
      <c r="S25" s="1559">
        <f>F25</f>
        <v>100</v>
      </c>
      <c r="T25" s="1558" t="s">
        <v>8</v>
      </c>
      <c r="U25" s="1559">
        <f>H25</f>
        <v>100</v>
      </c>
      <c r="V25" s="1558" t="s">
        <v>8</v>
      </c>
      <c r="W25" s="1559">
        <f>J25</f>
        <v>100</v>
      </c>
      <c r="X25" s="1552"/>
      <c r="Y25" s="3411"/>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11"/>
      <c r="Q26" s="1557"/>
      <c r="R26" s="1558"/>
      <c r="S26" s="1559"/>
      <c r="T26" s="1558"/>
      <c r="U26" s="1559"/>
      <c r="V26" s="1558"/>
      <c r="W26" s="1559"/>
      <c r="X26" s="1552"/>
      <c r="Y26" s="3411"/>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11"/>
      <c r="Q27" s="1557" t="str">
        <f t="shared" ref="Q27:Q47" si="11">B27</f>
        <v>楼层</v>
      </c>
      <c r="R27" s="1558" t="s">
        <v>8</v>
      </c>
      <c r="S27" s="1559">
        <f>F27</f>
        <v>100</v>
      </c>
      <c r="T27" s="1558" t="s">
        <v>8</v>
      </c>
      <c r="U27" s="1559">
        <f>H27</f>
        <v>100</v>
      </c>
      <c r="V27" s="1558" t="s">
        <v>8</v>
      </c>
      <c r="W27" s="1559">
        <f>J27</f>
        <v>100</v>
      </c>
      <c r="X27" s="1552"/>
      <c r="Y27" s="3411"/>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11"/>
      <c r="Q28" s="1146" t="str">
        <f t="shared" si="11"/>
        <v>朝向</v>
      </c>
      <c r="R28" s="1553" t="s">
        <v>8</v>
      </c>
      <c r="S28" s="1554">
        <f>F28</f>
        <v>100</v>
      </c>
      <c r="T28" s="1553" t="s">
        <v>8</v>
      </c>
      <c r="U28" s="1554">
        <f>H28</f>
        <v>100</v>
      </c>
      <c r="V28" s="1553" t="s">
        <v>8</v>
      </c>
      <c r="W28" s="1554">
        <f>J28</f>
        <v>100</v>
      </c>
      <c r="X28" s="1555"/>
      <c r="Y28" s="3411"/>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11"/>
      <c r="Q29" s="1557">
        <f t="shared" si="11"/>
        <v>111</v>
      </c>
      <c r="R29" s="1558" t="s">
        <v>8</v>
      </c>
      <c r="S29" s="1559">
        <f t="shared" ref="S29:S47" si="12">F29</f>
        <v>100</v>
      </c>
      <c r="T29" s="1558" t="s">
        <v>8</v>
      </c>
      <c r="U29" s="1559">
        <f t="shared" ref="U29:U47" si="13">H29</f>
        <v>100</v>
      </c>
      <c r="V29" s="1558" t="s">
        <v>8</v>
      </c>
      <c r="W29" s="1559">
        <f t="shared" ref="W29:W47" si="14">J29</f>
        <v>100</v>
      </c>
      <c r="X29" s="1552"/>
      <c r="Y29" s="3411"/>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11"/>
      <c r="Q32" s="1557">
        <f t="shared" si="11"/>
        <v>111</v>
      </c>
      <c r="R32" s="1558" t="s">
        <v>8</v>
      </c>
      <c r="S32" s="1559">
        <f t="shared" si="12"/>
        <v>100</v>
      </c>
      <c r="T32" s="1558" t="s">
        <v>8</v>
      </c>
      <c r="U32" s="1559">
        <f t="shared" si="13"/>
        <v>100</v>
      </c>
      <c r="V32" s="1558" t="s">
        <v>8</v>
      </c>
      <c r="W32" s="1559">
        <f t="shared" si="14"/>
        <v>100</v>
      </c>
      <c r="X32" s="1552"/>
      <c r="Y32" s="3411"/>
      <c r="Z32" s="1560">
        <f t="shared" si="15"/>
        <v>111</v>
      </c>
      <c r="AA32" s="1561">
        <f t="shared" si="3"/>
        <v>1</v>
      </c>
      <c r="AB32" s="1561">
        <f t="shared" si="4"/>
        <v>1</v>
      </c>
      <c r="AC32" s="1561">
        <f t="shared" si="5"/>
        <v>1</v>
      </c>
    </row>
    <row r="33" spans="1:29" ht="15">
      <c r="A33" s="2861" t="s">
        <v>2755</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12" t="s">
        <v>550</v>
      </c>
      <c r="Q33" s="1557" t="str">
        <f t="shared" si="11"/>
        <v>建筑类型</v>
      </c>
      <c r="R33" s="1558" t="s">
        <v>8</v>
      </c>
      <c r="S33" s="1559">
        <f t="shared" si="12"/>
        <v>100</v>
      </c>
      <c r="T33" s="1558" t="s">
        <v>8</v>
      </c>
      <c r="U33" s="1559">
        <f t="shared" si="13"/>
        <v>100</v>
      </c>
      <c r="V33" s="1558" t="s">
        <v>8</v>
      </c>
      <c r="W33" s="1559">
        <f t="shared" si="14"/>
        <v>100</v>
      </c>
      <c r="X33" s="1552"/>
      <c r="Y33" s="3413"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13"/>
      <c r="Q34" s="1589" t="str">
        <f t="shared" si="11"/>
        <v>项目建筑规模</v>
      </c>
      <c r="R34" s="1562" t="s">
        <v>8</v>
      </c>
      <c r="S34" s="1563" t="e">
        <f t="shared" si="12"/>
        <v>#N/A</v>
      </c>
      <c r="T34" s="1562" t="s">
        <v>8</v>
      </c>
      <c r="U34" s="1563" t="e">
        <f t="shared" si="13"/>
        <v>#N/A</v>
      </c>
      <c r="V34" s="1562" t="s">
        <v>8</v>
      </c>
      <c r="W34" s="1563" t="e">
        <f t="shared" si="14"/>
        <v>#N/A</v>
      </c>
      <c r="X34" s="1564"/>
      <c r="Y34" s="3413"/>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13"/>
      <c r="Q35" s="1557" t="str">
        <f t="shared" si="11"/>
        <v>建筑结构</v>
      </c>
      <c r="R35" s="1558" t="s">
        <v>8</v>
      </c>
      <c r="S35" s="1559">
        <f t="shared" si="12"/>
        <v>100</v>
      </c>
      <c r="T35" s="1558" t="s">
        <v>8</v>
      </c>
      <c r="U35" s="1559">
        <f t="shared" si="13"/>
        <v>100</v>
      </c>
      <c r="V35" s="1558" t="s">
        <v>8</v>
      </c>
      <c r="W35" s="1559">
        <f t="shared" si="14"/>
        <v>100</v>
      </c>
      <c r="X35" s="1552"/>
      <c r="Y35" s="3413"/>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13"/>
      <c r="Q36" s="1557" t="str">
        <f t="shared" si="11"/>
        <v>公共部分装修</v>
      </c>
      <c r="R36" s="1558" t="s">
        <v>8</v>
      </c>
      <c r="S36" s="1559">
        <f t="shared" si="12"/>
        <v>100</v>
      </c>
      <c r="T36" s="1558" t="s">
        <v>8</v>
      </c>
      <c r="U36" s="1559">
        <f t="shared" si="13"/>
        <v>100</v>
      </c>
      <c r="V36" s="1558" t="s">
        <v>8</v>
      </c>
      <c r="W36" s="1559">
        <f t="shared" si="14"/>
        <v>100</v>
      </c>
      <c r="X36" s="1552"/>
      <c r="Y36" s="3413"/>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13"/>
      <c r="Q37" s="1557" t="str">
        <f t="shared" si="11"/>
        <v>成新度</v>
      </c>
      <c r="R37" s="1558" t="s">
        <v>8</v>
      </c>
      <c r="S37" s="1559" t="e">
        <f t="shared" si="12"/>
        <v>#N/A</v>
      </c>
      <c r="T37" s="1558" t="s">
        <v>8</v>
      </c>
      <c r="U37" s="1559" t="e">
        <f t="shared" si="13"/>
        <v>#N/A</v>
      </c>
      <c r="V37" s="1558" t="s">
        <v>8</v>
      </c>
      <c r="W37" s="1559" t="e">
        <f t="shared" si="14"/>
        <v>#N/A</v>
      </c>
      <c r="X37" s="1552"/>
      <c r="Y37" s="3413"/>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13"/>
      <c r="Q38" s="1146" t="str">
        <f t="shared" si="11"/>
        <v>写字楼等级</v>
      </c>
      <c r="R38" s="1553" t="s">
        <v>8</v>
      </c>
      <c r="S38" s="1554">
        <f t="shared" si="12"/>
        <v>100</v>
      </c>
      <c r="T38" s="1553" t="s">
        <v>8</v>
      </c>
      <c r="U38" s="1554">
        <f t="shared" si="13"/>
        <v>100</v>
      </c>
      <c r="V38" s="1553" t="s">
        <v>8</v>
      </c>
      <c r="W38" s="1554">
        <f t="shared" si="14"/>
        <v>100</v>
      </c>
      <c r="X38" s="1555"/>
      <c r="Y38" s="3413"/>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13" t="s">
        <v>550</v>
      </c>
      <c r="Q39" s="1557" t="str">
        <f t="shared" si="11"/>
        <v>物业管理</v>
      </c>
      <c r="R39" s="1558" t="s">
        <v>8</v>
      </c>
      <c r="S39" s="1559">
        <f t="shared" si="12"/>
        <v>100</v>
      </c>
      <c r="T39" s="1558" t="s">
        <v>8</v>
      </c>
      <c r="U39" s="1559">
        <f t="shared" si="13"/>
        <v>100</v>
      </c>
      <c r="V39" s="1558" t="s">
        <v>8</v>
      </c>
      <c r="W39" s="1559">
        <f t="shared" si="14"/>
        <v>100</v>
      </c>
      <c r="X39" s="1552"/>
      <c r="Y39" s="3413"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13"/>
      <c r="Q40" s="1557" t="str">
        <f t="shared" si="11"/>
        <v>市政基础设施</v>
      </c>
      <c r="R40" s="1558" t="s">
        <v>8</v>
      </c>
      <c r="S40" s="1559">
        <f t="shared" si="12"/>
        <v>100</v>
      </c>
      <c r="T40" s="1558" t="s">
        <v>8</v>
      </c>
      <c r="U40" s="1559">
        <f t="shared" si="13"/>
        <v>100</v>
      </c>
      <c r="V40" s="1558" t="s">
        <v>8</v>
      </c>
      <c r="W40" s="1559">
        <f t="shared" si="14"/>
        <v>100</v>
      </c>
      <c r="X40" s="1552"/>
      <c r="Y40" s="3413"/>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13"/>
      <c r="Q41" s="1557" t="str">
        <f t="shared" si="11"/>
        <v>层高</v>
      </c>
      <c r="R41" s="1558" t="s">
        <v>8</v>
      </c>
      <c r="S41" s="1559">
        <f t="shared" si="12"/>
        <v>100</v>
      </c>
      <c r="T41" s="1558" t="s">
        <v>8</v>
      </c>
      <c r="U41" s="1559">
        <f t="shared" si="13"/>
        <v>100</v>
      </c>
      <c r="V41" s="1558" t="s">
        <v>8</v>
      </c>
      <c r="W41" s="1559">
        <f t="shared" si="14"/>
        <v>100</v>
      </c>
      <c r="X41" s="1552"/>
      <c r="Y41" s="3413"/>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13"/>
      <c r="Q42" s="1589" t="str">
        <f t="shared" si="11"/>
        <v>单套建筑面积</v>
      </c>
      <c r="R42" s="1562" t="s">
        <v>8</v>
      </c>
      <c r="S42" s="1563">
        <f t="shared" si="12"/>
        <v>100</v>
      </c>
      <c r="T42" s="1562" t="s">
        <v>8</v>
      </c>
      <c r="U42" s="1563">
        <f t="shared" si="13"/>
        <v>100</v>
      </c>
      <c r="V42" s="1562" t="s">
        <v>8</v>
      </c>
      <c r="W42" s="1563">
        <f t="shared" si="14"/>
        <v>100</v>
      </c>
      <c r="X42" s="1564"/>
      <c r="Y42" s="3413"/>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13"/>
      <c r="Q43" s="1557" t="str">
        <f t="shared" si="11"/>
        <v>内部装修</v>
      </c>
      <c r="R43" s="1558" t="s">
        <v>8</v>
      </c>
      <c r="S43" s="1559">
        <f t="shared" si="12"/>
        <v>100</v>
      </c>
      <c r="T43" s="1558" t="s">
        <v>8</v>
      </c>
      <c r="U43" s="1559">
        <f t="shared" si="13"/>
        <v>100</v>
      </c>
      <c r="V43" s="1558" t="s">
        <v>8</v>
      </c>
      <c r="W43" s="1559">
        <f t="shared" si="14"/>
        <v>100</v>
      </c>
      <c r="X43" s="1552"/>
      <c r="Y43" s="3413"/>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13"/>
      <c r="Q44" s="1557" t="str">
        <f t="shared" si="11"/>
        <v>内部装修维护情况</v>
      </c>
      <c r="R44" s="1558" t="s">
        <v>8</v>
      </c>
      <c r="S44" s="1559">
        <f t="shared" si="12"/>
        <v>100</v>
      </c>
      <c r="T44" s="1558" t="s">
        <v>8</v>
      </c>
      <c r="U44" s="1559">
        <f t="shared" si="13"/>
        <v>100</v>
      </c>
      <c r="V44" s="1558" t="s">
        <v>8</v>
      </c>
      <c r="W44" s="1559">
        <f t="shared" si="14"/>
        <v>100</v>
      </c>
      <c r="X44" s="1552"/>
      <c r="Y44" s="3413"/>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13"/>
      <c r="Q45" s="1146">
        <f t="shared" si="11"/>
        <v>111</v>
      </c>
      <c r="R45" s="1553" t="s">
        <v>8</v>
      </c>
      <c r="S45" s="1554">
        <f t="shared" si="12"/>
        <v>100</v>
      </c>
      <c r="T45" s="1553" t="s">
        <v>8</v>
      </c>
      <c r="U45" s="1554">
        <f t="shared" si="13"/>
        <v>100</v>
      </c>
      <c r="V45" s="1553" t="s">
        <v>8</v>
      </c>
      <c r="W45" s="1554">
        <f t="shared" si="14"/>
        <v>100</v>
      </c>
      <c r="X45" s="1555"/>
      <c r="Y45" s="3413"/>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13"/>
      <c r="Q46" s="1557">
        <f t="shared" si="11"/>
        <v>111</v>
      </c>
      <c r="R46" s="1558" t="s">
        <v>8</v>
      </c>
      <c r="S46" s="1559">
        <f t="shared" si="12"/>
        <v>100</v>
      </c>
      <c r="T46" s="1558" t="s">
        <v>8</v>
      </c>
      <c r="U46" s="1559">
        <f t="shared" si="13"/>
        <v>100</v>
      </c>
      <c r="V46" s="1558" t="s">
        <v>8</v>
      </c>
      <c r="W46" s="1559">
        <f t="shared" si="14"/>
        <v>100</v>
      </c>
      <c r="X46" s="1552"/>
      <c r="Y46" s="3413"/>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94"/>
      <c r="Q47" s="1557">
        <f t="shared" si="11"/>
        <v>111</v>
      </c>
      <c r="R47" s="1558" t="s">
        <v>8</v>
      </c>
      <c r="S47" s="1559">
        <f t="shared" si="12"/>
        <v>100</v>
      </c>
      <c r="T47" s="1558" t="s">
        <v>8</v>
      </c>
      <c r="U47" s="1559">
        <f t="shared" si="13"/>
        <v>100</v>
      </c>
      <c r="V47" s="1558" t="s">
        <v>8</v>
      </c>
      <c r="W47" s="1559">
        <f t="shared" si="14"/>
        <v>100</v>
      </c>
      <c r="X47" s="1552"/>
      <c r="Y47" s="3494"/>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74" t="str">
        <f>A48</f>
        <v>成交单价（元/平方米）</v>
      </c>
      <c r="Q48" s="3376"/>
      <c r="R48" s="3493">
        <f>E48</f>
        <v>0</v>
      </c>
      <c r="S48" s="3493"/>
      <c r="T48" s="3493">
        <f>G48</f>
        <v>0</v>
      </c>
      <c r="U48" s="3493"/>
      <c r="V48" s="3493">
        <f>I48</f>
        <v>0</v>
      </c>
      <c r="W48" s="3493"/>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74" t="str">
        <f>A49</f>
        <v>比较价格（元/平方米）</v>
      </c>
      <c r="Q49" s="3376"/>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495" t="str">
        <f>A50</f>
        <v>估价对象XX用房的比较价格（楼面单价，元/平方米）</v>
      </c>
      <c r="Q50" s="3374"/>
      <c r="R50" s="3492" t="e">
        <f>IF(F1="售价",ROUND(AVERAGE(R49:V49),0),ROUND(AVERAGE(R49:V49),1))</f>
        <v>#DIV/0!</v>
      </c>
      <c r="S50" s="3492"/>
      <c r="T50" s="3492"/>
      <c r="U50" s="3492"/>
      <c r="V50" s="3492"/>
      <c r="W50" s="349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82" t="s">
        <v>522</v>
      </c>
      <c r="D4" s="3383"/>
      <c r="E4" s="3416" t="s">
        <v>523</v>
      </c>
      <c r="F4" s="3417"/>
      <c r="G4" s="3382" t="s">
        <v>524</v>
      </c>
      <c r="H4" s="3383"/>
      <c r="I4" s="3382" t="s">
        <v>525</v>
      </c>
      <c r="J4" s="3383"/>
      <c r="K4" s="513" t="s">
        <v>526</v>
      </c>
      <c r="L4" s="2117"/>
      <c r="M4" s="2118"/>
      <c r="N4" s="2118"/>
      <c r="O4" s="2118"/>
      <c r="P4" s="3384" t="s">
        <v>527</v>
      </c>
      <c r="Q4" s="3385"/>
      <c r="R4" s="3390" t="s">
        <v>523</v>
      </c>
      <c r="S4" s="3391"/>
      <c r="T4" s="3390" t="s">
        <v>524</v>
      </c>
      <c r="U4" s="3391"/>
      <c r="V4" s="3377" t="s">
        <v>525</v>
      </c>
      <c r="W4" s="3377"/>
      <c r="X4" s="1552"/>
      <c r="Y4" s="3390" t="s">
        <v>527</v>
      </c>
      <c r="Z4" s="3391"/>
      <c r="AA4" s="3379" t="s">
        <v>523</v>
      </c>
      <c r="AB4" s="3380" t="s">
        <v>524</v>
      </c>
      <c r="AC4" s="3379" t="s">
        <v>525</v>
      </c>
    </row>
    <row r="5" spans="1:29" ht="15">
      <c r="A5" s="514"/>
      <c r="B5" s="515"/>
      <c r="C5" s="3398" t="s">
        <v>2927</v>
      </c>
      <c r="D5" s="3399"/>
      <c r="E5" s="3418" t="s">
        <v>2928</v>
      </c>
      <c r="F5" s="3419"/>
      <c r="G5" s="3398" t="s">
        <v>2929</v>
      </c>
      <c r="H5" s="3399"/>
      <c r="I5" s="3398" t="s">
        <v>2930</v>
      </c>
      <c r="J5" s="3399"/>
      <c r="K5" s="513"/>
      <c r="L5" s="2117"/>
      <c r="M5" s="2118"/>
      <c r="N5" s="2118"/>
      <c r="O5" s="2118"/>
      <c r="P5" s="3386"/>
      <c r="Q5" s="3387"/>
      <c r="R5" s="3392"/>
      <c r="S5" s="3393"/>
      <c r="T5" s="3392"/>
      <c r="U5" s="3393"/>
      <c r="V5" s="3377"/>
      <c r="W5" s="3377"/>
      <c r="X5" s="1552"/>
      <c r="Y5" s="3392"/>
      <c r="Z5" s="3393"/>
      <c r="AA5" s="3380"/>
      <c r="AB5" s="3380"/>
      <c r="AC5" s="3380"/>
    </row>
    <row r="6" spans="1:29" ht="15.75" thickBot="1">
      <c r="A6" s="516"/>
      <c r="B6" s="517"/>
      <c r="C6" s="3396" t="s">
        <v>2931</v>
      </c>
      <c r="D6" s="3397"/>
      <c r="E6" s="3414" t="s">
        <v>2931</v>
      </c>
      <c r="F6" s="3415"/>
      <c r="G6" s="3396" t="s">
        <v>2931</v>
      </c>
      <c r="H6" s="3397"/>
      <c r="I6" s="3396" t="s">
        <v>2931</v>
      </c>
      <c r="J6" s="3397"/>
      <c r="K6" s="513" t="s">
        <v>528</v>
      </c>
      <c r="L6" s="2117"/>
      <c r="M6" s="2118"/>
      <c r="N6" s="2118"/>
      <c r="O6" s="2118"/>
      <c r="P6" s="3388"/>
      <c r="Q6" s="3389"/>
      <c r="R6" s="3392"/>
      <c r="S6" s="3393"/>
      <c r="T6" s="3394"/>
      <c r="U6" s="3395"/>
      <c r="V6" s="3377"/>
      <c r="W6" s="3377"/>
      <c r="X6" s="1552"/>
      <c r="Y6" s="3394"/>
      <c r="Z6" s="3395"/>
      <c r="AA6" s="3381"/>
      <c r="AB6" s="3381"/>
      <c r="AC6" s="3381"/>
    </row>
    <row r="7" spans="1:29" s="1215" customFormat="1" ht="15.75" thickBot="1">
      <c r="A7" s="2866"/>
      <c r="B7" s="2873" t="s">
        <v>529</v>
      </c>
      <c r="C7" s="518">
        <f>'数据-取费表'!B2</f>
        <v>43663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7" t="s">
        <v>530</v>
      </c>
      <c r="Q7" s="3409"/>
      <c r="R7" s="1553" t="s">
        <v>8</v>
      </c>
      <c r="S7" s="1554">
        <f t="shared" ref="S7:S15" si="0">F7</f>
        <v>0</v>
      </c>
      <c r="T7" s="1553" t="s">
        <v>8</v>
      </c>
      <c r="U7" s="1554">
        <f t="shared" ref="U7:U15" si="1">H7</f>
        <v>0</v>
      </c>
      <c r="V7" s="1553" t="s">
        <v>8</v>
      </c>
      <c r="W7" s="1554">
        <f t="shared" ref="W7:W15" si="2">J7</f>
        <v>0</v>
      </c>
      <c r="X7" s="1555"/>
      <c r="Y7" s="3407" t="s">
        <v>530</v>
      </c>
      <c r="Z7" s="3408"/>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7" t="s">
        <v>533</v>
      </c>
      <c r="Q8" s="3408"/>
      <c r="R8" s="1553" t="s">
        <v>8</v>
      </c>
      <c r="S8" s="1554">
        <f t="shared" si="0"/>
        <v>0</v>
      </c>
      <c r="T8" s="1553" t="s">
        <v>8</v>
      </c>
      <c r="U8" s="1554">
        <f t="shared" si="1"/>
        <v>0</v>
      </c>
      <c r="V8" s="1553" t="s">
        <v>8</v>
      </c>
      <c r="W8" s="1554">
        <f t="shared" si="2"/>
        <v>0</v>
      </c>
      <c r="X8" s="1555"/>
      <c r="Y8" s="3407" t="s">
        <v>533</v>
      </c>
      <c r="Z8" s="3408"/>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6" t="s">
        <v>535</v>
      </c>
      <c r="Q9" s="1146" t="str">
        <f t="shared" ref="Q9:Q15" si="6">B9</f>
        <v>用途</v>
      </c>
      <c r="R9" s="1553" t="s">
        <v>8</v>
      </c>
      <c r="S9" s="1554">
        <f t="shared" si="0"/>
        <v>100</v>
      </c>
      <c r="T9" s="1553" t="s">
        <v>8</v>
      </c>
      <c r="U9" s="1554">
        <f t="shared" si="1"/>
        <v>100</v>
      </c>
      <c r="V9" s="1553" t="s">
        <v>8</v>
      </c>
      <c r="W9" s="1554">
        <f t="shared" si="2"/>
        <v>100</v>
      </c>
      <c r="X9" s="1555"/>
      <c r="Y9" s="3322"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6"/>
      <c r="Q11" s="1146" t="str">
        <f t="shared" si="6"/>
        <v>容积率</v>
      </c>
      <c r="R11" s="1553" t="s">
        <v>8</v>
      </c>
      <c r="S11" s="1554" t="e">
        <f t="shared" si="0"/>
        <v>#N/A</v>
      </c>
      <c r="T11" s="1553" t="s">
        <v>8</v>
      </c>
      <c r="U11" s="1554" t="e">
        <f t="shared" si="1"/>
        <v>#N/A</v>
      </c>
      <c r="V11" s="1553" t="s">
        <v>8</v>
      </c>
      <c r="W11" s="1554" t="e">
        <f t="shared" si="2"/>
        <v>#N/A</v>
      </c>
      <c r="X11" s="1555"/>
      <c r="Y11" s="3322"/>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6"/>
      <c r="Q14" s="1146">
        <f t="shared" si="6"/>
        <v>111</v>
      </c>
      <c r="R14" s="1553" t="s">
        <v>8</v>
      </c>
      <c r="S14" s="1554">
        <f t="shared" si="0"/>
        <v>100</v>
      </c>
      <c r="T14" s="1553" t="s">
        <v>8</v>
      </c>
      <c r="U14" s="1554">
        <f t="shared" si="1"/>
        <v>100</v>
      </c>
      <c r="V14" s="1553" t="s">
        <v>8</v>
      </c>
      <c r="W14" s="1554">
        <f t="shared" si="2"/>
        <v>100</v>
      </c>
      <c r="X14" s="1555"/>
      <c r="Y14" s="3322"/>
      <c r="Z14" s="1145">
        <f t="shared" si="7"/>
        <v>111</v>
      </c>
      <c r="AA14" s="1556">
        <f t="shared" si="3"/>
        <v>1</v>
      </c>
      <c r="AB14" s="1556">
        <f t="shared" si="4"/>
        <v>1</v>
      </c>
      <c r="AC14" s="1556">
        <f t="shared" si="5"/>
        <v>1</v>
      </c>
    </row>
    <row r="15" spans="1:29" ht="57">
      <c r="A15" s="2864" t="s">
        <v>2754</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10" t="s">
        <v>540</v>
      </c>
      <c r="Q15" s="1557" t="str">
        <f t="shared" si="6"/>
        <v>产业集聚程度</v>
      </c>
      <c r="R15" s="1558" t="s">
        <v>8</v>
      </c>
      <c r="S15" s="1559">
        <f t="shared" si="0"/>
        <v>100</v>
      </c>
      <c r="T15" s="1558" t="s">
        <v>8</v>
      </c>
      <c r="U15" s="1559">
        <f t="shared" si="1"/>
        <v>100</v>
      </c>
      <c r="V15" s="1558" t="s">
        <v>8</v>
      </c>
      <c r="W15" s="1559">
        <f t="shared" si="2"/>
        <v>100</v>
      </c>
      <c r="X15" s="1552"/>
      <c r="Y15" s="3410"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1"/>
      <c r="Q18" s="1557"/>
      <c r="R18" s="1558"/>
      <c r="S18" s="1559"/>
      <c r="T18" s="1558"/>
      <c r="U18" s="1559"/>
      <c r="V18" s="1558"/>
      <c r="W18" s="1559"/>
      <c r="X18" s="1552"/>
      <c r="Y18" s="3411"/>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11"/>
      <c r="Q20" s="1557"/>
      <c r="R20" s="1558"/>
      <c r="S20" s="1559"/>
      <c r="T20" s="1558"/>
      <c r="U20" s="1559"/>
      <c r="V20" s="1558"/>
      <c r="W20" s="1559"/>
      <c r="X20" s="1552"/>
      <c r="Y20" s="3411"/>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11"/>
      <c r="Q21" s="2542" t="str">
        <f>B21</f>
        <v>基础设施水平</v>
      </c>
      <c r="R21" s="1558" t="s">
        <v>8</v>
      </c>
      <c r="S21" s="1559">
        <f>F21</f>
        <v>100</v>
      </c>
      <c r="T21" s="1558" t="s">
        <v>8</v>
      </c>
      <c r="U21" s="1559">
        <f>H21</f>
        <v>100</v>
      </c>
      <c r="V21" s="1558" t="s">
        <v>8</v>
      </c>
      <c r="W21" s="1559">
        <f>J21</f>
        <v>100</v>
      </c>
      <c r="X21" s="2544"/>
      <c r="Y21" s="3411"/>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11"/>
      <c r="Q22" s="2542"/>
      <c r="R22" s="1558"/>
      <c r="S22" s="1559"/>
      <c r="T22" s="1558"/>
      <c r="U22" s="1559"/>
      <c r="V22" s="1558"/>
      <c r="W22" s="1559"/>
      <c r="X22" s="2544"/>
      <c r="Y22" s="3411"/>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11"/>
      <c r="Q24" s="1557"/>
      <c r="R24" s="1558"/>
      <c r="S24" s="1559"/>
      <c r="T24" s="1558"/>
      <c r="U24" s="1559"/>
      <c r="V24" s="1558"/>
      <c r="W24" s="1559"/>
      <c r="X24" s="1552"/>
      <c r="Y24" s="3411"/>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11"/>
      <c r="Q25" s="1557">
        <f>B25</f>
        <v>111</v>
      </c>
      <c r="R25" s="1558" t="s">
        <v>8</v>
      </c>
      <c r="S25" s="1559">
        <f>F25</f>
        <v>100</v>
      </c>
      <c r="T25" s="1558" t="s">
        <v>8</v>
      </c>
      <c r="U25" s="1559">
        <f>H25</f>
        <v>100</v>
      </c>
      <c r="V25" s="1558" t="s">
        <v>8</v>
      </c>
      <c r="W25" s="1559">
        <f>J25</f>
        <v>100</v>
      </c>
      <c r="X25" s="1552"/>
      <c r="Y25" s="3411"/>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11"/>
      <c r="Q26" s="1557">
        <f t="shared" ref="Q26:Q40" si="11">B26</f>
        <v>111</v>
      </c>
      <c r="R26" s="1558" t="s">
        <v>8</v>
      </c>
      <c r="S26" s="1559">
        <f>F26</f>
        <v>100</v>
      </c>
      <c r="T26" s="1558" t="s">
        <v>8</v>
      </c>
      <c r="U26" s="1559">
        <f>H26</f>
        <v>100</v>
      </c>
      <c r="V26" s="1558" t="s">
        <v>8</v>
      </c>
      <c r="W26" s="1559">
        <f>J26</f>
        <v>100</v>
      </c>
      <c r="X26" s="1552"/>
      <c r="Y26" s="3411"/>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11"/>
      <c r="Q27" s="1146">
        <f t="shared" si="11"/>
        <v>111</v>
      </c>
      <c r="R27" s="1553" t="s">
        <v>8</v>
      </c>
      <c r="S27" s="1554">
        <f>F27</f>
        <v>100</v>
      </c>
      <c r="T27" s="1553" t="s">
        <v>8</v>
      </c>
      <c r="U27" s="1554">
        <f>H27</f>
        <v>100</v>
      </c>
      <c r="V27" s="1553" t="s">
        <v>8</v>
      </c>
      <c r="W27" s="1554">
        <f>J27</f>
        <v>100</v>
      </c>
      <c r="X27" s="1555"/>
      <c r="Y27" s="3411"/>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11"/>
      <c r="Q28" s="1557">
        <f t="shared" si="11"/>
        <v>111</v>
      </c>
      <c r="R28" s="1558" t="s">
        <v>8</v>
      </c>
      <c r="S28" s="1559">
        <f t="shared" ref="S28:S40" si="12">F28</f>
        <v>100</v>
      </c>
      <c r="T28" s="1558" t="s">
        <v>8</v>
      </c>
      <c r="U28" s="1559">
        <f t="shared" ref="U28:U40" si="13">H28</f>
        <v>100</v>
      </c>
      <c r="V28" s="1558" t="s">
        <v>8</v>
      </c>
      <c r="W28" s="1559">
        <f t="shared" ref="W28:W40" si="14">J28</f>
        <v>100</v>
      </c>
      <c r="X28" s="1552"/>
      <c r="Y28" s="3411"/>
      <c r="Z28" s="1560">
        <f t="shared" ref="Z28:Z40" si="15">Q28</f>
        <v>111</v>
      </c>
      <c r="AA28" s="1561">
        <f t="shared" si="3"/>
        <v>1</v>
      </c>
      <c r="AB28" s="1561">
        <f t="shared" si="4"/>
        <v>1</v>
      </c>
      <c r="AC28" s="1561">
        <f t="shared" si="5"/>
        <v>1</v>
      </c>
    </row>
    <row r="29" spans="1:29" ht="15">
      <c r="A29" s="2861" t="s">
        <v>2755</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12" t="s">
        <v>550</v>
      </c>
      <c r="Q29" s="1557" t="str">
        <f t="shared" si="11"/>
        <v>建筑类型</v>
      </c>
      <c r="R29" s="1558" t="s">
        <v>8</v>
      </c>
      <c r="S29" s="1559">
        <f t="shared" si="12"/>
        <v>100</v>
      </c>
      <c r="T29" s="1558" t="s">
        <v>8</v>
      </c>
      <c r="U29" s="1559">
        <f t="shared" si="13"/>
        <v>100</v>
      </c>
      <c r="V29" s="1558" t="s">
        <v>8</v>
      </c>
      <c r="W29" s="1559">
        <f t="shared" si="14"/>
        <v>100</v>
      </c>
      <c r="X29" s="1552"/>
      <c r="Y29" s="3413"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13"/>
      <c r="Q30" s="1589" t="str">
        <f t="shared" si="11"/>
        <v>项目建筑规模</v>
      </c>
      <c r="R30" s="1562" t="s">
        <v>8</v>
      </c>
      <c r="S30" s="1563" t="e">
        <f t="shared" si="12"/>
        <v>#N/A</v>
      </c>
      <c r="T30" s="1562" t="s">
        <v>8</v>
      </c>
      <c r="U30" s="1563" t="e">
        <f t="shared" si="13"/>
        <v>#N/A</v>
      </c>
      <c r="V30" s="1562" t="s">
        <v>8</v>
      </c>
      <c r="W30" s="1563" t="e">
        <f t="shared" si="14"/>
        <v>#N/A</v>
      </c>
      <c r="X30" s="1564"/>
      <c r="Y30" s="3413"/>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13"/>
      <c r="Q31" s="1557" t="str">
        <f t="shared" si="11"/>
        <v>建筑结构</v>
      </c>
      <c r="R31" s="1558" t="s">
        <v>8</v>
      </c>
      <c r="S31" s="1559">
        <f t="shared" si="12"/>
        <v>100</v>
      </c>
      <c r="T31" s="1558" t="s">
        <v>8</v>
      </c>
      <c r="U31" s="1559">
        <f t="shared" si="13"/>
        <v>100</v>
      </c>
      <c r="V31" s="1558" t="s">
        <v>8</v>
      </c>
      <c r="W31" s="1559">
        <f t="shared" si="14"/>
        <v>100</v>
      </c>
      <c r="X31" s="1552"/>
      <c r="Y31" s="3413"/>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13"/>
      <c r="Q32" s="1557" t="str">
        <f t="shared" si="11"/>
        <v>公共部分装修</v>
      </c>
      <c r="R32" s="1558" t="s">
        <v>8</v>
      </c>
      <c r="S32" s="1559">
        <f t="shared" si="12"/>
        <v>100</v>
      </c>
      <c r="T32" s="1558" t="s">
        <v>8</v>
      </c>
      <c r="U32" s="1559">
        <f t="shared" si="13"/>
        <v>100</v>
      </c>
      <c r="V32" s="1558" t="s">
        <v>8</v>
      </c>
      <c r="W32" s="1559">
        <f t="shared" si="14"/>
        <v>100</v>
      </c>
      <c r="X32" s="1552"/>
      <c r="Y32" s="3413"/>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13"/>
      <c r="Q33" s="1557" t="str">
        <f t="shared" si="11"/>
        <v>成新度</v>
      </c>
      <c r="R33" s="1558" t="s">
        <v>8</v>
      </c>
      <c r="S33" s="1559" t="e">
        <f t="shared" si="12"/>
        <v>#N/A</v>
      </c>
      <c r="T33" s="1558" t="s">
        <v>8</v>
      </c>
      <c r="U33" s="1559" t="e">
        <f t="shared" si="13"/>
        <v>#N/A</v>
      </c>
      <c r="V33" s="1558" t="s">
        <v>8</v>
      </c>
      <c r="W33" s="1559" t="e">
        <f t="shared" si="14"/>
        <v>#N/A</v>
      </c>
      <c r="X33" s="1552"/>
      <c r="Y33" s="3413"/>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13"/>
      <c r="Q34" s="1146" t="str">
        <f t="shared" si="11"/>
        <v>物业管理</v>
      </c>
      <c r="R34" s="1553" t="s">
        <v>8</v>
      </c>
      <c r="S34" s="1554">
        <f t="shared" si="12"/>
        <v>100</v>
      </c>
      <c r="T34" s="1553" t="s">
        <v>8</v>
      </c>
      <c r="U34" s="1554">
        <f t="shared" si="13"/>
        <v>100</v>
      </c>
      <c r="V34" s="1553" t="s">
        <v>8</v>
      </c>
      <c r="W34" s="1554">
        <f t="shared" si="14"/>
        <v>100</v>
      </c>
      <c r="X34" s="1555"/>
      <c r="Y34" s="3413"/>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13" t="s">
        <v>550</v>
      </c>
      <c r="Q35" s="1557" t="str">
        <f t="shared" si="11"/>
        <v>市政基础设施</v>
      </c>
      <c r="R35" s="1558" t="s">
        <v>8</v>
      </c>
      <c r="S35" s="1559">
        <f t="shared" si="12"/>
        <v>100</v>
      </c>
      <c r="T35" s="1558" t="s">
        <v>8</v>
      </c>
      <c r="U35" s="1559">
        <f t="shared" si="13"/>
        <v>100</v>
      </c>
      <c r="V35" s="1558" t="s">
        <v>8</v>
      </c>
      <c r="W35" s="1559">
        <f t="shared" si="14"/>
        <v>100</v>
      </c>
      <c r="X35" s="1552"/>
      <c r="Y35" s="3413"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13"/>
      <c r="Q36" s="1557" t="str">
        <f t="shared" si="11"/>
        <v>内部装修</v>
      </c>
      <c r="R36" s="1558" t="s">
        <v>8</v>
      </c>
      <c r="S36" s="1559">
        <f t="shared" si="12"/>
        <v>100</v>
      </c>
      <c r="T36" s="1558" t="s">
        <v>8</v>
      </c>
      <c r="U36" s="1559">
        <f t="shared" si="13"/>
        <v>100</v>
      </c>
      <c r="V36" s="1558" t="s">
        <v>8</v>
      </c>
      <c r="W36" s="1559">
        <f t="shared" si="14"/>
        <v>100</v>
      </c>
      <c r="X36" s="1552"/>
      <c r="Y36" s="3413"/>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13"/>
      <c r="Q37" s="1557" t="str">
        <f t="shared" si="11"/>
        <v>内部装修状况</v>
      </c>
      <c r="R37" s="1558" t="s">
        <v>8</v>
      </c>
      <c r="S37" s="1559">
        <f t="shared" si="12"/>
        <v>100</v>
      </c>
      <c r="T37" s="1558" t="s">
        <v>8</v>
      </c>
      <c r="U37" s="1559">
        <f t="shared" si="13"/>
        <v>100</v>
      </c>
      <c r="V37" s="1558" t="s">
        <v>8</v>
      </c>
      <c r="W37" s="1559">
        <f t="shared" si="14"/>
        <v>100</v>
      </c>
      <c r="X37" s="1552"/>
      <c r="Y37" s="3413"/>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13"/>
      <c r="Q38" s="1589">
        <f t="shared" si="11"/>
        <v>111</v>
      </c>
      <c r="R38" s="1562" t="s">
        <v>8</v>
      </c>
      <c r="S38" s="1563">
        <f t="shared" si="12"/>
        <v>100</v>
      </c>
      <c r="T38" s="1562" t="s">
        <v>8</v>
      </c>
      <c r="U38" s="1563">
        <f t="shared" si="13"/>
        <v>100</v>
      </c>
      <c r="V38" s="1562" t="s">
        <v>8</v>
      </c>
      <c r="W38" s="1563">
        <f t="shared" si="14"/>
        <v>100</v>
      </c>
      <c r="X38" s="1564"/>
      <c r="Y38" s="3413"/>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13"/>
      <c r="Q39" s="1557">
        <f t="shared" si="11"/>
        <v>111</v>
      </c>
      <c r="R39" s="1558" t="s">
        <v>8</v>
      </c>
      <c r="S39" s="1559">
        <f t="shared" si="12"/>
        <v>100</v>
      </c>
      <c r="T39" s="1558" t="s">
        <v>8</v>
      </c>
      <c r="U39" s="1559">
        <f t="shared" si="13"/>
        <v>100</v>
      </c>
      <c r="V39" s="1558" t="s">
        <v>8</v>
      </c>
      <c r="W39" s="1559">
        <f t="shared" si="14"/>
        <v>100</v>
      </c>
      <c r="X39" s="1552"/>
      <c r="Y39" s="3413"/>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94"/>
      <c r="Q40" s="1557">
        <f t="shared" si="11"/>
        <v>111</v>
      </c>
      <c r="R40" s="1558" t="s">
        <v>8</v>
      </c>
      <c r="S40" s="1559">
        <f t="shared" si="12"/>
        <v>100</v>
      </c>
      <c r="T40" s="1558" t="s">
        <v>8</v>
      </c>
      <c r="U40" s="1559">
        <f t="shared" si="13"/>
        <v>100</v>
      </c>
      <c r="V40" s="1558" t="s">
        <v>8</v>
      </c>
      <c r="W40" s="1559">
        <f t="shared" si="14"/>
        <v>100</v>
      </c>
      <c r="X40" s="1552"/>
      <c r="Y40" s="3494"/>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76" t="str">
        <f>A41</f>
        <v>成交单价（元/平方米）</v>
      </c>
      <c r="Q41" s="3376"/>
      <c r="R41" s="3493">
        <f>E41</f>
        <v>0</v>
      </c>
      <c r="S41" s="3493"/>
      <c r="T41" s="3493">
        <f>G41</f>
        <v>0</v>
      </c>
      <c r="U41" s="3493"/>
      <c r="V41" s="3493">
        <f>I41</f>
        <v>0</v>
      </c>
      <c r="W41" s="3493"/>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76" t="str">
        <f>A42</f>
        <v>比较价格（元/平方米）</v>
      </c>
      <c r="Q42" s="3376"/>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373" t="str">
        <f>A43</f>
        <v>估价对象XX用房的比较价格（楼面单价，元/平方米）</v>
      </c>
      <c r="Q43" s="3374"/>
      <c r="R43" s="3492" t="e">
        <f>IF(F1="售价",ROUND(AVERAGE(R42:V42),0),ROUND(AVERAGE(R42:V42),1))</f>
        <v>#DIV/0!</v>
      </c>
      <c r="S43" s="3492"/>
      <c r="T43" s="3492"/>
      <c r="U43" s="3492"/>
      <c r="V43" s="3492"/>
      <c r="W43" s="349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2" t="s">
        <v>798</v>
      </c>
      <c r="D4" s="3383"/>
      <c r="E4" s="3382" t="s">
        <v>799</v>
      </c>
      <c r="F4" s="3383"/>
      <c r="G4" s="3382" t="s">
        <v>800</v>
      </c>
      <c r="H4" s="3383"/>
      <c r="I4" s="3382" t="s">
        <v>801</v>
      </c>
      <c r="J4" s="3383"/>
      <c r="K4" s="513" t="s">
        <v>802</v>
      </c>
      <c r="L4" s="2117"/>
      <c r="M4" s="2118"/>
      <c r="N4" s="2118"/>
      <c r="O4" s="2118"/>
      <c r="P4" s="3384" t="s">
        <v>803</v>
      </c>
      <c r="Q4" s="3385"/>
      <c r="R4" s="3390" t="s">
        <v>799</v>
      </c>
      <c r="S4" s="3391"/>
      <c r="T4" s="3390" t="s">
        <v>800</v>
      </c>
      <c r="U4" s="3391"/>
      <c r="V4" s="3377" t="s">
        <v>801</v>
      </c>
      <c r="W4" s="3377"/>
      <c r="X4" s="1552"/>
      <c r="Y4" s="3390" t="s">
        <v>803</v>
      </c>
      <c r="Z4" s="3391"/>
      <c r="AA4" s="3379" t="s">
        <v>799</v>
      </c>
      <c r="AB4" s="3380" t="s">
        <v>800</v>
      </c>
      <c r="AC4" s="3379" t="s">
        <v>801</v>
      </c>
    </row>
    <row r="5" spans="1:29" ht="15">
      <c r="A5" s="514"/>
      <c r="B5" s="515"/>
      <c r="C5" s="3398" t="s">
        <v>2927</v>
      </c>
      <c r="D5" s="3399"/>
      <c r="E5" s="3398" t="s">
        <v>2928</v>
      </c>
      <c r="F5" s="3399"/>
      <c r="G5" s="3398" t="s">
        <v>2929</v>
      </c>
      <c r="H5" s="3399"/>
      <c r="I5" s="3398" t="s">
        <v>2930</v>
      </c>
      <c r="J5" s="3399"/>
      <c r="K5" s="513"/>
      <c r="L5" s="2117"/>
      <c r="M5" s="2118"/>
      <c r="N5" s="2118"/>
      <c r="O5" s="2118"/>
      <c r="P5" s="3386"/>
      <c r="Q5" s="3387"/>
      <c r="R5" s="3392"/>
      <c r="S5" s="3393"/>
      <c r="T5" s="3392"/>
      <c r="U5" s="3393"/>
      <c r="V5" s="3377"/>
      <c r="W5" s="3377"/>
      <c r="X5" s="1552"/>
      <c r="Y5" s="3392"/>
      <c r="Z5" s="3393"/>
      <c r="AA5" s="3380"/>
      <c r="AB5" s="3380"/>
      <c r="AC5" s="3380"/>
    </row>
    <row r="6" spans="1:29" ht="15.75" thickBot="1">
      <c r="A6" s="516"/>
      <c r="B6" s="517"/>
      <c r="C6" s="3396" t="s">
        <v>2931</v>
      </c>
      <c r="D6" s="3397"/>
      <c r="E6" s="3400" t="s">
        <v>2931</v>
      </c>
      <c r="F6" s="3401"/>
      <c r="G6" s="3396" t="s">
        <v>2931</v>
      </c>
      <c r="H6" s="3397"/>
      <c r="I6" s="3396" t="s">
        <v>2931</v>
      </c>
      <c r="J6" s="3397"/>
      <c r="K6" s="513" t="s">
        <v>528</v>
      </c>
      <c r="L6" s="2117"/>
      <c r="M6" s="2118"/>
      <c r="N6" s="2118"/>
      <c r="O6" s="2118"/>
      <c r="P6" s="3388"/>
      <c r="Q6" s="3389"/>
      <c r="R6" s="3392"/>
      <c r="S6" s="3393"/>
      <c r="T6" s="3394"/>
      <c r="U6" s="3395"/>
      <c r="V6" s="3377"/>
      <c r="W6" s="3377"/>
      <c r="X6" s="1552"/>
      <c r="Y6" s="3394"/>
      <c r="Z6" s="3395"/>
      <c r="AA6" s="3381"/>
      <c r="AB6" s="3381"/>
      <c r="AC6" s="3381"/>
    </row>
    <row r="7" spans="1:29" s="1215" customFormat="1" ht="15.75" thickBot="1">
      <c r="A7" s="2866"/>
      <c r="B7" s="2873" t="s">
        <v>529</v>
      </c>
      <c r="C7" s="518">
        <f>'数据-取费表'!B2</f>
        <v>43663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7" t="s">
        <v>530</v>
      </c>
      <c r="Q7" s="3409"/>
      <c r="R7" s="1553" t="s">
        <v>8</v>
      </c>
      <c r="S7" s="1554">
        <f t="shared" ref="S7:S14" si="0">F7</f>
        <v>0</v>
      </c>
      <c r="T7" s="1553" t="s">
        <v>8</v>
      </c>
      <c r="U7" s="1554">
        <f t="shared" ref="U7:U14" si="1">H7</f>
        <v>0</v>
      </c>
      <c r="V7" s="1553" t="s">
        <v>8</v>
      </c>
      <c r="W7" s="1554">
        <f t="shared" ref="W7:W14" si="2">J7</f>
        <v>0</v>
      </c>
      <c r="X7" s="1555"/>
      <c r="Y7" s="3407" t="s">
        <v>530</v>
      </c>
      <c r="Z7" s="3408"/>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7" t="s">
        <v>533</v>
      </c>
      <c r="Q8" s="3408"/>
      <c r="R8" s="1553" t="s">
        <v>8</v>
      </c>
      <c r="S8" s="1554">
        <f t="shared" si="0"/>
        <v>0</v>
      </c>
      <c r="T8" s="1553" t="s">
        <v>8</v>
      </c>
      <c r="U8" s="1554">
        <f t="shared" si="1"/>
        <v>0</v>
      </c>
      <c r="V8" s="1553" t="s">
        <v>8</v>
      </c>
      <c r="W8" s="1554">
        <f t="shared" si="2"/>
        <v>0</v>
      </c>
      <c r="X8" s="1555"/>
      <c r="Y8" s="3407" t="s">
        <v>533</v>
      </c>
      <c r="Z8" s="3408"/>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6" t="s">
        <v>535</v>
      </c>
      <c r="Q9" s="1146" t="str">
        <f t="shared" ref="Q9:Q14" si="6">B9</f>
        <v>用途</v>
      </c>
      <c r="R9" s="1553" t="s">
        <v>8</v>
      </c>
      <c r="S9" s="1554">
        <f t="shared" si="0"/>
        <v>100</v>
      </c>
      <c r="T9" s="1553" t="s">
        <v>8</v>
      </c>
      <c r="U9" s="1554">
        <f t="shared" si="1"/>
        <v>100</v>
      </c>
      <c r="V9" s="1553" t="s">
        <v>8</v>
      </c>
      <c r="W9" s="1554">
        <f t="shared" si="2"/>
        <v>100</v>
      </c>
      <c r="X9" s="1555"/>
      <c r="Y9" s="3322"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6"/>
      <c r="Q11" s="1146">
        <f t="shared" si="6"/>
        <v>111</v>
      </c>
      <c r="R11" s="1553" t="s">
        <v>8</v>
      </c>
      <c r="S11" s="1554">
        <f t="shared" si="0"/>
        <v>100</v>
      </c>
      <c r="T11" s="1553" t="s">
        <v>8</v>
      </c>
      <c r="U11" s="1554">
        <f t="shared" si="1"/>
        <v>100</v>
      </c>
      <c r="V11" s="1553" t="s">
        <v>8</v>
      </c>
      <c r="W11" s="1554">
        <f t="shared" si="2"/>
        <v>100</v>
      </c>
      <c r="X11" s="1555"/>
      <c r="Y11" s="3322"/>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
      <c r="A14" s="2864" t="s">
        <v>2754</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10" t="s">
        <v>540</v>
      </c>
      <c r="Q14" s="1557" t="str">
        <f t="shared" si="6"/>
        <v>交通便捷度</v>
      </c>
      <c r="R14" s="1558" t="s">
        <v>8</v>
      </c>
      <c r="S14" s="1559">
        <f t="shared" si="0"/>
        <v>100</v>
      </c>
      <c r="T14" s="1558" t="s">
        <v>8</v>
      </c>
      <c r="U14" s="1559">
        <f t="shared" si="1"/>
        <v>100</v>
      </c>
      <c r="V14" s="1558" t="s">
        <v>8</v>
      </c>
      <c r="W14" s="1559">
        <f t="shared" si="2"/>
        <v>100</v>
      </c>
      <c r="X14" s="1552"/>
      <c r="Y14" s="3410"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11"/>
      <c r="Q15" s="1557"/>
      <c r="R15" s="1558"/>
      <c r="S15" s="1559"/>
      <c r="T15" s="1558"/>
      <c r="U15" s="1559"/>
      <c r="V15" s="1558"/>
      <c r="W15" s="1559"/>
      <c r="X15" s="1552"/>
      <c r="Y15" s="3411"/>
      <c r="Z15" s="1560"/>
      <c r="AA15" s="1561">
        <v>1</v>
      </c>
      <c r="AB15" s="1561">
        <v>1</v>
      </c>
      <c r="AC15" s="1561">
        <v>1</v>
      </c>
    </row>
    <row r="16" spans="1:29" ht="15">
      <c r="A16" s="514"/>
      <c r="B16" s="2566" t="s">
        <v>2546</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11"/>
      <c r="Q17" s="1557"/>
      <c r="R17" s="1558"/>
      <c r="S17" s="1559"/>
      <c r="T17" s="1558"/>
      <c r="U17" s="1559"/>
      <c r="V17" s="1558"/>
      <c r="W17" s="1559"/>
      <c r="X17" s="1552"/>
      <c r="Y17" s="3411"/>
      <c r="Z17" s="1560"/>
      <c r="AA17" s="1561">
        <v>1</v>
      </c>
      <c r="AB17" s="1561">
        <v>1</v>
      </c>
      <c r="AC17" s="1561">
        <v>1</v>
      </c>
    </row>
    <row r="18" spans="1:29" ht="15">
      <c r="A18" s="514"/>
      <c r="B18" s="2554" t="s">
        <v>2558</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11"/>
      <c r="Q18" s="2542" t="str">
        <f>B18</f>
        <v>基础设施水平</v>
      </c>
      <c r="R18" s="1558" t="s">
        <v>8</v>
      </c>
      <c r="S18" s="1559">
        <f>F18</f>
        <v>100</v>
      </c>
      <c r="T18" s="1558" t="s">
        <v>8</v>
      </c>
      <c r="U18" s="1559">
        <f>H18</f>
        <v>100</v>
      </c>
      <c r="V18" s="1558" t="s">
        <v>8</v>
      </c>
      <c r="W18" s="1559">
        <f>J18</f>
        <v>100</v>
      </c>
      <c r="X18" s="2544"/>
      <c r="Y18" s="3411"/>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11"/>
      <c r="Q19" s="2542"/>
      <c r="R19" s="1558"/>
      <c r="S19" s="1559"/>
      <c r="T19" s="1558"/>
      <c r="U19" s="1559"/>
      <c r="V19" s="1558"/>
      <c r="W19" s="1559"/>
      <c r="X19" s="2544"/>
      <c r="Y19" s="3411"/>
      <c r="Z19" s="2543"/>
      <c r="AA19" s="1561">
        <v>1</v>
      </c>
      <c r="AB19" s="1561">
        <v>1</v>
      </c>
      <c r="AC19" s="1561">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11"/>
      <c r="Q21" s="1557"/>
      <c r="R21" s="1558"/>
      <c r="S21" s="1559"/>
      <c r="T21" s="1558"/>
      <c r="U21" s="1559"/>
      <c r="V21" s="1558"/>
      <c r="W21" s="1559"/>
      <c r="X21" s="1552"/>
      <c r="Y21" s="3411"/>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11"/>
      <c r="Q24" s="1557">
        <f t="shared" ref="Q24:Q36"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11"/>
      <c r="Q25" s="1146">
        <f t="shared" si="11"/>
        <v>111</v>
      </c>
      <c r="R25" s="1553" t="s">
        <v>8</v>
      </c>
      <c r="S25" s="1554">
        <f>F25</f>
        <v>100</v>
      </c>
      <c r="T25" s="1553" t="s">
        <v>8</v>
      </c>
      <c r="U25" s="1554">
        <f>H25</f>
        <v>100</v>
      </c>
      <c r="V25" s="1553" t="s">
        <v>8</v>
      </c>
      <c r="W25" s="1554">
        <f>J25</f>
        <v>100</v>
      </c>
      <c r="X25" s="1555"/>
      <c r="Y25" s="3411"/>
      <c r="Z25" s="1145">
        <f>Q25</f>
        <v>111</v>
      </c>
      <c r="AA25" s="1561">
        <f>D25/F25</f>
        <v>1</v>
      </c>
      <c r="AB25" s="1561">
        <f>D25/H25</f>
        <v>1</v>
      </c>
      <c r="AC25" s="1561">
        <f>D25/J25</f>
        <v>1</v>
      </c>
    </row>
    <row r="26" spans="1:29" ht="15">
      <c r="A26" s="2861" t="s">
        <v>2755</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1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3"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13"/>
      <c r="Q27" s="1589" t="str">
        <f t="shared" si="11"/>
        <v>项目停车位配比</v>
      </c>
      <c r="R27" s="1562" t="s">
        <v>8</v>
      </c>
      <c r="S27" s="1563">
        <f t="shared" si="12"/>
        <v>100</v>
      </c>
      <c r="T27" s="1562" t="s">
        <v>8</v>
      </c>
      <c r="U27" s="1563">
        <f t="shared" si="13"/>
        <v>100</v>
      </c>
      <c r="V27" s="1562" t="s">
        <v>8</v>
      </c>
      <c r="W27" s="1563">
        <f t="shared" si="14"/>
        <v>100</v>
      </c>
      <c r="X27" s="1564"/>
      <c r="Y27" s="3413"/>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13"/>
      <c r="Q28" s="1557" t="str">
        <f t="shared" si="11"/>
        <v>公共部分装修</v>
      </c>
      <c r="R28" s="1558" t="s">
        <v>8</v>
      </c>
      <c r="S28" s="1559">
        <f t="shared" si="12"/>
        <v>100</v>
      </c>
      <c r="T28" s="1558" t="s">
        <v>8</v>
      </c>
      <c r="U28" s="1559">
        <f t="shared" si="13"/>
        <v>100</v>
      </c>
      <c r="V28" s="1558" t="s">
        <v>8</v>
      </c>
      <c r="W28" s="1559">
        <f t="shared" si="14"/>
        <v>100</v>
      </c>
      <c r="X28" s="1552"/>
      <c r="Y28" s="3413"/>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13"/>
      <c r="Q29" s="1557" t="str">
        <f t="shared" si="11"/>
        <v>成新率</v>
      </c>
      <c r="R29" s="1558" t="s">
        <v>8</v>
      </c>
      <c r="S29" s="1559" t="e">
        <f t="shared" si="12"/>
        <v>#N/A</v>
      </c>
      <c r="T29" s="1558" t="s">
        <v>8</v>
      </c>
      <c r="U29" s="1559" t="e">
        <f t="shared" si="13"/>
        <v>#N/A</v>
      </c>
      <c r="V29" s="1558" t="s">
        <v>8</v>
      </c>
      <c r="W29" s="1559" t="e">
        <f t="shared" si="14"/>
        <v>#N/A</v>
      </c>
      <c r="X29" s="1552"/>
      <c r="Y29" s="3413"/>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13"/>
      <c r="Q30" s="1557" t="str">
        <f t="shared" si="11"/>
        <v>物业等级</v>
      </c>
      <c r="R30" s="1558" t="s">
        <v>8</v>
      </c>
      <c r="S30" s="1559">
        <f t="shared" si="12"/>
        <v>100</v>
      </c>
      <c r="T30" s="1558" t="s">
        <v>8</v>
      </c>
      <c r="U30" s="1559">
        <f t="shared" si="13"/>
        <v>100</v>
      </c>
      <c r="V30" s="1558" t="s">
        <v>8</v>
      </c>
      <c r="W30" s="1559">
        <f t="shared" si="14"/>
        <v>100</v>
      </c>
      <c r="X30" s="1552"/>
      <c r="Y30" s="3413"/>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13"/>
      <c r="Q31" s="1146" t="str">
        <f t="shared" si="11"/>
        <v>停车位面积</v>
      </c>
      <c r="R31" s="1553" t="s">
        <v>8</v>
      </c>
      <c r="S31" s="1554" t="e">
        <f t="shared" si="12"/>
        <v>#N/A</v>
      </c>
      <c r="T31" s="1553" t="s">
        <v>8</v>
      </c>
      <c r="U31" s="1554" t="e">
        <f t="shared" si="13"/>
        <v>#N/A</v>
      </c>
      <c r="V31" s="1553" t="s">
        <v>8</v>
      </c>
      <c r="W31" s="1554" t="e">
        <f t="shared" si="14"/>
        <v>#N/A</v>
      </c>
      <c r="X31" s="1555"/>
      <c r="Y31" s="3413"/>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13" t="s">
        <v>550</v>
      </c>
      <c r="Q32" s="1557" t="str">
        <f t="shared" si="11"/>
        <v>车位类型</v>
      </c>
      <c r="R32" s="1558" t="s">
        <v>8</v>
      </c>
      <c r="S32" s="1559">
        <f t="shared" si="12"/>
        <v>100</v>
      </c>
      <c r="T32" s="1558" t="s">
        <v>8</v>
      </c>
      <c r="U32" s="1559">
        <f t="shared" si="13"/>
        <v>100</v>
      </c>
      <c r="V32" s="1558" t="s">
        <v>8</v>
      </c>
      <c r="W32" s="1559">
        <f t="shared" si="14"/>
        <v>100</v>
      </c>
      <c r="X32" s="1552"/>
      <c r="Y32" s="3413"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13"/>
      <c r="Q33" s="1557" t="str">
        <f t="shared" si="11"/>
        <v>是否直接入户</v>
      </c>
      <c r="R33" s="1558" t="s">
        <v>8</v>
      </c>
      <c r="S33" s="1559">
        <f t="shared" si="12"/>
        <v>100</v>
      </c>
      <c r="T33" s="1558" t="s">
        <v>8</v>
      </c>
      <c r="U33" s="1559">
        <f t="shared" si="13"/>
        <v>100</v>
      </c>
      <c r="V33" s="1558" t="s">
        <v>8</v>
      </c>
      <c r="W33" s="1559">
        <f t="shared" si="14"/>
        <v>100</v>
      </c>
      <c r="X33" s="1552"/>
      <c r="Y33" s="3413"/>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13"/>
      <c r="Q35" s="1589">
        <f t="shared" si="11"/>
        <v>111</v>
      </c>
      <c r="R35" s="1562" t="s">
        <v>8</v>
      </c>
      <c r="S35" s="1563">
        <f t="shared" si="12"/>
        <v>100</v>
      </c>
      <c r="T35" s="1562" t="s">
        <v>8</v>
      </c>
      <c r="U35" s="1563">
        <f t="shared" si="13"/>
        <v>100</v>
      </c>
      <c r="V35" s="1562" t="s">
        <v>8</v>
      </c>
      <c r="W35" s="1563">
        <f t="shared" si="14"/>
        <v>100</v>
      </c>
      <c r="X35" s="1564"/>
      <c r="Y35" s="3413"/>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13"/>
      <c r="Q36" s="1557">
        <f t="shared" si="11"/>
        <v>111</v>
      </c>
      <c r="R36" s="1558" t="s">
        <v>8</v>
      </c>
      <c r="S36" s="1559">
        <f t="shared" si="12"/>
        <v>100</v>
      </c>
      <c r="T36" s="1558" t="s">
        <v>8</v>
      </c>
      <c r="U36" s="1559">
        <f t="shared" si="13"/>
        <v>100</v>
      </c>
      <c r="V36" s="1558" t="s">
        <v>8</v>
      </c>
      <c r="W36" s="1559">
        <f t="shared" si="14"/>
        <v>100</v>
      </c>
      <c r="X36" s="1552"/>
      <c r="Y36" s="3413"/>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76" t="str">
        <f>A37</f>
        <v>成交单价</v>
      </c>
      <c r="Q37" s="3376"/>
      <c r="R37" s="3493">
        <f>E37</f>
        <v>0</v>
      </c>
      <c r="S37" s="3493"/>
      <c r="T37" s="3493">
        <f>G37</f>
        <v>0</v>
      </c>
      <c r="U37" s="3493"/>
      <c r="V37" s="3493">
        <f>I37</f>
        <v>0</v>
      </c>
      <c r="W37" s="3493"/>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76" t="str">
        <f>A38</f>
        <v>比较价格（元/平方米）</v>
      </c>
      <c r="Q38" s="3376"/>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373" t="str">
        <f>A39</f>
        <v>估价对象XX用房的比较价格（楼面单价，元/平方米）</v>
      </c>
      <c r="Q39" s="3374"/>
      <c r="R39" s="3492" t="e">
        <f>IF(F1="售价",ROUND(AVERAGE(R38:V38),0),ROUND(AVERAGE(R38:V38),1))</f>
        <v>#DIV/0!</v>
      </c>
      <c r="S39" s="3492"/>
      <c r="T39" s="3492"/>
      <c r="U39" s="3492"/>
      <c r="V39" s="3492"/>
      <c r="W39" s="349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26425平方米。根据《建设工程规划许可证》[]、《出让合同》[]，估价对象规划建筑面积为374106平方米。</v>
      </c>
    </row>
    <row r="7" spans="1:4" ht="93.75">
      <c r="A7" s="2827" t="s">
        <v>2748</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2019年7月17日（评估专业人员勘察现场之日）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根据《国有土地使用证》[]，估价对象（分摊）出让国有建设用地使用权面积为26425平方米。根据《建设工程规划许可证》[]、《出让合同》[]，估价对象规划建筑面积为374106平方米。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2" t="s">
        <v>798</v>
      </c>
      <c r="D4" s="3383"/>
      <c r="E4" s="3416" t="s">
        <v>799</v>
      </c>
      <c r="F4" s="3417"/>
      <c r="G4" s="3382" t="s">
        <v>800</v>
      </c>
      <c r="H4" s="3383"/>
      <c r="I4" s="3382" t="s">
        <v>801</v>
      </c>
      <c r="J4" s="3383"/>
      <c r="K4" s="513" t="s">
        <v>802</v>
      </c>
      <c r="L4" s="2117"/>
      <c r="M4" s="2118"/>
      <c r="N4" s="2118"/>
      <c r="O4" s="2118"/>
      <c r="P4" s="3384" t="s">
        <v>803</v>
      </c>
      <c r="Q4" s="3385"/>
      <c r="R4" s="3390" t="s">
        <v>799</v>
      </c>
      <c r="S4" s="3391"/>
      <c r="T4" s="3390" t="s">
        <v>800</v>
      </c>
      <c r="U4" s="3391"/>
      <c r="V4" s="3377" t="s">
        <v>801</v>
      </c>
      <c r="W4" s="3377"/>
      <c r="X4" s="1552"/>
      <c r="Y4" s="3390" t="s">
        <v>803</v>
      </c>
      <c r="Z4" s="3391"/>
      <c r="AA4" s="3379" t="s">
        <v>799</v>
      </c>
      <c r="AB4" s="3380" t="s">
        <v>800</v>
      </c>
      <c r="AC4" s="3379" t="s">
        <v>801</v>
      </c>
    </row>
    <row r="5" spans="1:29" ht="15">
      <c r="A5" s="514"/>
      <c r="B5" s="515"/>
      <c r="C5" s="3398" t="s">
        <v>2927</v>
      </c>
      <c r="D5" s="3399"/>
      <c r="E5" s="3418" t="s">
        <v>2928</v>
      </c>
      <c r="F5" s="3419"/>
      <c r="G5" s="3398" t="s">
        <v>2929</v>
      </c>
      <c r="H5" s="3399"/>
      <c r="I5" s="3398" t="s">
        <v>2930</v>
      </c>
      <c r="J5" s="3399"/>
      <c r="K5" s="513"/>
      <c r="L5" s="2117"/>
      <c r="M5" s="2118"/>
      <c r="N5" s="2118"/>
      <c r="O5" s="2118"/>
      <c r="P5" s="3386"/>
      <c r="Q5" s="3387"/>
      <c r="R5" s="3392"/>
      <c r="S5" s="3393"/>
      <c r="T5" s="3392"/>
      <c r="U5" s="3393"/>
      <c r="V5" s="3377"/>
      <c r="W5" s="3377"/>
      <c r="X5" s="1552"/>
      <c r="Y5" s="3392"/>
      <c r="Z5" s="3393"/>
      <c r="AA5" s="3380"/>
      <c r="AB5" s="3380"/>
      <c r="AC5" s="3380"/>
    </row>
    <row r="6" spans="1:29" ht="15.75" thickBot="1">
      <c r="A6" s="516"/>
      <c r="B6" s="517"/>
      <c r="C6" s="3396" t="s">
        <v>2931</v>
      </c>
      <c r="D6" s="3397"/>
      <c r="E6" s="3414" t="s">
        <v>2931</v>
      </c>
      <c r="F6" s="3415"/>
      <c r="G6" s="3396" t="s">
        <v>2931</v>
      </c>
      <c r="H6" s="3397"/>
      <c r="I6" s="3396" t="s">
        <v>2931</v>
      </c>
      <c r="J6" s="3397"/>
      <c r="K6" s="513" t="s">
        <v>528</v>
      </c>
      <c r="L6" s="2117"/>
      <c r="M6" s="2118"/>
      <c r="N6" s="2118"/>
      <c r="O6" s="2118"/>
      <c r="P6" s="3388"/>
      <c r="Q6" s="3389"/>
      <c r="R6" s="3392"/>
      <c r="S6" s="3393"/>
      <c r="T6" s="3394"/>
      <c r="U6" s="3395"/>
      <c r="V6" s="3377"/>
      <c r="W6" s="3377"/>
      <c r="X6" s="1552"/>
      <c r="Y6" s="3394"/>
      <c r="Z6" s="3395"/>
      <c r="AA6" s="3381"/>
      <c r="AB6" s="3381"/>
      <c r="AC6" s="3381"/>
    </row>
    <row r="7" spans="1:29" s="1215" customFormat="1" ht="15.75" thickBot="1">
      <c r="A7" s="2866"/>
      <c r="B7" s="2873" t="s">
        <v>529</v>
      </c>
      <c r="C7" s="518">
        <f>'数据-取费表'!B2</f>
        <v>43663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7" t="s">
        <v>530</v>
      </c>
      <c r="Q7" s="3409"/>
      <c r="R7" s="1553" t="s">
        <v>8</v>
      </c>
      <c r="S7" s="1554">
        <f t="shared" ref="S7:S14" si="0">F7</f>
        <v>0</v>
      </c>
      <c r="T7" s="1553" t="s">
        <v>8</v>
      </c>
      <c r="U7" s="1554">
        <f t="shared" ref="U7:U14" si="1">H7</f>
        <v>0</v>
      </c>
      <c r="V7" s="1553" t="s">
        <v>8</v>
      </c>
      <c r="W7" s="1554">
        <f t="shared" ref="W7:W14" si="2">J7</f>
        <v>0</v>
      </c>
      <c r="X7" s="1555"/>
      <c r="Y7" s="3407" t="s">
        <v>530</v>
      </c>
      <c r="Z7" s="3408"/>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7" t="s">
        <v>533</v>
      </c>
      <c r="Q8" s="3408"/>
      <c r="R8" s="1553" t="s">
        <v>8</v>
      </c>
      <c r="S8" s="1554">
        <f t="shared" si="0"/>
        <v>0</v>
      </c>
      <c r="T8" s="1553" t="s">
        <v>8</v>
      </c>
      <c r="U8" s="1554">
        <f t="shared" si="1"/>
        <v>0</v>
      </c>
      <c r="V8" s="1553" t="s">
        <v>8</v>
      </c>
      <c r="W8" s="1554">
        <f t="shared" si="2"/>
        <v>0</v>
      </c>
      <c r="X8" s="1555"/>
      <c r="Y8" s="3407" t="s">
        <v>533</v>
      </c>
      <c r="Z8" s="3408"/>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6" t="s">
        <v>535</v>
      </c>
      <c r="Q9" s="1146" t="str">
        <f t="shared" ref="Q9:Q14" si="6">B9</f>
        <v>用途</v>
      </c>
      <c r="R9" s="1553" t="s">
        <v>8</v>
      </c>
      <c r="S9" s="1554">
        <f t="shared" si="0"/>
        <v>100</v>
      </c>
      <c r="T9" s="1553" t="s">
        <v>8</v>
      </c>
      <c r="U9" s="1554">
        <f t="shared" si="1"/>
        <v>100</v>
      </c>
      <c r="V9" s="1553" t="s">
        <v>8</v>
      </c>
      <c r="W9" s="1554">
        <f t="shared" si="2"/>
        <v>100</v>
      </c>
      <c r="X9" s="1555"/>
      <c r="Y9" s="3322"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6"/>
      <c r="Q10" s="1146" t="str">
        <f t="shared" si="6"/>
        <v>土地使用年限（年）</v>
      </c>
      <c r="R10" s="1553" t="s">
        <v>8</v>
      </c>
      <c r="S10" s="1554">
        <f t="shared" si="0"/>
        <v>100</v>
      </c>
      <c r="T10" s="1553" t="s">
        <v>8</v>
      </c>
      <c r="U10" s="1554">
        <f t="shared" si="1"/>
        <v>100</v>
      </c>
      <c r="V10" s="1553" t="s">
        <v>8</v>
      </c>
      <c r="W10" s="1554">
        <f t="shared" si="2"/>
        <v>100</v>
      </c>
      <c r="X10" s="1555"/>
      <c r="Y10" s="3322"/>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6"/>
      <c r="Q11" s="1146">
        <f t="shared" si="6"/>
        <v>111</v>
      </c>
      <c r="R11" s="1553" t="s">
        <v>8</v>
      </c>
      <c r="S11" s="1554">
        <f t="shared" si="0"/>
        <v>100</v>
      </c>
      <c r="T11" s="1553" t="s">
        <v>8</v>
      </c>
      <c r="U11" s="1554">
        <f t="shared" si="1"/>
        <v>100</v>
      </c>
      <c r="V11" s="1553" t="s">
        <v>8</v>
      </c>
      <c r="W11" s="1554">
        <f t="shared" si="2"/>
        <v>100</v>
      </c>
      <c r="X11" s="1555"/>
      <c r="Y11" s="3322"/>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6"/>
      <c r="Q12" s="1146">
        <f t="shared" si="6"/>
        <v>111</v>
      </c>
      <c r="R12" s="1553" t="s">
        <v>8</v>
      </c>
      <c r="S12" s="1554">
        <f t="shared" si="0"/>
        <v>100</v>
      </c>
      <c r="T12" s="1553" t="s">
        <v>8</v>
      </c>
      <c r="U12" s="1554">
        <f t="shared" si="1"/>
        <v>100</v>
      </c>
      <c r="V12" s="1553" t="s">
        <v>8</v>
      </c>
      <c r="W12" s="1554">
        <f t="shared" si="2"/>
        <v>100</v>
      </c>
      <c r="X12" s="1555"/>
      <c r="Y12" s="3322"/>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6"/>
      <c r="Q13" s="1146">
        <f t="shared" si="6"/>
        <v>111</v>
      </c>
      <c r="R13" s="1553" t="s">
        <v>8</v>
      </c>
      <c r="S13" s="1554">
        <f t="shared" si="0"/>
        <v>100</v>
      </c>
      <c r="T13" s="1553" t="s">
        <v>8</v>
      </c>
      <c r="U13" s="1554">
        <f t="shared" si="1"/>
        <v>100</v>
      </c>
      <c r="V13" s="1553" t="s">
        <v>8</v>
      </c>
      <c r="W13" s="1554">
        <f t="shared" si="2"/>
        <v>100</v>
      </c>
      <c r="X13" s="1555"/>
      <c r="Y13" s="3322"/>
      <c r="Z13" s="1145">
        <f t="shared" si="7"/>
        <v>111</v>
      </c>
      <c r="AA13" s="1556">
        <f t="shared" si="3"/>
        <v>1</v>
      </c>
      <c r="AB13" s="1556">
        <f t="shared" si="4"/>
        <v>1</v>
      </c>
      <c r="AC13" s="1556">
        <f t="shared" si="5"/>
        <v>1</v>
      </c>
    </row>
    <row r="14" spans="1:29" ht="15">
      <c r="A14" s="2864" t="s">
        <v>2754</v>
      </c>
      <c r="B14" s="165"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10" t="s">
        <v>540</v>
      </c>
      <c r="Q14" s="1557" t="str">
        <f t="shared" si="6"/>
        <v>交通便捷度</v>
      </c>
      <c r="R14" s="1558" t="s">
        <v>8</v>
      </c>
      <c r="S14" s="1559">
        <f t="shared" si="0"/>
        <v>100</v>
      </c>
      <c r="T14" s="1558" t="s">
        <v>8</v>
      </c>
      <c r="U14" s="1559">
        <f t="shared" si="1"/>
        <v>100</v>
      </c>
      <c r="V14" s="1558" t="s">
        <v>8</v>
      </c>
      <c r="W14" s="1559">
        <f t="shared" si="2"/>
        <v>100</v>
      </c>
      <c r="X14" s="1552"/>
      <c r="Y14" s="3410"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11"/>
      <c r="Q15" s="1557"/>
      <c r="R15" s="1558"/>
      <c r="S15" s="1559"/>
      <c r="T15" s="1558"/>
      <c r="U15" s="1559"/>
      <c r="V15" s="1558"/>
      <c r="W15" s="1559"/>
      <c r="X15" s="1552"/>
      <c r="Y15" s="3411"/>
      <c r="Z15" s="1560"/>
      <c r="AA15" s="1561">
        <v>1</v>
      </c>
      <c r="AB15" s="1561">
        <v>1</v>
      </c>
      <c r="AC15" s="1561">
        <v>1</v>
      </c>
    </row>
    <row r="16" spans="1:29" ht="15">
      <c r="A16" s="531"/>
      <c r="B16" s="2566" t="s">
        <v>2546</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11"/>
      <c r="Q17" s="1557"/>
      <c r="R17" s="1558"/>
      <c r="S17" s="1559"/>
      <c r="T17" s="1558"/>
      <c r="U17" s="1559"/>
      <c r="V17" s="1558"/>
      <c r="W17" s="1559"/>
      <c r="X17" s="1552"/>
      <c r="Y17" s="3411"/>
      <c r="Z17" s="1560"/>
      <c r="AA17" s="1561">
        <v>1</v>
      </c>
      <c r="AB17" s="1561">
        <v>1</v>
      </c>
      <c r="AC17" s="1561">
        <v>1</v>
      </c>
    </row>
    <row r="18" spans="1:29" ht="15">
      <c r="A18" s="531"/>
      <c r="B18" s="2554" t="s">
        <v>2558</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11"/>
      <c r="Q18" s="2542" t="str">
        <f>B18</f>
        <v>基础设施水平</v>
      </c>
      <c r="R18" s="1558" t="s">
        <v>8</v>
      </c>
      <c r="S18" s="1559">
        <f>F18</f>
        <v>100</v>
      </c>
      <c r="T18" s="1558" t="s">
        <v>8</v>
      </c>
      <c r="U18" s="1559">
        <f>H18</f>
        <v>100</v>
      </c>
      <c r="V18" s="1558" t="s">
        <v>8</v>
      </c>
      <c r="W18" s="1559">
        <f>J18</f>
        <v>100</v>
      </c>
      <c r="X18" s="2544"/>
      <c r="Y18" s="3411"/>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11"/>
      <c r="Q19" s="2542"/>
      <c r="R19" s="1558"/>
      <c r="S19" s="1559"/>
      <c r="T19" s="1558"/>
      <c r="U19" s="1559"/>
      <c r="V19" s="1558"/>
      <c r="W19" s="1559"/>
      <c r="X19" s="2544"/>
      <c r="Y19" s="3411"/>
      <c r="Z19" s="2543"/>
      <c r="AA19" s="1561">
        <v>1</v>
      </c>
      <c r="AB19" s="1561">
        <v>1</v>
      </c>
      <c r="AC19" s="1561">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11"/>
      <c r="Q21" s="1557"/>
      <c r="R21" s="1558"/>
      <c r="S21" s="1559"/>
      <c r="T21" s="1558"/>
      <c r="U21" s="1559"/>
      <c r="V21" s="1558"/>
      <c r="W21" s="1559"/>
      <c r="X21" s="1552"/>
      <c r="Y21" s="3411"/>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11"/>
      <c r="Q24" s="1557">
        <f t="shared" ref="Q24:Q34"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11"/>
      <c r="Q25" s="1146">
        <f t="shared" si="11"/>
        <v>111</v>
      </c>
      <c r="R25" s="1553" t="s">
        <v>8</v>
      </c>
      <c r="S25" s="1554">
        <f>F25</f>
        <v>100</v>
      </c>
      <c r="T25" s="1553" t="s">
        <v>8</v>
      </c>
      <c r="U25" s="1554">
        <f>H25</f>
        <v>100</v>
      </c>
      <c r="V25" s="1553" t="s">
        <v>8</v>
      </c>
      <c r="W25" s="1554">
        <f>J25</f>
        <v>100</v>
      </c>
      <c r="X25" s="1555"/>
      <c r="Y25" s="3411"/>
      <c r="Z25" s="1145">
        <f>Q25</f>
        <v>111</v>
      </c>
      <c r="AA25" s="1561">
        <f>D25/F25</f>
        <v>1</v>
      </c>
      <c r="AB25" s="1561">
        <f>D25/H25</f>
        <v>1</v>
      </c>
      <c r="AC25" s="1561">
        <f>D25/J25</f>
        <v>1</v>
      </c>
    </row>
    <row r="26" spans="1:29" ht="15">
      <c r="A26" s="2861" t="s">
        <v>2755</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1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3"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13"/>
      <c r="Q27" s="1589" t="str">
        <f t="shared" si="11"/>
        <v>成新率</v>
      </c>
      <c r="R27" s="1562" t="s">
        <v>8</v>
      </c>
      <c r="S27" s="1563" t="e">
        <f t="shared" si="12"/>
        <v>#N/A</v>
      </c>
      <c r="T27" s="1562" t="s">
        <v>8</v>
      </c>
      <c r="U27" s="1563" t="e">
        <f t="shared" si="13"/>
        <v>#N/A</v>
      </c>
      <c r="V27" s="1562" t="s">
        <v>8</v>
      </c>
      <c r="W27" s="1563" t="e">
        <f t="shared" si="14"/>
        <v>#N/A</v>
      </c>
      <c r="X27" s="1564"/>
      <c r="Y27" s="3413"/>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13"/>
      <c r="Q28" s="1557" t="str">
        <f t="shared" si="11"/>
        <v>物业等级</v>
      </c>
      <c r="R28" s="1558" t="s">
        <v>8</v>
      </c>
      <c r="S28" s="1559">
        <f t="shared" si="12"/>
        <v>100</v>
      </c>
      <c r="T28" s="1558" t="s">
        <v>8</v>
      </c>
      <c r="U28" s="1559">
        <f t="shared" si="13"/>
        <v>100</v>
      </c>
      <c r="V28" s="1558" t="s">
        <v>8</v>
      </c>
      <c r="W28" s="1559">
        <f t="shared" si="14"/>
        <v>100</v>
      </c>
      <c r="X28" s="1552"/>
      <c r="Y28" s="3413"/>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13"/>
      <c r="Q29" s="1557" t="str">
        <f t="shared" si="11"/>
        <v>有无电梯</v>
      </c>
      <c r="R29" s="1558" t="s">
        <v>8</v>
      </c>
      <c r="S29" s="1559">
        <f t="shared" si="12"/>
        <v>100</v>
      </c>
      <c r="T29" s="1558" t="s">
        <v>8</v>
      </c>
      <c r="U29" s="1559">
        <f t="shared" si="13"/>
        <v>100</v>
      </c>
      <c r="V29" s="1558" t="s">
        <v>8</v>
      </c>
      <c r="W29" s="1559">
        <f t="shared" si="14"/>
        <v>100</v>
      </c>
      <c r="X29" s="1552"/>
      <c r="Y29" s="3413"/>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13"/>
      <c r="Q30" s="1557" t="str">
        <f t="shared" si="11"/>
        <v>建筑面积</v>
      </c>
      <c r="R30" s="1558" t="s">
        <v>8</v>
      </c>
      <c r="S30" s="1559" t="e">
        <f t="shared" si="12"/>
        <v>#N/A</v>
      </c>
      <c r="T30" s="1558" t="s">
        <v>8</v>
      </c>
      <c r="U30" s="1559" t="e">
        <f t="shared" si="13"/>
        <v>#N/A</v>
      </c>
      <c r="V30" s="1558" t="s">
        <v>8</v>
      </c>
      <c r="W30" s="1559" t="e">
        <f t="shared" si="14"/>
        <v>#N/A</v>
      </c>
      <c r="X30" s="1552"/>
      <c r="Y30" s="3413"/>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13"/>
      <c r="Q31" s="1146" t="str">
        <f t="shared" si="11"/>
        <v>是否封闭</v>
      </c>
      <c r="R31" s="1553" t="s">
        <v>8</v>
      </c>
      <c r="S31" s="1554">
        <f t="shared" si="12"/>
        <v>100</v>
      </c>
      <c r="T31" s="1553" t="s">
        <v>8</v>
      </c>
      <c r="U31" s="1554">
        <f t="shared" si="13"/>
        <v>100</v>
      </c>
      <c r="V31" s="1553" t="s">
        <v>8</v>
      </c>
      <c r="W31" s="1554">
        <f t="shared" si="14"/>
        <v>100</v>
      </c>
      <c r="X31" s="1555"/>
      <c r="Y31" s="3413"/>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13" t="s">
        <v>550</v>
      </c>
      <c r="Q32" s="1557">
        <f t="shared" si="11"/>
        <v>111</v>
      </c>
      <c r="R32" s="1558" t="s">
        <v>8</v>
      </c>
      <c r="S32" s="1559">
        <f t="shared" si="12"/>
        <v>100</v>
      </c>
      <c r="T32" s="1558" t="s">
        <v>8</v>
      </c>
      <c r="U32" s="1559">
        <f t="shared" si="13"/>
        <v>100</v>
      </c>
      <c r="V32" s="1558" t="s">
        <v>8</v>
      </c>
      <c r="W32" s="1559">
        <f t="shared" si="14"/>
        <v>100</v>
      </c>
      <c r="X32" s="1552"/>
      <c r="Y32" s="3413"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13"/>
      <c r="Q33" s="1557">
        <f t="shared" si="11"/>
        <v>111</v>
      </c>
      <c r="R33" s="1558" t="s">
        <v>8</v>
      </c>
      <c r="S33" s="1559">
        <f t="shared" si="12"/>
        <v>100</v>
      </c>
      <c r="T33" s="1558" t="s">
        <v>8</v>
      </c>
      <c r="U33" s="1559">
        <f t="shared" si="13"/>
        <v>100</v>
      </c>
      <c r="V33" s="1558" t="s">
        <v>8</v>
      </c>
      <c r="W33" s="1559">
        <f t="shared" si="14"/>
        <v>100</v>
      </c>
      <c r="X33" s="1552"/>
      <c r="Y33" s="3413"/>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76" t="str">
        <f>A35</f>
        <v>成交单价（元/平方米）</v>
      </c>
      <c r="Q35" s="3376"/>
      <c r="R35" s="3493">
        <f>E35</f>
        <v>0</v>
      </c>
      <c r="S35" s="3493"/>
      <c r="T35" s="3493">
        <f>G35</f>
        <v>0</v>
      </c>
      <c r="U35" s="3493"/>
      <c r="V35" s="3493">
        <f>I35</f>
        <v>0</v>
      </c>
      <c r="W35" s="3493"/>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76" t="str">
        <f>A36</f>
        <v>比较价格（元/平方米）</v>
      </c>
      <c r="Q36" s="3376"/>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373" t="str">
        <f>A37</f>
        <v>估价对象XX用房的比较价格（楼面单价，元/平方米）</v>
      </c>
      <c r="Q37" s="3374"/>
      <c r="R37" s="3492" t="e">
        <f>IF(F1="售价",ROUND(AVERAGE(R36:V36),0),ROUND(AVERAGE(R36:V36),1))</f>
        <v>#DIV/0!</v>
      </c>
      <c r="S37" s="3492"/>
      <c r="T37" s="3492"/>
      <c r="U37" s="3492"/>
      <c r="V37" s="3492"/>
      <c r="W37" s="349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02" t="s">
        <v>2304</v>
      </c>
      <c r="D1" s="3503"/>
      <c r="E1" s="3503"/>
      <c r="F1" s="3503"/>
      <c r="G1" s="3503"/>
      <c r="H1" s="3503"/>
      <c r="I1" s="3503"/>
      <c r="J1" s="3503"/>
      <c r="K1" s="3503"/>
      <c r="L1" s="3503"/>
      <c r="M1" s="3503"/>
      <c r="N1" s="3503"/>
      <c r="O1" s="3503"/>
      <c r="P1" s="3503"/>
      <c r="Q1" s="3503"/>
      <c r="R1" s="3503"/>
      <c r="S1" s="350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499" t="s">
        <v>20</v>
      </c>
      <c r="D22" s="3500"/>
      <c r="E22" s="3500"/>
      <c r="F22" s="3500"/>
      <c r="G22" s="3500"/>
      <c r="H22" s="3500"/>
      <c r="I22" s="3500"/>
      <c r="J22" s="3500"/>
      <c r="K22" s="3500"/>
      <c r="L22" s="3500"/>
      <c r="M22" s="3500"/>
      <c r="N22" s="3500"/>
      <c r="O22" s="3500"/>
      <c r="P22" s="3500"/>
      <c r="Q22" s="3501"/>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43663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2038</v>
      </c>
      <c r="B1" s="3213"/>
      <c r="C1" s="3213"/>
      <c r="D1" s="3213"/>
      <c r="E1" s="3213"/>
      <c r="F1" s="3213"/>
      <c r="G1" s="3213"/>
      <c r="H1" s="3213"/>
      <c r="I1" s="3213"/>
      <c r="J1" s="3213"/>
      <c r="K1" s="3213"/>
      <c r="L1" s="3213"/>
      <c r="M1" s="3213"/>
      <c r="N1" s="3213"/>
      <c r="O1" s="3213"/>
      <c r="P1" s="3213"/>
      <c r="Q1" s="3213"/>
      <c r="R1" s="3213"/>
    </row>
    <row r="2" spans="1:18">
      <c r="A2" s="1791" t="s">
        <v>2040</v>
      </c>
      <c r="B2" s="1791"/>
      <c r="C2" s="1791"/>
      <c r="D2" s="1791"/>
      <c r="E2" s="1791"/>
      <c r="F2" s="1791"/>
      <c r="G2" s="1791"/>
      <c r="H2" s="1791"/>
      <c r="I2" s="1792"/>
      <c r="J2" s="1792"/>
      <c r="K2" s="1793" t="str">
        <f>"估价期日："&amp;TEXT(项目基本情况!D3,"yyyy年m月d日;;")</f>
        <v>估价期日：2019年7月17日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4" t="s">
        <v>2029</v>
      </c>
      <c r="B3" s="3214" t="s">
        <v>2731</v>
      </c>
      <c r="C3" s="3215" t="s">
        <v>2030</v>
      </c>
      <c r="D3" s="3214" t="s">
        <v>2735</v>
      </c>
      <c r="E3" s="3209" t="s">
        <v>2031</v>
      </c>
      <c r="F3" s="3209"/>
      <c r="G3" s="3209"/>
      <c r="H3" s="3209" t="s">
        <v>2032</v>
      </c>
      <c r="I3" s="3209"/>
      <c r="J3" s="3209"/>
      <c r="K3" s="3215" t="s">
        <v>2033</v>
      </c>
      <c r="L3" s="3215" t="s">
        <v>2034</v>
      </c>
      <c r="M3" s="3214" t="s">
        <v>2732</v>
      </c>
      <c r="N3" s="3216" t="str">
        <f>"（分摊）"&amp;项目基本情况!B16&amp;"国有建设用地使用权面积/㎡"</f>
        <v>（分摊）出让国有建设用地使用权面积/㎡</v>
      </c>
      <c r="O3" s="3214" t="s">
        <v>2063</v>
      </c>
      <c r="P3" s="3215" t="s">
        <v>2043</v>
      </c>
      <c r="Q3" s="3215" t="s">
        <v>2064</v>
      </c>
      <c r="R3" s="3215" t="s">
        <v>2035</v>
      </c>
    </row>
    <row r="4" spans="1:18" ht="36.75" customHeight="1">
      <c r="A4" s="3214"/>
      <c r="B4" s="3214"/>
      <c r="C4" s="3215"/>
      <c r="D4" s="3214"/>
      <c r="E4" s="2612" t="s">
        <v>2042</v>
      </c>
      <c r="F4" s="2612" t="s">
        <v>2744</v>
      </c>
      <c r="G4" s="2612" t="s">
        <v>2036</v>
      </c>
      <c r="H4" s="2612" t="s">
        <v>2037</v>
      </c>
      <c r="I4" s="2612" t="s">
        <v>2745</v>
      </c>
      <c r="J4" s="2612" t="s">
        <v>2036</v>
      </c>
      <c r="K4" s="3215"/>
      <c r="L4" s="3215"/>
      <c r="M4" s="3214"/>
      <c r="N4" s="3216"/>
      <c r="O4" s="3214"/>
      <c r="P4" s="3215"/>
      <c r="Q4" s="3215"/>
      <c r="R4" s="3215"/>
    </row>
    <row r="5" spans="1:18" ht="135" customHeight="1">
      <c r="A5" s="1927" t="s">
        <v>2655</v>
      </c>
      <c r="B5" s="2821" t="s">
        <v>2653</v>
      </c>
      <c r="C5" s="2611">
        <v>22</v>
      </c>
      <c r="D5" s="2610" t="s">
        <v>2654</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26425</v>
      </c>
      <c r="O5" s="1794">
        <f>项目基本情况!C21</f>
        <v>374106</v>
      </c>
      <c r="P5" s="1794">
        <f ca="1">结果表!E42</f>
        <v>60815</v>
      </c>
      <c r="Q5" s="1794">
        <f ca="1">结果表!D42</f>
        <v>4296</v>
      </c>
      <c r="R5" s="1795">
        <f ca="1">结果表!C42</f>
        <v>160704</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6">
        <f ca="1">结果表!O39</f>
        <v>160704</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6"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8" t="s">
        <v>2065</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2066</v>
      </c>
      <c r="B5" s="3217"/>
      <c r="C5" s="3217"/>
      <c r="D5" s="3217"/>
    </row>
    <row r="6" spans="1:4">
      <c r="A6" s="3218" t="s">
        <v>2044</v>
      </c>
      <c r="B6" s="3218"/>
      <c r="C6" s="3218"/>
      <c r="D6" s="3218"/>
    </row>
    <row r="7" spans="1:4" ht="33" customHeight="1">
      <c r="A7" s="3218" t="s">
        <v>2575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2068</v>
      </c>
      <c r="B12" s="3217"/>
      <c r="C12" s="3217"/>
      <c r="D12" s="3217"/>
    </row>
    <row r="13" spans="1:4">
      <c r="A13" s="3221" t="s">
        <v>2746</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2702</v>
      </c>
      <c r="B17" s="3218"/>
      <c r="C17" s="3218"/>
      <c r="D17" s="3218"/>
    </row>
    <row r="18" spans="1:4">
      <c r="A18" s="3218" t="s">
        <v>2694</v>
      </c>
      <c r="B18" s="3218"/>
      <c r="C18" s="3218"/>
      <c r="D18" s="3218"/>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18" t="s">
        <v>2699</v>
      </c>
      <c r="B23" s="3218"/>
      <c r="C23" s="3218"/>
      <c r="D23" s="3218"/>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9" t="s">
        <v>53</v>
      </c>
      <c r="B15" s="3230" t="s">
        <v>846</v>
      </c>
      <c r="C15" s="3226"/>
    </row>
    <row r="16" spans="1:7" ht="14.25">
      <c r="A16" s="3229"/>
      <c r="B16" s="3227" t="s">
        <v>54</v>
      </c>
      <c r="C16" s="1167" t="s">
        <v>53</v>
      </c>
    </row>
    <row r="17" spans="1:3" ht="14.25">
      <c r="A17" s="3229"/>
      <c r="B17" s="3227"/>
      <c r="C17" s="1167" t="s">
        <v>55</v>
      </c>
    </row>
    <row r="18" spans="1:3" ht="14.25">
      <c r="A18" s="3229"/>
      <c r="B18" s="3227"/>
      <c r="C18" s="1167" t="s">
        <v>56</v>
      </c>
    </row>
    <row r="19" spans="1:3" ht="14.25">
      <c r="A19" s="3229"/>
      <c r="B19" s="3225" t="s">
        <v>57</v>
      </c>
      <c r="C19" s="3226"/>
    </row>
    <row r="20" spans="1:3" ht="14.25">
      <c r="A20" s="1168" t="s">
        <v>58</v>
      </c>
      <c r="B20" s="1169"/>
      <c r="C20" s="1170"/>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1" t="s">
        <v>837</v>
      </c>
    </row>
    <row r="25" spans="1:3" ht="14.25">
      <c r="A25" s="3228"/>
      <c r="B25" s="3232"/>
      <c r="C25" s="1171" t="s">
        <v>838</v>
      </c>
    </row>
    <row r="26" spans="1:3" ht="14.25">
      <c r="A26" s="3228"/>
      <c r="B26" s="3232"/>
      <c r="C26" s="1171" t="s">
        <v>839</v>
      </c>
    </row>
    <row r="27" spans="1:3" ht="14.25">
      <c r="A27" s="3228"/>
      <c r="B27" s="3232"/>
      <c r="C27" s="1171" t="s">
        <v>840</v>
      </c>
    </row>
    <row r="28" spans="1:3" ht="14.25">
      <c r="A28" s="3228"/>
      <c r="B28" s="3232"/>
      <c r="C28" s="1171" t="s">
        <v>841</v>
      </c>
    </row>
    <row r="29" spans="1:3" ht="14.25">
      <c r="A29" s="3228"/>
      <c r="B29" s="3232"/>
      <c r="C29" s="1171" t="s">
        <v>842</v>
      </c>
    </row>
    <row r="30" spans="1:3" ht="14.25">
      <c r="A30" s="3228"/>
      <c r="B30" s="3232"/>
      <c r="C30" s="1171" t="s">
        <v>843</v>
      </c>
    </row>
    <row r="31" spans="1:3" ht="14.25">
      <c r="A31" s="3228"/>
      <c r="B31" s="3232"/>
      <c r="C31" s="1171" t="s">
        <v>844</v>
      </c>
    </row>
    <row r="32" spans="1:3" ht="14.25">
      <c r="A32" s="3228"/>
      <c r="B32" s="3232"/>
      <c r="C32" s="1171" t="s">
        <v>1646</v>
      </c>
    </row>
    <row r="33" spans="1:3" ht="14.25">
      <c r="A33" s="3228"/>
      <c r="B33" s="3222" t="s">
        <v>1652</v>
      </c>
      <c r="C33" s="1171" t="s">
        <v>1647</v>
      </c>
    </row>
    <row r="34" spans="1:3" ht="14.25">
      <c r="A34" s="3228"/>
      <c r="B34" s="3223"/>
      <c r="C34" s="1176" t="s">
        <v>1648</v>
      </c>
    </row>
    <row r="35" spans="1:3" ht="14.25">
      <c r="A35" s="3228"/>
      <c r="B35" s="3223"/>
      <c r="C35" s="1177" t="s">
        <v>1649</v>
      </c>
    </row>
    <row r="36" spans="1:3" ht="14.25">
      <c r="A36" s="3228"/>
      <c r="B36" s="3223"/>
      <c r="C36" s="1177" t="s">
        <v>1650</v>
      </c>
    </row>
    <row r="37" spans="1:3" ht="14.25">
      <c r="A37" s="3228"/>
      <c r="B37" s="322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43665</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2978</v>
      </c>
      <c r="B14" s="3128">
        <f ca="1">IF(C14&lt;B2,"已过期",1120040230)</f>
        <v>1120040230</v>
      </c>
      <c r="C14" s="3132">
        <v>43835</v>
      </c>
      <c r="D14" s="3133" t="s">
        <v>2979</v>
      </c>
      <c r="E14" s="3128">
        <f ca="1">IF(F14&lt;B2,"已过期",98030020)</f>
        <v>98030020</v>
      </c>
      <c r="F14" s="3131">
        <v>47118</v>
      </c>
    </row>
    <row r="15" spans="1:6" ht="20.25" customHeight="1">
      <c r="A15" s="3128" t="s">
        <v>2574</v>
      </c>
      <c r="B15" s="3128">
        <f ca="1">IF(C15&lt;B2,"已过期",1120070085)</f>
        <v>1120070085</v>
      </c>
      <c r="C15" s="3132">
        <v>43814</v>
      </c>
      <c r="D15" s="3128" t="s">
        <v>2980</v>
      </c>
      <c r="E15" s="3128">
        <f ca="1">IF(F15&lt;B2,"已过期",2004110128)</f>
        <v>2004110128</v>
      </c>
      <c r="F15" s="3134">
        <v>47118</v>
      </c>
    </row>
    <row r="16" spans="1:6" ht="20.25" customHeight="1">
      <c r="A16" s="3128" t="s">
        <v>1923</v>
      </c>
      <c r="B16" s="3128">
        <f ca="1">IF(C16&lt;B2,"已过期",1120140022)</f>
        <v>1120140022</v>
      </c>
      <c r="C16" s="3130">
        <v>44029</v>
      </c>
      <c r="D16" s="3128" t="s">
        <v>2981</v>
      </c>
      <c r="E16" s="3128">
        <f ca="1">IF(F16&lt;B2,"已过期",2008110059)</f>
        <v>2008110059</v>
      </c>
      <c r="F16" s="3131">
        <v>47177</v>
      </c>
    </row>
    <row r="17" spans="1:7" ht="20.25" customHeight="1">
      <c r="A17" s="3128"/>
      <c r="B17" s="3128"/>
      <c r="C17" s="3130"/>
      <c r="D17" s="3133" t="s">
        <v>2982</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2990</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2952</v>
      </c>
      <c r="C18" s="1539"/>
    </row>
    <row r="19" spans="1:3">
      <c r="A19" s="8" t="s">
        <v>120</v>
      </c>
      <c r="B19" s="3061"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3013</v>
      </c>
      <c r="B27" s="8" t="s">
        <v>1641</v>
      </c>
      <c r="C27" s="1539"/>
    </row>
    <row r="28" spans="1:3">
      <c r="A28" s="3061" t="s">
        <v>3015</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5"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设定用途为，剩余土地使用年限为的出让国有建设用地使用权价格。</v>
      </c>
      <c r="D53" s="1751"/>
      <c r="E53" s="1751"/>
    </row>
    <row r="54" spans="1:5">
      <c r="A54" s="3235"/>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2019-07-19T08:14:45Z</dcterms:modified>
</cp:coreProperties>
</file>