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1"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4" l="1"/>
  <c r="I48" i="34"/>
  <c r="G48" i="34"/>
  <c r="G7" i="39"/>
  <c r="I9" i="39" l="1"/>
  <c r="G9" i="39"/>
  <c r="I7" i="39"/>
  <c r="I48" i="39"/>
  <c r="G48" i="39"/>
  <c r="E48" i="39"/>
  <c r="I40" i="39"/>
  <c r="G40" i="39"/>
  <c r="E40" i="39"/>
  <c r="E9" i="39"/>
  <c r="E7" i="39"/>
  <c r="S3" i="71"/>
  <c r="S4" i="71"/>
  <c r="S5" i="71"/>
  <c r="S6" i="71"/>
  <c r="S7" i="71"/>
  <c r="S8" i="71"/>
  <c r="S9" i="71"/>
  <c r="S10" i="71"/>
  <c r="S11" i="71"/>
  <c r="S12" i="71"/>
  <c r="S13" i="71"/>
  <c r="S14" i="71"/>
  <c r="S15" i="71"/>
  <c r="S16" i="71"/>
  <c r="S17" i="71"/>
  <c r="S18" i="71"/>
  <c r="S19" i="71"/>
  <c r="S20" i="71"/>
  <c r="S2" i="71"/>
  <c r="I13" i="3"/>
  <c r="BB13" i="3" s="1"/>
  <c r="T5" i="31"/>
  <c r="B5" i="31"/>
  <c r="H13" i="3"/>
  <c r="C40" i="39"/>
  <c r="C19" i="6"/>
  <c r="F19" i="6"/>
  <c r="AH5" i="59"/>
  <c r="AG5" i="59"/>
  <c r="AE5" i="59"/>
  <c r="AF5" i="59"/>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c r="M48" i="44"/>
  <c r="A16" i="55"/>
  <c r="A15" i="55"/>
  <c r="A10" i="55"/>
  <c r="A9" i="55"/>
  <c r="A8" i="55"/>
  <c r="A6" i="54"/>
  <c r="A8" i="54"/>
  <c r="A7" i="54"/>
  <c r="A27" i="51"/>
  <c r="D5" i="46"/>
  <c r="Q9" i="59"/>
  <c r="O9" i="59"/>
  <c r="N10" i="59"/>
  <c r="O10" i="59"/>
  <c r="P10" i="59"/>
  <c r="Q10" i="59"/>
  <c r="N9" i="59"/>
  <c r="P9" i="59"/>
  <c r="K75" i="9"/>
  <c r="K6" i="4"/>
  <c r="O76" i="9"/>
  <c r="L76" i="9"/>
  <c r="B22" i="31"/>
  <c r="E15" i="66"/>
  <c r="F15" i="66"/>
  <c r="E16" i="66"/>
  <c r="F16" i="66"/>
  <c r="E17" i="66"/>
  <c r="F17" i="66"/>
  <c r="E18" i="66"/>
  <c r="F18" i="66"/>
  <c r="E19" i="66"/>
  <c r="F19" i="66"/>
  <c r="E20" i="66"/>
  <c r="F20" i="66"/>
  <c r="E21" i="66"/>
  <c r="F21" i="66"/>
  <c r="E22" i="66"/>
  <c r="F22" i="66"/>
  <c r="E23" i="66"/>
  <c r="F23" i="66"/>
  <c r="B3" i="66"/>
  <c r="B7" i="59"/>
  <c r="B6" i="59" s="1"/>
  <c r="B5" i="59" s="1"/>
  <c r="E7" i="59"/>
  <c r="E6" i="59"/>
  <c r="E5" i="59" s="1"/>
  <c r="F7" i="59"/>
  <c r="F6" i="59" s="1"/>
  <c r="F5" i="59" s="1"/>
  <c r="U7" i="59"/>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c r="C3" i="65"/>
  <c r="C1" i="65"/>
  <c r="N1" i="65" s="1"/>
  <c r="T7" i="59"/>
  <c r="D7" i="59"/>
  <c r="B76" i="63"/>
  <c r="M5" i="54"/>
  <c r="B41" i="63"/>
  <c r="A23" i="51"/>
  <c r="Y12" i="46"/>
  <c r="AA9" i="46"/>
  <c r="AB9" i="46"/>
  <c r="AB10" i="46" s="1"/>
  <c r="AC9" i="46"/>
  <c r="AC10" i="46" s="1"/>
  <c r="AD9" i="46"/>
  <c r="AE9" i="46"/>
  <c r="AF9" i="46"/>
  <c r="AF10" i="46"/>
  <c r="AG9" i="46"/>
  <c r="AH9" i="46"/>
  <c r="AI9" i="46"/>
  <c r="AJ9" i="46"/>
  <c r="AJ10" i="46" s="1"/>
  <c r="Z9" i="46"/>
  <c r="Z10" i="46" s="1"/>
  <c r="AI10" i="46"/>
  <c r="AG10" i="46"/>
  <c r="AE10" i="46"/>
  <c r="AA10" i="46"/>
  <c r="Y10" i="46"/>
  <c r="AJ12" i="46"/>
  <c r="AF12" i="46"/>
  <c r="AB12" i="46"/>
  <c r="AI12" i="46"/>
  <c r="AG12" i="46"/>
  <c r="AE12" i="46"/>
  <c r="AA12" i="46"/>
  <c r="B73" i="63"/>
  <c r="A21" i="64"/>
  <c r="B75" i="63" s="1"/>
  <c r="A27" i="64"/>
  <c r="A15" i="64"/>
  <c r="A14" i="64"/>
  <c r="A11" i="64"/>
  <c r="A3" i="64"/>
  <c r="A45" i="9"/>
  <c r="A44" i="9"/>
  <c r="K39" i="9" s="1"/>
  <c r="C57" i="10"/>
  <c r="A28" i="51"/>
  <c r="N4" i="63" s="1"/>
  <c r="C56" i="10"/>
  <c r="C55" i="10"/>
  <c r="C54" i="10"/>
  <c r="A26" i="51" s="1"/>
  <c r="B19" i="63" s="1"/>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G5" i="54"/>
  <c r="B34" i="63" s="1"/>
  <c r="E5" i="54"/>
  <c r="B32" i="63" s="1"/>
  <c r="R2" i="54"/>
  <c r="B24" i="63" s="1"/>
  <c r="B49" i="50"/>
  <c r="B5" i="63" s="1"/>
  <c r="B40" i="50"/>
  <c r="B3" i="63" s="1"/>
  <c r="B21" i="63"/>
  <c r="B67" i="63"/>
  <c r="I19" i="46"/>
  <c r="Q11" i="59"/>
  <c r="F11" i="59"/>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c r="Z21" i="59" s="1"/>
  <c r="N21" i="59"/>
  <c r="Q20" i="59"/>
  <c r="AB20" i="59"/>
  <c r="P20" i="59"/>
  <c r="AA20" i="59"/>
  <c r="O20" i="59"/>
  <c r="C21" i="59"/>
  <c r="C22" i="59" s="1"/>
  <c r="N20" i="59"/>
  <c r="B21" i="59" s="1"/>
  <c r="B22" i="59" s="1"/>
  <c r="B23" i="59" s="1"/>
  <c r="S23" i="59" s="1"/>
  <c r="D20" i="59"/>
  <c r="Q19" i="59"/>
  <c r="P19" i="59"/>
  <c r="AA19" i="59"/>
  <c r="O19" i="59"/>
  <c r="N19" i="59"/>
  <c r="X19" i="59" s="1"/>
  <c r="Q18" i="59"/>
  <c r="P18" i="59"/>
  <c r="AA18" i="59"/>
  <c r="O18" i="59"/>
  <c r="N18" i="59"/>
  <c r="X18" i="59" s="1"/>
  <c r="Q17" i="59"/>
  <c r="P17" i="59"/>
  <c r="AA17" i="59"/>
  <c r="O17" i="59"/>
  <c r="N17" i="59"/>
  <c r="X17" i="59" s="1"/>
  <c r="Q16" i="59"/>
  <c r="F17" i="59" s="1"/>
  <c r="F18" i="59" s="1"/>
  <c r="F19" i="59" s="1"/>
  <c r="V19" i="59" s="1"/>
  <c r="P16" i="59"/>
  <c r="E17" i="59" s="1"/>
  <c r="E18" i="59" s="1"/>
  <c r="E19" i="59" s="1"/>
  <c r="U19" i="59" s="1"/>
  <c r="O16" i="59"/>
  <c r="Y16" i="59"/>
  <c r="Z16" i="59" s="1"/>
  <c r="N16" i="59"/>
  <c r="X16" i="59" s="1"/>
  <c r="D16" i="59"/>
  <c r="Q15" i="59"/>
  <c r="AB15" i="59"/>
  <c r="P15" i="59"/>
  <c r="O15" i="59"/>
  <c r="Y15" i="59" s="1"/>
  <c r="Z15" i="59" s="1"/>
  <c r="N15" i="59"/>
  <c r="Q14" i="59"/>
  <c r="AB14" i="59" s="1"/>
  <c r="P14" i="59"/>
  <c r="O14" i="59"/>
  <c r="Y14" i="59"/>
  <c r="Z14" i="59" s="1"/>
  <c r="N14" i="59"/>
  <c r="X3" i="59" s="1"/>
  <c r="Q13" i="59"/>
  <c r="AB13" i="59"/>
  <c r="P13" i="59"/>
  <c r="O13" i="59"/>
  <c r="Y13" i="59" s="1"/>
  <c r="Z13" i="59" s="1"/>
  <c r="N13" i="59"/>
  <c r="Q12" i="59"/>
  <c r="AB12" i="59" s="1"/>
  <c r="P12" i="59"/>
  <c r="AA12" i="59" s="1"/>
  <c r="O12" i="59"/>
  <c r="C13" i="59" s="1"/>
  <c r="N12" i="59"/>
  <c r="B13" i="59"/>
  <c r="B14" i="59" s="1"/>
  <c r="B15" i="59" s="1"/>
  <c r="S15" i="59" s="1"/>
  <c r="D12" i="59"/>
  <c r="X9" i="59"/>
  <c r="X11" i="59"/>
  <c r="AA8" i="59"/>
  <c r="AA10" i="59"/>
  <c r="Y8" i="59"/>
  <c r="Z8" i="59" s="1"/>
  <c r="Y9" i="59"/>
  <c r="Z9" i="59" s="1"/>
  <c r="Y10" i="59"/>
  <c r="Z10" i="59" s="1"/>
  <c r="Y11" i="59"/>
  <c r="Z11" i="59" s="1"/>
  <c r="Y3" i="59"/>
  <c r="Z3" i="59" s="1"/>
  <c r="AB11" i="59"/>
  <c r="AB8" i="59"/>
  <c r="AB10" i="59"/>
  <c r="E13" i="59"/>
  <c r="E14" i="59"/>
  <c r="E15" i="59" s="1"/>
  <c r="U15" i="59" s="1"/>
  <c r="B34" i="59"/>
  <c r="B35" i="59"/>
  <c r="S35" i="59" s="1"/>
  <c r="E34" i="59"/>
  <c r="E35" i="59" s="1"/>
  <c r="U35" i="59" s="1"/>
  <c r="S51" i="59"/>
  <c r="AA22" i="59"/>
  <c r="F26" i="59"/>
  <c r="F27" i="59" s="1"/>
  <c r="V27" i="59" s="1"/>
  <c r="F38" i="59"/>
  <c r="F39" i="59"/>
  <c r="V39" i="59" s="1"/>
  <c r="F42" i="59"/>
  <c r="F43" i="59" s="1"/>
  <c r="V43" i="59" s="1"/>
  <c r="F46" i="59"/>
  <c r="F47" i="59"/>
  <c r="V47" i="59" s="1"/>
  <c r="D21" i="59"/>
  <c r="C30" i="59"/>
  <c r="D30" i="59" s="1"/>
  <c r="D29" i="59"/>
  <c r="C34" i="59"/>
  <c r="C35" i="59"/>
  <c r="D33" i="59"/>
  <c r="C38" i="59"/>
  <c r="C39" i="59" s="1"/>
  <c r="D37" i="59"/>
  <c r="C42" i="59"/>
  <c r="D42" i="59"/>
  <c r="D41" i="59"/>
  <c r="C46" i="59"/>
  <c r="C47" i="59" s="1"/>
  <c r="D45" i="59"/>
  <c r="E49" i="59"/>
  <c r="P48" i="59"/>
  <c r="N50" i="59"/>
  <c r="B49" i="59"/>
  <c r="N48" i="59" s="1"/>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P49" i="59"/>
  <c r="C69" i="59"/>
  <c r="D69" i="59"/>
  <c r="D62" i="59"/>
  <c r="C61" i="59"/>
  <c r="D61" i="59" s="1"/>
  <c r="D54" i="59"/>
  <c r="C53" i="59"/>
  <c r="D53" i="59"/>
  <c r="C49" i="59"/>
  <c r="O49" i="59"/>
  <c r="O50" i="59"/>
  <c r="D50" i="59"/>
  <c r="D66" i="59"/>
  <c r="C65" i="59"/>
  <c r="D65" i="59" s="1"/>
  <c r="D58" i="59"/>
  <c r="C57" i="59"/>
  <c r="D57" i="59"/>
  <c r="N49" i="59"/>
  <c r="D46" i="59"/>
  <c r="C43" i="59"/>
  <c r="T43" i="59"/>
  <c r="D38" i="59"/>
  <c r="D34" i="59"/>
  <c r="D43" i="59"/>
  <c r="D4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G105" i="39" s="1"/>
  <c r="G20" i="20"/>
  <c r="B85" i="46" s="1"/>
  <c r="C22" i="20"/>
  <c r="B65" i="46" s="1"/>
  <c r="S18" i="36"/>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E115" i="40"/>
  <c r="F115" i="40" s="1"/>
  <c r="G115" i="40"/>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E65" i="40" s="1"/>
  <c r="F65" i="40" s="1"/>
  <c r="F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D101" i="39"/>
  <c r="E101" i="39" s="1"/>
  <c r="F101" i="39" s="1"/>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J23"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F43" i="34"/>
  <c r="AA43" i="34" s="1"/>
  <c r="Q42" i="34"/>
  <c r="Z42" i="34" s="1"/>
  <c r="Q41" i="34"/>
  <c r="Z41" i="34"/>
  <c r="Q40" i="34"/>
  <c r="Z40" i="34"/>
  <c r="F40" i="34"/>
  <c r="S40" i="34" s="1"/>
  <c r="Q39" i="34"/>
  <c r="Z39" i="34" s="1"/>
  <c r="J39" i="34"/>
  <c r="AC39" i="34" s="1"/>
  <c r="H39" i="34"/>
  <c r="U39" i="34" s="1"/>
  <c r="F39" i="34"/>
  <c r="S39" i="34" s="1"/>
  <c r="Q38" i="34"/>
  <c r="Z38" i="34"/>
  <c r="Q37" i="34"/>
  <c r="Z37" i="34"/>
  <c r="Q36" i="34"/>
  <c r="Z36" i="34"/>
  <c r="Q35" i="34"/>
  <c r="Z35" i="34"/>
  <c r="Q34" i="34"/>
  <c r="Z34" i="34"/>
  <c r="Q33" i="34"/>
  <c r="Z33" i="34" s="1"/>
  <c r="Q32" i="34"/>
  <c r="Z32" i="34" s="1"/>
  <c r="Q31" i="34"/>
  <c r="Z31" i="34" s="1"/>
  <c r="Q30" i="34"/>
  <c r="Z30" i="34" s="1"/>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c r="J9" i="34"/>
  <c r="AC9" i="34" s="1"/>
  <c r="H9" i="34"/>
  <c r="AB9" i="34" s="1"/>
  <c r="F9" i="34"/>
  <c r="AA9" i="34" s="1"/>
  <c r="J8" i="34"/>
  <c r="AC8" i="34" s="1"/>
  <c r="H8" i="34"/>
  <c r="U8" i="34" s="1"/>
  <c r="F8" i="34"/>
  <c r="AA8" i="34" s="1"/>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D77" i="21"/>
  <c r="E77" i="21"/>
  <c r="B130" i="21"/>
  <c r="B128" i="21"/>
  <c r="B126" i="21"/>
  <c r="B98" i="21"/>
  <c r="B96" i="21"/>
  <c r="B94" i="21"/>
  <c r="B92" i="21"/>
  <c r="B90" i="21"/>
  <c r="B74" i="21"/>
  <c r="B72" i="21"/>
  <c r="B70" i="21"/>
  <c r="F12" i="21"/>
  <c r="F10" i="21"/>
  <c r="AA10" i="2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I5" i="3" s="1"/>
  <c r="BJ13" i="3"/>
  <c r="BK13" i="3"/>
  <c r="BM13" i="3"/>
  <c r="BL13"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S32" i="21"/>
  <c r="F38" i="21"/>
  <c r="S38" i="21" s="1"/>
  <c r="F36" i="21"/>
  <c r="S36" i="21" s="1"/>
  <c r="F39" i="21"/>
  <c r="AA39" i="21" s="1"/>
  <c r="J40" i="21"/>
  <c r="W40" i="21" s="1"/>
  <c r="H35" i="21"/>
  <c r="AB35" i="21" s="1"/>
  <c r="J8" i="21"/>
  <c r="AC8" i="21" s="1"/>
  <c r="J9" i="21"/>
  <c r="AC9" i="21" s="1"/>
  <c r="H8" i="21"/>
  <c r="U8" i="21" s="1"/>
  <c r="H9" i="21"/>
  <c r="H10" i="21"/>
  <c r="U10" i="21"/>
  <c r="H39" i="21"/>
  <c r="AB39" i="21"/>
  <c r="J34" i="21"/>
  <c r="W34" i="21"/>
  <c r="H36" i="21"/>
  <c r="U36" i="21"/>
  <c r="F35" i="21"/>
  <c r="AA35" i="21"/>
  <c r="J10" i="21"/>
  <c r="AC10" i="21"/>
  <c r="H26" i="21"/>
  <c r="J12" i="21"/>
  <c r="H12" i="21"/>
  <c r="U12" i="21" s="1"/>
  <c r="J26" i="21"/>
  <c r="W26" i="21" s="1"/>
  <c r="F26" i="21"/>
  <c r="AA26" i="21" s="1"/>
  <c r="AB41" i="21"/>
  <c r="S41" i="21"/>
  <c r="AA41" i="21"/>
  <c r="W41" i="21"/>
  <c r="S10" i="39"/>
  <c r="U30" i="37"/>
  <c r="E103" i="37"/>
  <c r="F103" i="37" s="1"/>
  <c r="F39" i="37"/>
  <c r="S39" i="37" s="1"/>
  <c r="W39" i="37"/>
  <c r="F29" i="36"/>
  <c r="AA29" i="36"/>
  <c r="F16" i="36"/>
  <c r="AA16" i="36" s="1"/>
  <c r="U22" i="36"/>
  <c r="W22" i="36"/>
  <c r="AC31" i="36"/>
  <c r="J33" i="36"/>
  <c r="W33" i="36"/>
  <c r="AC27" i="35"/>
  <c r="U31" i="35"/>
  <c r="W36" i="35"/>
  <c r="S31" i="35"/>
  <c r="W31" i="35"/>
  <c r="F36" i="34"/>
  <c r="S36" i="34" s="1"/>
  <c r="W39" i="34"/>
  <c r="H39" i="33"/>
  <c r="AB39" i="33" s="1"/>
  <c r="F26" i="33"/>
  <c r="AA26" i="33" s="1"/>
  <c r="U9" i="33"/>
  <c r="U33" i="33"/>
  <c r="W38" i="33"/>
  <c r="S40" i="33"/>
  <c r="S33" i="33"/>
  <c r="U38" i="33"/>
  <c r="S8" i="21"/>
  <c r="W8" i="21"/>
  <c r="H39" i="37"/>
  <c r="AB39" i="37" s="1"/>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AA12" i="33"/>
  <c r="J27" i="36"/>
  <c r="W27" i="36" s="1"/>
  <c r="J34" i="36"/>
  <c r="W34" i="36" s="1"/>
  <c r="J30" i="35"/>
  <c r="W30" i="35" s="1"/>
  <c r="F22" i="35"/>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s="1"/>
  <c r="G101" i="37" s="1"/>
  <c r="H101" i="37" s="1"/>
  <c r="I101" i="37" s="1"/>
  <c r="J101" i="37" s="1"/>
  <c r="K101" i="37" s="1"/>
  <c r="L101" i="37" s="1"/>
  <c r="M101" i="37" s="1"/>
  <c r="J34" i="37"/>
  <c r="W34" i="37"/>
  <c r="AA39" i="37"/>
  <c r="H43" i="34"/>
  <c r="U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AB30" i="36"/>
  <c r="AC34" i="36"/>
  <c r="H29" i="35"/>
  <c r="U34" i="37"/>
  <c r="S34" i="37"/>
  <c r="AA34" i="37"/>
  <c r="AB42"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c r="J42" i="21"/>
  <c r="AC42" i="21"/>
  <c r="J44" i="34"/>
  <c r="AC44" i="34"/>
  <c r="F44" i="34"/>
  <c r="S44" i="34" s="1"/>
  <c r="J10" i="35"/>
  <c r="W10" i="35" s="1"/>
  <c r="AL5" i="3"/>
  <c r="BQ13" i="3"/>
  <c r="J14" i="21"/>
  <c r="F14" i="21"/>
  <c r="AA14" i="21"/>
  <c r="H14" i="21"/>
  <c r="H28" i="21"/>
  <c r="F28" i="21"/>
  <c r="S28" i="21"/>
  <c r="J28" i="21"/>
  <c r="AC28" i="21"/>
  <c r="H30" i="21"/>
  <c r="U30" i="21"/>
  <c r="F30" i="21"/>
  <c r="S30" i="21"/>
  <c r="J30" i="21"/>
  <c r="J44" i="21"/>
  <c r="AC44" i="21" s="1"/>
  <c r="H44" i="21"/>
  <c r="U44" i="21" s="1"/>
  <c r="F44" i="21"/>
  <c r="AA44" i="21" s="1"/>
  <c r="H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c r="J27" i="33"/>
  <c r="AC27" i="33"/>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s="1"/>
  <c r="H40" i="37"/>
  <c r="J40" i="37"/>
  <c r="F40" i="37"/>
  <c r="AA40" i="37" s="1"/>
  <c r="H14" i="33"/>
  <c r="U14" i="33" s="1"/>
  <c r="F14" i="33"/>
  <c r="AA14" i="33" s="1"/>
  <c r="J14" i="33"/>
  <c r="AC14" i="33" s="1"/>
  <c r="H30" i="33"/>
  <c r="AB30" i="33" s="1"/>
  <c r="F30" i="33"/>
  <c r="S30" i="33" s="1"/>
  <c r="J30" i="33"/>
  <c r="H44" i="33"/>
  <c r="U44" i="33"/>
  <c r="J44" i="33"/>
  <c r="AC44" i="33"/>
  <c r="F44" i="33"/>
  <c r="S44" i="33"/>
  <c r="J46" i="33"/>
  <c r="F46" i="33"/>
  <c r="AA46" i="33" s="1"/>
  <c r="H46" i="33"/>
  <c r="AB46" i="33" s="1"/>
  <c r="H13" i="34"/>
  <c r="U13" i="34" s="1"/>
  <c r="J13" i="34"/>
  <c r="W13" i="34" s="1"/>
  <c r="F13" i="34"/>
  <c r="AA13" i="34"/>
  <c r="J29" i="34"/>
  <c r="AC29" i="34" s="1"/>
  <c r="F29" i="34"/>
  <c r="S29" i="34" s="1"/>
  <c r="H29" i="34"/>
  <c r="U29" i="34" s="1"/>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c r="G105" i="37"/>
  <c r="AB28" i="36"/>
  <c r="AB31" i="21"/>
  <c r="S46" i="21"/>
  <c r="AC30" i="21"/>
  <c r="W30" i="21"/>
  <c r="AB30" i="21"/>
  <c r="AA28" i="21"/>
  <c r="W14" i="21"/>
  <c r="AC14" i="21"/>
  <c r="W42" i="21"/>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c r="BA557" i="3"/>
  <c r="AZ557" i="3"/>
  <c r="BA555" i="3"/>
  <c r="AZ555" i="3" s="1"/>
  <c r="BA551" i="3"/>
  <c r="AZ551" i="3" s="1"/>
  <c r="BA545" i="3"/>
  <c r="BA543" i="3"/>
  <c r="BA541" i="3"/>
  <c r="AZ541" i="3" s="1"/>
  <c r="BA531" i="3"/>
  <c r="BA521" i="3"/>
  <c r="BA509" i="3"/>
  <c r="BA505" i="3"/>
  <c r="BA501" i="3"/>
  <c r="BA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c r="BQ498" i="3"/>
  <c r="BQ496" i="3"/>
  <c r="AC494" i="3"/>
  <c r="BQ494" i="3"/>
  <c r="BL493" i="3"/>
  <c r="G492" i="3"/>
  <c r="G488" i="3"/>
  <c r="G484" i="3"/>
  <c r="G20" i="3"/>
  <c r="BQ492" i="3"/>
  <c r="BL492" i="3" s="1"/>
  <c r="AZ492" i="3" s="1"/>
  <c r="BQ490" i="3"/>
  <c r="BQ488" i="3"/>
  <c r="BL488" i="3"/>
  <c r="BQ486" i="3"/>
  <c r="BQ484" i="3"/>
  <c r="BL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s="1"/>
  <c r="F41" i="34"/>
  <c r="S41" i="34" s="1"/>
  <c r="H41" i="34"/>
  <c r="U41" i="34" s="1"/>
  <c r="J41" i="34"/>
  <c r="W41" i="34" s="1"/>
  <c r="F10" i="35"/>
  <c r="AA10" i="35"/>
  <c r="F24" i="35"/>
  <c r="AA24" i="35"/>
  <c r="H24" i="35"/>
  <c r="AB24" i="35"/>
  <c r="H23" i="37"/>
  <c r="AB23" i="37"/>
  <c r="J32" i="37"/>
  <c r="AC32" i="37"/>
  <c r="F36" i="37"/>
  <c r="S36" i="37" s="1"/>
  <c r="F37" i="37"/>
  <c r="AA37" i="37" s="1"/>
  <c r="U23" i="37"/>
  <c r="F123" i="33"/>
  <c r="G123" i="33"/>
  <c r="H123" i="33" s="1"/>
  <c r="I123" i="33" s="1"/>
  <c r="J123" i="33" s="1"/>
  <c r="K123" i="33" s="1"/>
  <c r="L123" i="33" s="1"/>
  <c r="M123" i="33" s="1"/>
  <c r="H42" i="33"/>
  <c r="U42" i="33"/>
  <c r="J43" i="33"/>
  <c r="AC43" i="33" s="1"/>
  <c r="G79" i="37"/>
  <c r="J23" i="37"/>
  <c r="W23" i="37" s="1"/>
  <c r="F17" i="37"/>
  <c r="AA17" i="37" s="1"/>
  <c r="AB43" i="33"/>
  <c r="D3" i="21"/>
  <c r="AC33" i="36"/>
  <c r="W23" i="35"/>
  <c r="AC23" i="37"/>
  <c r="S27" i="37"/>
  <c r="U39" i="37"/>
  <c r="AC8" i="37"/>
  <c r="AB8" i="34"/>
  <c r="AC37" i="33"/>
  <c r="AA13" i="33"/>
  <c r="AC45" i="33"/>
  <c r="AA36" i="21"/>
  <c r="S39" i="33"/>
  <c r="F43" i="33"/>
  <c r="AA43" i="33"/>
  <c r="AA23" i="37"/>
  <c r="S10" i="35"/>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c r="G90" i="40" s="1"/>
  <c r="F21" i="40"/>
  <c r="S21" i="40" s="1"/>
  <c r="W36" i="40"/>
  <c r="U40" i="39"/>
  <c r="J21" i="40"/>
  <c r="AC21" i="40" s="1"/>
  <c r="AZ558"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s="1"/>
  <c r="BA327" i="3"/>
  <c r="BL327" i="3"/>
  <c r="AZ327" i="3"/>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3" i="3"/>
  <c r="AZ27" i="3"/>
  <c r="AZ31" i="3"/>
  <c r="AZ35" i="3"/>
  <c r="AZ39" i="3"/>
  <c r="AZ43" i="3"/>
  <c r="AZ47" i="3"/>
  <c r="AZ51" i="3"/>
  <c r="AZ55" i="3"/>
  <c r="AZ59" i="3"/>
  <c r="G537" i="3"/>
  <c r="BL181" i="3"/>
  <c r="AZ181" i="3"/>
  <c r="G182" i="3"/>
  <c r="BA184" i="3"/>
  <c r="AZ184" i="3" s="1"/>
  <c r="BL185" i="3"/>
  <c r="G186" i="3"/>
  <c r="BA188" i="3"/>
  <c r="AZ188" i="3" s="1"/>
  <c r="BL189" i="3"/>
  <c r="AZ189" i="3" s="1"/>
  <c r="G190" i="3"/>
  <c r="BA192" i="3"/>
  <c r="AZ192" i="3"/>
  <c r="BL193" i="3"/>
  <c r="AZ193" i="3"/>
  <c r="G194" i="3"/>
  <c r="BA196" i="3"/>
  <c r="AZ196" i="3" s="1"/>
  <c r="BL197" i="3"/>
  <c r="AZ197" i="3" s="1"/>
  <c r="G198" i="3"/>
  <c r="BA200" i="3"/>
  <c r="AZ200" i="3"/>
  <c r="BL201" i="3"/>
  <c r="AZ201" i="3"/>
  <c r="AZ66" i="3"/>
  <c r="AZ70" i="3"/>
  <c r="AZ74" i="3"/>
  <c r="AZ78" i="3"/>
  <c r="AZ82" i="3"/>
  <c r="AZ185"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s="1"/>
  <c r="G340" i="3"/>
  <c r="G343" i="3"/>
  <c r="BL344" i="3"/>
  <c r="BA346" i="3"/>
  <c r="AZ346" i="3"/>
  <c r="BA347" i="3"/>
  <c r="BL347" i="3"/>
  <c r="G348" i="3"/>
  <c r="G351" i="3"/>
  <c r="BL352" i="3"/>
  <c r="BA354" i="3"/>
  <c r="BA355" i="3"/>
  <c r="AZ355" i="3"/>
  <c r="BL355" i="3"/>
  <c r="G356" i="3"/>
  <c r="AZ127" i="3"/>
  <c r="BA358" i="3"/>
  <c r="AZ358" i="3" s="1"/>
  <c r="BA359" i="3"/>
  <c r="BL359" i="3"/>
  <c r="AZ359" i="3"/>
  <c r="G360" i="3"/>
  <c r="G361" i="3"/>
  <c r="BL362" i="3"/>
  <c r="BA364" i="3"/>
  <c r="AZ364" i="3" s="1"/>
  <c r="BA365" i="3"/>
  <c r="AZ365" i="3" s="1"/>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BL301" i="3"/>
  <c r="AZ301" i="3"/>
  <c r="G302" i="3"/>
  <c r="BA304" i="3"/>
  <c r="AZ304" i="3" s="1"/>
  <c r="BL305" i="3"/>
  <c r="AZ305" i="3" s="1"/>
  <c r="G306" i="3"/>
  <c r="BA308" i="3"/>
  <c r="AZ308" i="3"/>
  <c r="BL309" i="3"/>
  <c r="G310" i="3"/>
  <c r="BA310" i="3"/>
  <c r="AZ310" i="3"/>
  <c r="BL311" i="3"/>
  <c r="AZ311" i="3"/>
  <c r="G312" i="3"/>
  <c r="BA312" i="3"/>
  <c r="AZ312" i="3" s="1"/>
  <c r="BL313" i="3"/>
  <c r="AZ313" i="3" s="1"/>
  <c r="G314" i="3"/>
  <c r="BA314" i="3"/>
  <c r="AZ314" i="3" s="1"/>
  <c r="BL315" i="3"/>
  <c r="AZ315" i="3" s="1"/>
  <c r="G316" i="3"/>
  <c r="BA316" i="3"/>
  <c r="AZ316" i="3"/>
  <c r="BL317" i="3"/>
  <c r="AZ317" i="3"/>
  <c r="G318" i="3"/>
  <c r="BA320" i="3"/>
  <c r="AZ320" i="3" s="1"/>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c r="BL341" i="3"/>
  <c r="G342" i="3"/>
  <c r="BA344" i="3"/>
  <c r="AZ344" i="3"/>
  <c r="BL345" i="3"/>
  <c r="AZ345" i="3"/>
  <c r="G346" i="3"/>
  <c r="BA348" i="3"/>
  <c r="AZ348" i="3" s="1"/>
  <c r="BL349" i="3"/>
  <c r="AZ349" i="3" s="1"/>
  <c r="G350" i="3"/>
  <c r="BA352" i="3"/>
  <c r="AZ352" i="3"/>
  <c r="BL353" i="3"/>
  <c r="G354" i="3"/>
  <c r="BA356" i="3"/>
  <c r="AZ356" i="3"/>
  <c r="BL357" i="3"/>
  <c r="AZ357" i="3"/>
  <c r="G358" i="3"/>
  <c r="BA362" i="3"/>
  <c r="AZ362" i="3" s="1"/>
  <c r="BL363" i="3"/>
  <c r="G364" i="3"/>
  <c r="BA366" i="3"/>
  <c r="AZ366" i="3" s="1"/>
  <c r="BL367" i="3"/>
  <c r="AZ367" i="3" s="1"/>
  <c r="AZ205" i="3"/>
  <c r="AZ209" i="3"/>
  <c r="AZ213" i="3"/>
  <c r="AZ217" i="3"/>
  <c r="AZ221" i="3"/>
  <c r="AZ225" i="3"/>
  <c r="AZ229" i="3"/>
  <c r="AZ233" i="3"/>
  <c r="AZ237" i="3"/>
  <c r="AZ241" i="3"/>
  <c r="AZ245" i="3"/>
  <c r="AZ309" i="3"/>
  <c r="AZ321"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c r="W37" i="37"/>
  <c r="AA30" i="33"/>
  <c r="AA36" i="37"/>
  <c r="S42" i="33"/>
  <c r="U32" i="33"/>
  <c r="AB17" i="37"/>
  <c r="AZ488" i="3"/>
  <c r="AZ516" i="3"/>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H32" i="21"/>
  <c r="U32" i="21"/>
  <c r="AB26" i="21"/>
  <c r="U26" i="21"/>
  <c r="U39" i="21"/>
  <c r="W9" i="21"/>
  <c r="J32" i="21"/>
  <c r="W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E80" i="34"/>
  <c r="F80" i="34"/>
  <c r="H17" i="34" s="1"/>
  <c r="AB17" i="34" s="1"/>
  <c r="AC27" i="34"/>
  <c r="W27" i="34"/>
  <c r="AB28" i="35"/>
  <c r="U28" i="35"/>
  <c r="J13" i="33"/>
  <c r="W13" i="33"/>
  <c r="H13" i="33"/>
  <c r="U13" i="33"/>
  <c r="H29" i="33"/>
  <c r="AB29" i="33"/>
  <c r="F29" i="33"/>
  <c r="AA29" i="33"/>
  <c r="J12" i="34"/>
  <c r="AC12" i="34" s="1"/>
  <c r="H12" i="34"/>
  <c r="AB12" i="34" s="1"/>
  <c r="F12" i="34"/>
  <c r="S12" i="34" s="1"/>
  <c r="J14" i="34"/>
  <c r="W14" i="34" s="1"/>
  <c r="F14" i="34"/>
  <c r="S14" i="34"/>
  <c r="H14" i="34"/>
  <c r="AB14" i="34"/>
  <c r="H30" i="34"/>
  <c r="AB30" i="34"/>
  <c r="F30" i="34"/>
  <c r="S30" i="34"/>
  <c r="J30" i="34"/>
  <c r="W30" i="34"/>
  <c r="H32" i="34"/>
  <c r="AB32" i="34"/>
  <c r="F32" i="34"/>
  <c r="AA32" i="34"/>
  <c r="J32" i="34"/>
  <c r="W32" i="34"/>
  <c r="H46" i="34"/>
  <c r="AB46" i="34" s="1"/>
  <c r="F46" i="34"/>
  <c r="AA46" i="34" s="1"/>
  <c r="J46" i="34"/>
  <c r="AC46" i="34" s="1"/>
  <c r="H11" i="35"/>
  <c r="J11" i="35"/>
  <c r="AC11" i="35"/>
  <c r="F96" i="37"/>
  <c r="H32" i="37"/>
  <c r="AB32" i="37" s="1"/>
  <c r="F43" i="39"/>
  <c r="AA43" i="39" s="1"/>
  <c r="H43" i="39"/>
  <c r="U43" i="39" s="1"/>
  <c r="J43" i="39"/>
  <c r="W43" i="39" s="1"/>
  <c r="F99" i="37"/>
  <c r="AC27" i="37"/>
  <c r="U25" i="35"/>
  <c r="S45" i="34"/>
  <c r="U31" i="34"/>
  <c r="AC40" i="37"/>
  <c r="W40" i="37"/>
  <c r="W27" i="33"/>
  <c r="AC45" i="21"/>
  <c r="S28" i="33"/>
  <c r="S14" i="21"/>
  <c r="AA44" i="34"/>
  <c r="AB29" i="35"/>
  <c r="U29" i="35"/>
  <c r="AC19" i="33"/>
  <c r="W19" i="33"/>
  <c r="AB43" i="34"/>
  <c r="AC34" i="37"/>
  <c r="S35" i="37"/>
  <c r="AA35" i="37"/>
  <c r="AB10" i="35"/>
  <c r="AA32" i="21"/>
  <c r="U38" i="21"/>
  <c r="AB34" i="21"/>
  <c r="BL571" i="3"/>
  <c r="BA571" i="3"/>
  <c r="AZ571" i="3" s="1"/>
  <c r="BL570" i="3"/>
  <c r="BE5" i="3"/>
  <c r="F42" i="21"/>
  <c r="AA42" i="21" s="1"/>
  <c r="AB40" i="33"/>
  <c r="U40" i="33"/>
  <c r="AA35" i="34"/>
  <c r="E90" i="34"/>
  <c r="H27" i="34"/>
  <c r="AB27" i="34" s="1"/>
  <c r="AB8" i="35"/>
  <c r="U8"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c r="G103"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c r="F38" i="40"/>
  <c r="AA38" i="40"/>
  <c r="AC12" i="21"/>
  <c r="W12" i="21"/>
  <c r="S35" i="21"/>
  <c r="AB10" i="21"/>
  <c r="AB8" i="21"/>
  <c r="S34" i="21"/>
  <c r="AC36" i="21"/>
  <c r="AB8" i="33"/>
  <c r="U8" i="33"/>
  <c r="E106" i="33"/>
  <c r="H34" i="33"/>
  <c r="U34" i="33"/>
  <c r="F34" i="33"/>
  <c r="S34" i="33"/>
  <c r="E121" i="33"/>
  <c r="F41" i="33"/>
  <c r="S41" i="33" s="1"/>
  <c r="AA39" i="34"/>
  <c r="E78" i="34"/>
  <c r="F15" i="34" s="1"/>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15" i="40"/>
  <c r="AA15" i="40" s="1"/>
  <c r="J15" i="40"/>
  <c r="H15" i="40"/>
  <c r="AB15" i="40"/>
  <c r="E92" i="40"/>
  <c r="F92" i="40"/>
  <c r="H23" i="40"/>
  <c r="U23" i="40" s="1"/>
  <c r="H41" i="40"/>
  <c r="AB41" i="40" s="1"/>
  <c r="F41" i="40"/>
  <c r="AA41" i="40" s="1"/>
  <c r="J41" i="40"/>
  <c r="H36" i="33"/>
  <c r="AB36" i="33"/>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27" i="43"/>
  <c r="F72" i="9"/>
  <c r="W35" i="40"/>
  <c r="AB32" i="40"/>
  <c r="AC47" i="39"/>
  <c r="S47" i="39"/>
  <c r="U37" i="34"/>
  <c r="AC41" i="40"/>
  <c r="W41" i="40"/>
  <c r="U41" i="40"/>
  <c r="J23" i="40"/>
  <c r="AC23" i="40" s="1"/>
  <c r="G92" i="40"/>
  <c r="F23" i="40"/>
  <c r="S23" i="40"/>
  <c r="AC15" i="40"/>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AB33" i="36"/>
  <c r="AA11" i="36"/>
  <c r="AA14" i="35"/>
  <c r="S14" i="35"/>
  <c r="G99" i="37"/>
  <c r="F33" i="37"/>
  <c r="U46" i="34"/>
  <c r="AC30" i="34"/>
  <c r="AA14" i="34"/>
  <c r="W12" i="34"/>
  <c r="U29" i="33"/>
  <c r="AC13" i="33"/>
  <c r="W32" i="33"/>
  <c r="H15" i="33"/>
  <c r="U15" i="33" s="1"/>
  <c r="AA11" i="33"/>
  <c r="AA40" i="21"/>
  <c r="U17" i="21"/>
  <c r="U16" i="40"/>
  <c r="W34" i="40"/>
  <c r="AB34" i="40"/>
  <c r="AB42" i="40"/>
  <c r="U42" i="40"/>
  <c r="AC16" i="40"/>
  <c r="W32" i="40"/>
  <c r="H25" i="40"/>
  <c r="AB25" i="40" s="1"/>
  <c r="F94" i="40"/>
  <c r="G94" i="40" s="1"/>
  <c r="U47" i="39"/>
  <c r="W15" i="39"/>
  <c r="J37" i="34"/>
  <c r="AC37" i="34" s="1"/>
  <c r="J36" i="33"/>
  <c r="W36" i="33"/>
  <c r="S41" i="40"/>
  <c r="AB23" i="40"/>
  <c r="J23" i="39"/>
  <c r="AC23" i="39" s="1"/>
  <c r="F97" i="39"/>
  <c r="G97" i="39" s="1"/>
  <c r="S16" i="39"/>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W17" i="34" s="1"/>
  <c r="J35" i="33"/>
  <c r="W35" i="33" s="1"/>
  <c r="S32" i="33"/>
  <c r="AC15" i="33"/>
  <c r="H11" i="33"/>
  <c r="U11" i="33" s="1"/>
  <c r="H10" i="33"/>
  <c r="U10" i="33" s="1"/>
  <c r="I66" i="33"/>
  <c r="J10" i="33"/>
  <c r="AC10" i="33"/>
  <c r="U40" i="21"/>
  <c r="U11" i="37"/>
  <c r="AC16" i="35"/>
  <c r="AC13" i="40"/>
  <c r="AC36" i="33"/>
  <c r="F25" i="40"/>
  <c r="AA25" i="40" s="1"/>
  <c r="J11" i="33"/>
  <c r="W11" i="33" s="1"/>
  <c r="H33" i="37"/>
  <c r="AB33" i="37" s="1"/>
  <c r="U20" i="35"/>
  <c r="AB20" i="35"/>
  <c r="W23" i="40"/>
  <c r="D73" i="9"/>
  <c r="N73" i="9"/>
  <c r="AP11" i="1"/>
  <c r="B11" i="1"/>
  <c r="E11" i="1" s="1"/>
  <c r="K11" i="1"/>
  <c r="M11" i="1" s="1"/>
  <c r="B9" i="1"/>
  <c r="E9" i="1" s="1"/>
  <c r="K9" i="1"/>
  <c r="M9" i="1" s="1"/>
  <c r="B7" i="1"/>
  <c r="E7" i="1" s="1"/>
  <c r="K7" i="1"/>
  <c r="M7" i="1" s="1"/>
  <c r="F6" i="1"/>
  <c r="AP6" i="1" s="1"/>
  <c r="G11" i="1"/>
  <c r="M22" i="44"/>
  <c r="F32" i="15"/>
  <c r="F59" i="15"/>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AC45" i="34"/>
  <c r="AA40" i="34"/>
  <c r="U30" i="34"/>
  <c r="S32" i="34"/>
  <c r="AA12" i="34"/>
  <c r="AC35" i="34"/>
  <c r="AA30" i="34"/>
  <c r="AC32" i="34"/>
  <c r="U44" i="34"/>
  <c r="U28" i="34"/>
  <c r="AA27" i="34"/>
  <c r="J25" i="34"/>
  <c r="H25" i="34"/>
  <c r="F25" i="34"/>
  <c r="AA25" i="34" s="1"/>
  <c r="J23" i="34"/>
  <c r="W23" i="34" s="1"/>
  <c r="F23" i="34"/>
  <c r="S23" i="34" s="1"/>
  <c r="H23" i="34"/>
  <c r="AB23" i="34" s="1"/>
  <c r="W44" i="34"/>
  <c r="W19" i="34"/>
  <c r="AC21" i="34"/>
  <c r="W21" i="34"/>
  <c r="AB21" i="34"/>
  <c r="U21" i="34"/>
  <c r="U27" i="34"/>
  <c r="U19"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U35" i="21"/>
  <c r="W43" i="21"/>
  <c r="AA37" i="21"/>
  <c r="S42" i="21"/>
  <c r="AB37" i="21"/>
  <c r="AB32" i="21"/>
  <c r="W28" i="21"/>
  <c r="AC46" i="21"/>
  <c r="AC26" i="21"/>
  <c r="F85" i="21"/>
  <c r="G85" i="21" s="1"/>
  <c r="J23" i="21"/>
  <c r="W23" i="21" s="1"/>
  <c r="F23" i="21"/>
  <c r="AA23" i="21" s="1"/>
  <c r="H23" i="21"/>
  <c r="AB23" i="21" s="1"/>
  <c r="AA17" i="21"/>
  <c r="W17" i="21"/>
  <c r="F77" i="21"/>
  <c r="G77" i="21" s="1"/>
  <c r="J15" i="21"/>
  <c r="AC15" i="21" s="1"/>
  <c r="H15" i="21"/>
  <c r="AC11" i="21"/>
  <c r="W13"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38" i="39"/>
  <c r="W29" i="39"/>
  <c r="AC21" i="39"/>
  <c r="S14" i="39"/>
  <c r="AB15" i="39"/>
  <c r="U11" i="39"/>
  <c r="U41" i="39"/>
  <c r="AB38" i="39"/>
  <c r="U31" i="39"/>
  <c r="AB31" i="39"/>
  <c r="S38" i="39"/>
  <c r="M20" i="15"/>
  <c r="D96" i="9"/>
  <c r="F28" i="15"/>
  <c r="M18" i="15"/>
  <c r="A18" i="64"/>
  <c r="B74" i="63"/>
  <c r="C53" i="10"/>
  <c r="A25" i="64" s="1"/>
  <c r="A18" i="51"/>
  <c r="B14" i="63" s="1"/>
  <c r="BA16" i="3"/>
  <c r="BA17" i="3"/>
  <c r="AZ17" i="3"/>
  <c r="F3" i="35"/>
  <c r="K1" i="43"/>
  <c r="K1" i="12"/>
  <c r="G1" i="44"/>
  <c r="I4" i="6"/>
  <c r="C11" i="34" s="1"/>
  <c r="G3" i="46"/>
  <c r="AZ15" i="3"/>
  <c r="BK5" i="3"/>
  <c r="BO5" i="3"/>
  <c r="BP5" i="3"/>
  <c r="BN5" i="3"/>
  <c r="BL18" i="3"/>
  <c r="AZ18" i="3" s="1"/>
  <c r="BC5" i="3"/>
  <c r="E8" i="6"/>
  <c r="E53" i="40"/>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E46" i="36" s="1"/>
  <c r="F46" i="36" s="1"/>
  <c r="G46" i="36" s="1"/>
  <c r="H46" i="36" s="1"/>
  <c r="C59" i="34"/>
  <c r="D59" i="34"/>
  <c r="E59" i="34" s="1"/>
  <c r="C48" i="35"/>
  <c r="D48" i="35" s="1"/>
  <c r="C52" i="37"/>
  <c r="C67"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O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AC27" i="40"/>
  <c r="W37" i="40"/>
  <c r="S17" i="40"/>
  <c r="W30" i="40"/>
  <c r="S34" i="40"/>
  <c r="U17" i="40"/>
  <c r="U38" i="40"/>
  <c r="S40" i="40"/>
  <c r="S42" i="40"/>
  <c r="J31" i="39"/>
  <c r="W31" i="39" s="1"/>
  <c r="S45"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S25" i="34"/>
  <c r="W25" i="34"/>
  <c r="AC25" i="34"/>
  <c r="AA23" i="34"/>
  <c r="AC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 i="6"/>
  <c r="D21" i="12" s="1"/>
  <c r="C21" i="12" s="1"/>
  <c r="G29" i="6"/>
  <c r="AZ16" i="3"/>
  <c r="H70" i="46"/>
  <c r="H72" i="46"/>
  <c r="A9" i="64"/>
  <c r="A9" i="51"/>
  <c r="B9" i="63" s="1"/>
  <c r="A25" i="51"/>
  <c r="B18" i="63" s="1"/>
  <c r="A3" i="55"/>
  <c r="B56" i="63" s="1"/>
  <c r="D67" i="40"/>
  <c r="E67" i="40"/>
  <c r="E4" i="4"/>
  <c r="C4" i="4"/>
  <c r="G66" i="36"/>
  <c r="J18" i="36"/>
  <c r="AE8" i="1"/>
  <c r="AE7" i="1"/>
  <c r="AE6" i="1"/>
  <c r="W18" i="36"/>
  <c r="AC18" i="36"/>
  <c r="AG6" i="1"/>
  <c r="E29" i="6"/>
  <c r="K15" i="1" s="1"/>
  <c r="L20" i="6"/>
  <c r="L19" i="6"/>
  <c r="B21" i="55"/>
  <c r="B72" i="63" s="1"/>
  <c r="B20" i="55"/>
  <c r="B70" i="63" s="1"/>
  <c r="S7" i="1"/>
  <c r="S8" i="1"/>
  <c r="S9" i="1"/>
  <c r="R9" i="1"/>
  <c r="R7" i="1"/>
  <c r="R8" i="1"/>
  <c r="C45" i="9"/>
  <c r="H14" i="66" s="1"/>
  <c r="B7" i="66" s="1"/>
  <c r="K31" i="9"/>
  <c r="K32" i="9"/>
  <c r="N76" i="9"/>
  <c r="C46" i="9"/>
  <c r="K33" i="9" s="1"/>
  <c r="K34" i="9" s="1"/>
  <c r="F33" i="44"/>
  <c r="F31" i="15"/>
  <c r="L27" i="6"/>
  <c r="L16" i="4"/>
  <c r="N16" i="4"/>
  <c r="G65" i="40"/>
  <c r="W44" i="21"/>
  <c r="S44" i="21"/>
  <c r="AB44" i="21"/>
  <c r="AB11" i="21"/>
  <c r="U23" i="21"/>
  <c r="W15" i="21"/>
  <c r="S23" i="21"/>
  <c r="AC32" i="21"/>
  <c r="AA11" i="21"/>
  <c r="AA9" i="21"/>
  <c r="W10" i="21"/>
  <c r="S10" i="21"/>
  <c r="G101" i="39"/>
  <c r="F27" i="39"/>
  <c r="AA27" i="39" s="1"/>
  <c r="J27" i="39"/>
  <c r="AC27" i="39" s="1"/>
  <c r="H27" i="39"/>
  <c r="AB27" i="39"/>
  <c r="U27" i="39"/>
  <c r="S27" i="39"/>
  <c r="C18" i="9"/>
  <c r="F17" i="39"/>
  <c r="J17" i="39"/>
  <c r="W17" i="39" s="1"/>
  <c r="H17" i="39"/>
  <c r="U17" i="39" s="1"/>
  <c r="AC17" i="39"/>
  <c r="F30" i="6"/>
  <c r="F27" i="6"/>
  <c r="F31" i="6"/>
  <c r="H22" i="46"/>
  <c r="AB11" i="46"/>
  <c r="AB13" i="46"/>
  <c r="AE11" i="46"/>
  <c r="AE13" i="46"/>
  <c r="AJ11" i="46"/>
  <c r="AJ13" i="46"/>
  <c r="AD11" i="46"/>
  <c r="Y11" i="46"/>
  <c r="Y13" i="46" s="1"/>
  <c r="AC11" i="46"/>
  <c r="F101" i="46"/>
  <c r="N101" i="46"/>
  <c r="K101" i="46"/>
  <c r="Z7" i="46"/>
  <c r="E101" i="46"/>
  <c r="F22" i="46"/>
  <c r="L101" i="46"/>
  <c r="N104" i="45"/>
  <c r="B113" i="46"/>
  <c r="J101" i="46"/>
  <c r="J107" i="46" s="1"/>
  <c r="G101" i="46"/>
  <c r="C101" i="46"/>
  <c r="C107" i="46" s="1"/>
  <c r="J22" i="46"/>
  <c r="AF11" i="46"/>
  <c r="AF13" i="46" s="1"/>
  <c r="AI11" i="46"/>
  <c r="AI13" i="46" s="1"/>
  <c r="AA11" i="46"/>
  <c r="AA13" i="46" s="1"/>
  <c r="C23" i="46"/>
  <c r="C21" i="46" s="1"/>
  <c r="AH11" i="46"/>
  <c r="Z11" i="46"/>
  <c r="AG11" i="46"/>
  <c r="AG13" i="46"/>
  <c r="E22" i="46"/>
  <c r="H101" i="46"/>
  <c r="H103" i="46" s="1"/>
  <c r="M101" i="46"/>
  <c r="M106" i="46" s="1"/>
  <c r="D101" i="46"/>
  <c r="D107" i="46" s="1"/>
  <c r="I101" i="46"/>
  <c r="I103" i="46" s="1"/>
  <c r="G22" i="46"/>
  <c r="D22" i="46" s="1"/>
  <c r="G6" i="1"/>
  <c r="E16" i="52"/>
  <c r="O40" i="9"/>
  <c r="R7" i="54" s="1"/>
  <c r="B52" i="63" s="1"/>
  <c r="B9" i="52"/>
  <c r="I14" i="66"/>
  <c r="B8" i="66" s="1"/>
  <c r="O41" i="9"/>
  <c r="R8" i="54" s="1"/>
  <c r="B54" i="63" s="1"/>
  <c r="E48" i="35"/>
  <c r="F59" i="34"/>
  <c r="G59" i="34" s="1"/>
  <c r="H59" i="34"/>
  <c r="I59" i="34" s="1"/>
  <c r="J59" i="34" s="1"/>
  <c r="K59" i="34" s="1"/>
  <c r="L59" i="34" s="1"/>
  <c r="S33" i="40"/>
  <c r="AC14" i="40"/>
  <c r="F71" i="9"/>
  <c r="F66" i="9"/>
  <c r="P72" i="9"/>
  <c r="U12" i="37"/>
  <c r="AZ562" i="3"/>
  <c r="AC31" i="34"/>
  <c r="W31" i="34"/>
  <c r="S27" i="33"/>
  <c r="AA27" i="33"/>
  <c r="U13" i="21"/>
  <c r="AB13" i="21"/>
  <c r="U14" i="21"/>
  <c r="AB14" i="21"/>
  <c r="AB9" i="21"/>
  <c r="U9" i="21"/>
  <c r="H5" i="3"/>
  <c r="BL572" i="3"/>
  <c r="AZ572" i="3" s="1"/>
  <c r="AC23" i="36"/>
  <c r="W23" i="36"/>
  <c r="D12" i="11"/>
  <c r="C12" i="11" s="1"/>
  <c r="M102" i="46"/>
  <c r="AZ493" i="3"/>
  <c r="S46" i="33"/>
  <c r="AC35" i="35"/>
  <c r="W35" i="35"/>
  <c r="AC46" i="33"/>
  <c r="W46" i="33"/>
  <c r="U40" i="37"/>
  <c r="AB40" i="37"/>
  <c r="AA45" i="21"/>
  <c r="S45" i="21"/>
  <c r="AB46" i="21"/>
  <c r="U46" i="21"/>
  <c r="AB28" i="21"/>
  <c r="U28" i="21"/>
  <c r="AA22" i="35"/>
  <c r="S22" i="35"/>
  <c r="BA570" i="3"/>
  <c r="W40" i="33"/>
  <c r="AB8" i="36"/>
  <c r="W33" i="33"/>
  <c r="U26" i="36"/>
  <c r="BG5" i="3"/>
  <c r="J12" i="35"/>
  <c r="J34" i="35"/>
  <c r="H34" i="35"/>
  <c r="F34" i="35"/>
  <c r="H12" i="36"/>
  <c r="F23" i="36"/>
  <c r="G536" i="3"/>
  <c r="G524" i="3"/>
  <c r="G512" i="3"/>
  <c r="G489" i="3"/>
  <c r="G481" i="3"/>
  <c r="AZ397" i="3"/>
  <c r="BF5" i="3"/>
  <c r="H25" i="37"/>
  <c r="J25" i="37"/>
  <c r="F25" i="37"/>
  <c r="AZ395" i="3"/>
  <c r="AZ405" i="3"/>
  <c r="AZ411" i="3"/>
  <c r="AZ417" i="3"/>
  <c r="G17" i="46"/>
  <c r="C16" i="46"/>
  <c r="C5" i="46" s="1"/>
  <c r="A30" i="64"/>
  <c r="A30" i="51"/>
  <c r="B22" i="63"/>
  <c r="AZ419" i="3"/>
  <c r="AZ425" i="3"/>
  <c r="AZ429" i="3"/>
  <c r="AZ445" i="3"/>
  <c r="AZ448" i="3"/>
  <c r="AZ468" i="3"/>
  <c r="AZ472" i="3"/>
  <c r="AZ387" i="3"/>
  <c r="AZ216" i="3"/>
  <c r="AZ219" i="3"/>
  <c r="AZ232" i="3"/>
  <c r="AZ235" i="3"/>
  <c r="AZ248" i="3"/>
  <c r="AZ251" i="3"/>
  <c r="AZ264" i="3"/>
  <c r="AZ267" i="3"/>
  <c r="AZ271" i="3"/>
  <c r="AZ283" i="3"/>
  <c r="AZ287" i="3"/>
  <c r="AZ113" i="3"/>
  <c r="AZ129" i="3"/>
  <c r="AZ132" i="3"/>
  <c r="AZ145" i="3"/>
  <c r="AZ148" i="3"/>
  <c r="AZ25" i="3"/>
  <c r="AZ30" i="3"/>
  <c r="AZ41" i="3"/>
  <c r="AZ46" i="3"/>
  <c r="AZ57" i="3"/>
  <c r="AZ62" i="3"/>
  <c r="AZ65" i="3"/>
  <c r="AZ68" i="3"/>
  <c r="AZ75" i="3"/>
  <c r="AZ81" i="3"/>
  <c r="AZ85" i="3"/>
  <c r="AZ88" i="3"/>
  <c r="AZ95" i="3"/>
  <c r="AZ101" i="3"/>
  <c r="AZ104" i="3"/>
  <c r="AZ111" i="3"/>
  <c r="D1" i="57"/>
  <c r="E10" i="57"/>
  <c r="C26" i="59"/>
  <c r="D25" i="59"/>
  <c r="K13" i="1"/>
  <c r="M13" i="1"/>
  <c r="K12" i="1"/>
  <c r="T47" i="59"/>
  <c r="D47" i="59"/>
  <c r="T39" i="59"/>
  <c r="D39" i="59"/>
  <c r="T35" i="59"/>
  <c r="D35" i="59"/>
  <c r="C23" i="59"/>
  <c r="D22" i="59"/>
  <c r="B54" i="46"/>
  <c r="C27" i="40"/>
  <c r="S27" i="40"/>
  <c r="S21" i="34"/>
  <c r="B11" i="59"/>
  <c r="X6" i="59"/>
  <c r="X7" i="59"/>
  <c r="AA7" i="59"/>
  <c r="E11" i="59"/>
  <c r="A28" i="64"/>
  <c r="AH10" i="46"/>
  <c r="AH12" i="46"/>
  <c r="AD10" i="46"/>
  <c r="AD12" i="46"/>
  <c r="AD13" i="46"/>
  <c r="D100" i="46"/>
  <c r="D23" i="15"/>
  <c r="O48" i="59"/>
  <c r="AB9" i="59"/>
  <c r="AB3" i="59"/>
  <c r="AA11" i="59"/>
  <c r="AA9" i="59"/>
  <c r="AA3" i="59"/>
  <c r="X10" i="59"/>
  <c r="X8" i="59"/>
  <c r="X12" i="59"/>
  <c r="Y12" i="59"/>
  <c r="Z12" i="59" s="1"/>
  <c r="F13" i="59"/>
  <c r="F14" i="59" s="1"/>
  <c r="F15" i="59" s="1"/>
  <c r="V15" i="59" s="1"/>
  <c r="X13" i="59"/>
  <c r="AA13" i="59"/>
  <c r="X14" i="59"/>
  <c r="AA14" i="59"/>
  <c r="X15" i="59"/>
  <c r="AA15" i="59"/>
  <c r="B17" i="59"/>
  <c r="B18" i="59" s="1"/>
  <c r="B19" i="59" s="1"/>
  <c r="S19" i="59" s="1"/>
  <c r="C17" i="59"/>
  <c r="AA16" i="59"/>
  <c r="AB16" i="59"/>
  <c r="Y17" i="59"/>
  <c r="Z17" i="59"/>
  <c r="AB17" i="59"/>
  <c r="Y18" i="59"/>
  <c r="Z18" i="59" s="1"/>
  <c r="AB18" i="59"/>
  <c r="Y19" i="59"/>
  <c r="Z19" i="59"/>
  <c r="AB19" i="59"/>
  <c r="X20" i="59"/>
  <c r="Y20" i="59"/>
  <c r="Z20" i="59"/>
  <c r="E21" i="59"/>
  <c r="E22" i="59"/>
  <c r="E23" i="59" s="1"/>
  <c r="U23" i="59" s="1"/>
  <c r="F21" i="59"/>
  <c r="F22" i="59"/>
  <c r="F23" i="59" s="1"/>
  <c r="V23" i="59" s="1"/>
  <c r="X21" i="59"/>
  <c r="AA21" i="59"/>
  <c r="Q49" i="59"/>
  <c r="Q48" i="59"/>
  <c r="D11" i="59"/>
  <c r="T11" i="59"/>
  <c r="C10" i="59"/>
  <c r="V11" i="59"/>
  <c r="F10" i="59"/>
  <c r="F9" i="59"/>
  <c r="C5" i="59"/>
  <c r="D5" i="59"/>
  <c r="D6" i="59"/>
  <c r="X5" i="59"/>
  <c r="AA6" i="59"/>
  <c r="Y6" i="59"/>
  <c r="Z6" i="59" s="1"/>
  <c r="AB6" i="59"/>
  <c r="AA5" i="59"/>
  <c r="Y5" i="59"/>
  <c r="Z5" i="59" s="1"/>
  <c r="AB5" i="59"/>
  <c r="V7" i="59"/>
  <c r="K76" i="9"/>
  <c r="K77" i="9" s="1"/>
  <c r="K79" i="9" s="1"/>
  <c r="K81" i="9" s="1"/>
  <c r="Y7" i="59"/>
  <c r="Z7" i="59" s="1"/>
  <c r="AB7" i="59"/>
  <c r="F58" i="15"/>
  <c r="M19" i="44"/>
  <c r="M17" i="15"/>
  <c r="K17" i="4"/>
  <c r="A22" i="51" s="1"/>
  <c r="B16" i="63" s="1"/>
  <c r="D18" i="9"/>
  <c r="M44" i="9" s="1"/>
  <c r="M43" i="9"/>
  <c r="AA17" i="39"/>
  <c r="S17" i="39"/>
  <c r="AH13" i="46"/>
  <c r="D105" i="46"/>
  <c r="H107" i="46"/>
  <c r="I105" i="46"/>
  <c r="I109" i="46"/>
  <c r="I102" i="46"/>
  <c r="I107" i="46"/>
  <c r="M107" i="46"/>
  <c r="M105" i="46"/>
  <c r="C104" i="46"/>
  <c r="C102" i="46"/>
  <c r="C105" i="46"/>
  <c r="C103" i="46"/>
  <c r="J102" i="46"/>
  <c r="J103" i="46"/>
  <c r="J109" i="46"/>
  <c r="N105" i="46"/>
  <c r="N102" i="46"/>
  <c r="N107" i="46"/>
  <c r="N109" i="46"/>
  <c r="N103" i="46"/>
  <c r="N104" i="46"/>
  <c r="N106" i="46"/>
  <c r="I104" i="46"/>
  <c r="I106" i="46"/>
  <c r="D106" i="46"/>
  <c r="D102" i="46"/>
  <c r="D109" i="46"/>
  <c r="D104" i="46"/>
  <c r="D103" i="46"/>
  <c r="H105" i="46"/>
  <c r="H104" i="46"/>
  <c r="G102" i="46"/>
  <c r="G103" i="46"/>
  <c r="G106" i="46"/>
  <c r="G104" i="46"/>
  <c r="G107" i="46"/>
  <c r="G109" i="46"/>
  <c r="G105" i="46"/>
  <c r="I116" i="46"/>
  <c r="J116" i="46" s="1"/>
  <c r="K116" i="46" s="1"/>
  <c r="L116" i="46" s="1"/>
  <c r="M116" i="46" s="1"/>
  <c r="I118" i="46"/>
  <c r="J118" i="46" s="1"/>
  <c r="K118" i="46" s="1"/>
  <c r="L118" i="46" s="1"/>
  <c r="M118" i="46" s="1"/>
  <c r="B115" i="46"/>
  <c r="D116" i="46"/>
  <c r="E116" i="46" s="1"/>
  <c r="F116" i="46" s="1"/>
  <c r="G116" i="46" s="1"/>
  <c r="H116" i="46" s="1"/>
  <c r="G118" i="46"/>
  <c r="H118" i="46"/>
  <c r="D118" i="46"/>
  <c r="E118" i="46"/>
  <c r="F118" i="46" s="1"/>
  <c r="I115" i="46"/>
  <c r="J115" i="46" s="1"/>
  <c r="K115" i="46" s="1"/>
  <c r="L115" i="46" s="1"/>
  <c r="M115" i="46" s="1"/>
  <c r="B117" i="46"/>
  <c r="C117" i="46" s="1"/>
  <c r="D115" i="46"/>
  <c r="E115" i="46" s="1"/>
  <c r="F115" i="46" s="1"/>
  <c r="I117" i="46"/>
  <c r="J117" i="46" s="1"/>
  <c r="K117" i="46" s="1"/>
  <c r="L117" i="46" s="1"/>
  <c r="M117" i="46" s="1"/>
  <c r="B116" i="46"/>
  <c r="C116" i="46"/>
  <c r="D117" i="46"/>
  <c r="E117" i="46"/>
  <c r="F117" i="46" s="1"/>
  <c r="G117" i="46" s="1"/>
  <c r="H117" i="46" s="1"/>
  <c r="B118" i="46"/>
  <c r="C118" i="46" s="1"/>
  <c r="L102" i="46"/>
  <c r="L105" i="46"/>
  <c r="L104" i="46"/>
  <c r="L106" i="46"/>
  <c r="L107" i="46"/>
  <c r="L109" i="46"/>
  <c r="L103" i="46"/>
  <c r="E104" i="46"/>
  <c r="E106" i="46"/>
  <c r="E105" i="46"/>
  <c r="E109" i="46"/>
  <c r="E103" i="46"/>
  <c r="E107" i="46"/>
  <c r="E102" i="46"/>
  <c r="K107" i="46"/>
  <c r="K103" i="46"/>
  <c r="K109" i="46"/>
  <c r="K104" i="46"/>
  <c r="K105" i="46"/>
  <c r="K102" i="46"/>
  <c r="K106" i="46"/>
  <c r="F106" i="46"/>
  <c r="F103" i="46"/>
  <c r="F105" i="46"/>
  <c r="F102" i="46"/>
  <c r="F109" i="46"/>
  <c r="F107" i="46"/>
  <c r="F104" i="46"/>
  <c r="C9" i="59"/>
  <c r="D9" i="59" s="1"/>
  <c r="D10" i="59"/>
  <c r="O13" i="1"/>
  <c r="P13" i="1"/>
  <c r="C27" i="59"/>
  <c r="D26" i="59"/>
  <c r="W25" i="37"/>
  <c r="AC25" i="37"/>
  <c r="E14" i="6"/>
  <c r="E15" i="6"/>
  <c r="E13" i="6"/>
  <c r="E12" i="6"/>
  <c r="E10" i="6"/>
  <c r="E11" i="6"/>
  <c r="AA23" i="36"/>
  <c r="S23" i="36"/>
  <c r="AA34" i="35"/>
  <c r="S34" i="35"/>
  <c r="AC34" i="35"/>
  <c r="W34" i="35"/>
  <c r="F48" i="35"/>
  <c r="D17" i="59"/>
  <c r="C18" i="59"/>
  <c r="U11" i="59"/>
  <c r="E10" i="59"/>
  <c r="E9" i="59"/>
  <c r="B10" i="59"/>
  <c r="B9" i="59"/>
  <c r="S11" i="59"/>
  <c r="T23" i="59"/>
  <c r="D23" i="59"/>
  <c r="M12" i="1"/>
  <c r="H16" i="1"/>
  <c r="Q16" i="1"/>
  <c r="F33" i="12" s="1"/>
  <c r="AA25" i="37"/>
  <c r="S25" i="37"/>
  <c r="U25" i="37"/>
  <c r="AB25" i="37"/>
  <c r="U12" i="36"/>
  <c r="AB12" i="36"/>
  <c r="AB34" i="35"/>
  <c r="U34" i="35"/>
  <c r="W12" i="35"/>
  <c r="AC12" i="35"/>
  <c r="AZ570" i="3"/>
  <c r="E16" i="6"/>
  <c r="C115" i="46"/>
  <c r="S5" i="46"/>
  <c r="S7" i="46"/>
  <c r="S3" i="46"/>
  <c r="S2" i="46"/>
  <c r="S6" i="46"/>
  <c r="S4" i="46"/>
  <c r="C19" i="59"/>
  <c r="D18" i="59"/>
  <c r="G48" i="35"/>
  <c r="E58" i="40"/>
  <c r="E63" i="39"/>
  <c r="E64" i="39"/>
  <c r="E59" i="40"/>
  <c r="E62" i="40"/>
  <c r="E67" i="39"/>
  <c r="T27" i="59"/>
  <c r="D27" i="59"/>
  <c r="O12" i="1"/>
  <c r="E65" i="39"/>
  <c r="E60" i="40"/>
  <c r="E66" i="39"/>
  <c r="E61" i="40"/>
  <c r="P12" i="1"/>
  <c r="I46" i="36"/>
  <c r="H48" i="35"/>
  <c r="T19" i="59"/>
  <c r="D19" i="59"/>
  <c r="E68" i="39"/>
  <c r="I48" i="35"/>
  <c r="J46" i="36"/>
  <c r="K46" i="36"/>
  <c r="J48" i="35"/>
  <c r="L46" i="36"/>
  <c r="K48" i="35"/>
  <c r="L48" i="35" s="1"/>
  <c r="M46" i="36"/>
  <c r="N46" i="36" s="1"/>
  <c r="F38" i="44"/>
  <c r="M28" i="44"/>
  <c r="B13" i="67"/>
  <c r="F43" i="44"/>
  <c r="E11" i="67"/>
  <c r="E9" i="67"/>
  <c r="F37" i="15"/>
  <c r="F10" i="67"/>
  <c r="M27" i="15"/>
  <c r="F38" i="15"/>
  <c r="F11" i="44"/>
  <c r="F35" i="15"/>
  <c r="J36" i="15"/>
  <c r="B10" i="67"/>
  <c r="F39" i="44"/>
  <c r="B14" i="67"/>
  <c r="F8" i="67"/>
  <c r="F12" i="67"/>
  <c r="L48" i="15"/>
  <c r="N7" i="65"/>
  <c r="F41" i="15"/>
  <c r="N4" i="65"/>
  <c r="M30" i="44"/>
  <c r="M9" i="15"/>
  <c r="F40" i="15"/>
  <c r="M23" i="44"/>
  <c r="J15" i="15"/>
  <c r="E13" i="67"/>
  <c r="M29" i="15"/>
  <c r="F8" i="44"/>
  <c r="M28" i="15"/>
  <c r="M11" i="44"/>
  <c r="B12" i="67"/>
  <c r="E12" i="67"/>
  <c r="M24" i="15"/>
  <c r="E10" i="67"/>
  <c r="F10" i="44"/>
  <c r="L48" i="44"/>
  <c r="F28" i="44"/>
  <c r="F43" i="15"/>
  <c r="F40" i="44"/>
  <c r="F11" i="67"/>
  <c r="F13" i="67"/>
  <c r="B11" i="67"/>
  <c r="F7" i="15"/>
  <c r="N3" i="65"/>
  <c r="F36" i="15"/>
  <c r="M8" i="44"/>
  <c r="F16" i="15"/>
  <c r="M26" i="15"/>
  <c r="E8" i="67"/>
  <c r="B9" i="67"/>
  <c r="M31" i="44"/>
  <c r="F18" i="44"/>
  <c r="L49" i="44"/>
  <c r="F14" i="67"/>
  <c r="M22" i="15"/>
  <c r="F37" i="44"/>
  <c r="C19" i="44"/>
  <c r="M29" i="44"/>
  <c r="F13" i="15"/>
  <c r="F9" i="15"/>
  <c r="M23" i="15"/>
  <c r="M21" i="15"/>
  <c r="M26" i="44"/>
  <c r="M6" i="15"/>
  <c r="F6" i="15"/>
  <c r="F46" i="44"/>
  <c r="M8" i="15"/>
  <c r="E14" i="67"/>
  <c r="F9" i="44"/>
  <c r="F9" i="67"/>
  <c r="M24" i="44"/>
  <c r="F8" i="15"/>
  <c r="F15" i="44"/>
  <c r="N6" i="65"/>
  <c r="F42" i="15"/>
  <c r="M25" i="44"/>
  <c r="B8" i="67"/>
  <c r="M10" i="44"/>
  <c r="N5" i="65"/>
  <c r="L47" i="15"/>
  <c r="F26" i="15"/>
  <c r="F45" i="44"/>
  <c r="J17" i="44"/>
  <c r="S43" i="39" l="1"/>
  <c r="O46" i="36"/>
  <c r="F7" i="36" s="1"/>
  <c r="H7" i="36"/>
  <c r="J7" i="36"/>
  <c r="O10" i="1"/>
  <c r="P10" i="1"/>
  <c r="O7" i="1"/>
  <c r="P7" i="1"/>
  <c r="O9" i="1"/>
  <c r="P9" i="1"/>
  <c r="O11" i="1"/>
  <c r="P11" i="1"/>
  <c r="AZ484" i="3"/>
  <c r="BL5" i="3"/>
  <c r="P6" i="1"/>
  <c r="G30" i="6"/>
  <c r="G31" i="6" s="1"/>
  <c r="E28" i="6"/>
  <c r="G16" i="1"/>
  <c r="F15" i="21"/>
  <c r="AP16" i="1"/>
  <c r="F22" i="11" s="1"/>
  <c r="F29" i="39"/>
  <c r="G81" i="21"/>
  <c r="H19" i="21"/>
  <c r="J19" i="21"/>
  <c r="F19" i="21"/>
  <c r="W27" i="39"/>
  <c r="AC23" i="21"/>
  <c r="H23" i="39"/>
  <c r="AB23" i="39" s="1"/>
  <c r="H47" i="46"/>
  <c r="F23" i="39"/>
  <c r="H29" i="39"/>
  <c r="U29" i="39" s="1"/>
  <c r="AC24" i="35"/>
  <c r="W24" i="35"/>
  <c r="W24" i="36"/>
  <c r="AC24" i="36"/>
  <c r="H10" i="34"/>
  <c r="F9" i="35"/>
  <c r="J9" i="35"/>
  <c r="F12" i="35"/>
  <c r="P8" i="1"/>
  <c r="O8" i="1"/>
  <c r="AZ393" i="3"/>
  <c r="AZ412" i="3"/>
  <c r="AZ427" i="3"/>
  <c r="AZ447" i="3"/>
  <c r="AZ453" i="3"/>
  <c r="AZ460" i="3"/>
  <c r="AZ464" i="3"/>
  <c r="AZ368" i="3"/>
  <c r="AZ384" i="3"/>
  <c r="AZ386" i="3"/>
  <c r="AZ208" i="3"/>
  <c r="AZ211" i="3"/>
  <c r="AZ470" i="3"/>
  <c r="AZ156" i="3"/>
  <c r="A2" i="55"/>
  <c r="B55" i="63" s="1"/>
  <c r="AZ234" i="3"/>
  <c r="AZ240" i="3"/>
  <c r="AZ243" i="3"/>
  <c r="AZ266" i="3"/>
  <c r="AZ277" i="3"/>
  <c r="AZ280" i="3"/>
  <c r="AZ293" i="3"/>
  <c r="AZ116" i="3"/>
  <c r="AZ29" i="3"/>
  <c r="AZ34" i="3"/>
  <c r="AZ37" i="3"/>
  <c r="AZ61" i="3"/>
  <c r="AZ76" i="3"/>
  <c r="AZ202" i="3"/>
  <c r="AZ21" i="3"/>
  <c r="AZ53" i="3"/>
  <c r="AZ72" i="3"/>
  <c r="C14" i="59"/>
  <c r="D13" i="59"/>
  <c r="AZ92" i="3"/>
  <c r="AZ96" i="3"/>
  <c r="AZ100" i="3"/>
  <c r="AZ105" i="3"/>
  <c r="G13" i="3"/>
  <c r="B74" i="46"/>
  <c r="S21" i="21"/>
  <c r="S18" i="35"/>
  <c r="F31" i="39"/>
  <c r="AA31" i="39" s="1"/>
  <c r="BA13" i="3"/>
  <c r="AC12" i="46"/>
  <c r="AC13" i="46" s="1"/>
  <c r="Z12" i="46"/>
  <c r="Z13" i="46" s="1"/>
  <c r="H1" i="65"/>
  <c r="F24" i="43"/>
  <c r="C26" i="43" s="1"/>
  <c r="D24" i="43" s="1"/>
  <c r="F18" i="11"/>
  <c r="C18" i="11" s="1"/>
  <c r="AA29" i="34"/>
  <c r="W29" i="34"/>
  <c r="U23" i="34"/>
  <c r="AC41" i="34"/>
  <c r="E5" i="52"/>
  <c r="E7" i="52"/>
  <c r="W37" i="34"/>
  <c r="W43" i="34"/>
  <c r="W46" i="34"/>
  <c r="U17" i="34"/>
  <c r="S19" i="34"/>
  <c r="E10" i="52"/>
  <c r="B11" i="52"/>
  <c r="B7" i="52"/>
  <c r="B8" i="52"/>
  <c r="B16" i="52"/>
  <c r="B22" i="52"/>
  <c r="E6" i="52"/>
  <c r="E21" i="52"/>
  <c r="AA33" i="34"/>
  <c r="S43" i="34"/>
  <c r="AB40" i="34"/>
  <c r="AA41" i="34"/>
  <c r="AB41" i="34"/>
  <c r="AC40" i="34"/>
  <c r="AB39" i="34"/>
  <c r="AA36" i="34"/>
  <c r="AC36" i="34"/>
  <c r="AB33" i="34"/>
  <c r="AC15" i="34"/>
  <c r="AA15" i="34"/>
  <c r="G83" i="39"/>
  <c r="J13" i="39" s="1"/>
  <c r="H6" i="31"/>
  <c r="I6" i="31" s="1"/>
  <c r="J6" i="31" s="1"/>
  <c r="K6" i="31" s="1"/>
  <c r="L6" i="31" s="1"/>
  <c r="M6" i="31" s="1"/>
  <c r="N6" i="31" s="1"/>
  <c r="O6" i="31" s="1"/>
  <c r="P6" i="31" s="1"/>
  <c r="Q6" i="31" s="1"/>
  <c r="R6" i="31" s="1"/>
  <c r="S6" i="31" s="1"/>
  <c r="E27" i="31"/>
  <c r="E26" i="31"/>
  <c r="E28" i="31"/>
  <c r="AB43" i="39"/>
  <c r="AC44" i="39"/>
  <c r="AC43" i="39"/>
  <c r="F107" i="39"/>
  <c r="G107" i="39" s="1"/>
  <c r="H107" i="39" s="1"/>
  <c r="I107" i="39" s="1"/>
  <c r="J107" i="39" s="1"/>
  <c r="K107" i="39" s="1"/>
  <c r="L107" i="39" s="1"/>
  <c r="M107" i="39" s="1"/>
  <c r="F33" i="39"/>
  <c r="J33" i="39"/>
  <c r="AC33" i="39" s="1"/>
  <c r="H33" i="39"/>
  <c r="W33" i="34"/>
  <c r="S17" i="34"/>
  <c r="AC17" i="34"/>
  <c r="U15" i="34"/>
  <c r="G70" i="34"/>
  <c r="H70" i="34" s="1"/>
  <c r="I70" i="34" s="1"/>
  <c r="J70" i="34" s="1"/>
  <c r="K70" i="34" s="1"/>
  <c r="L70" i="34" s="1"/>
  <c r="M70" i="34" s="1"/>
  <c r="F11" i="34"/>
  <c r="S11" i="34" s="1"/>
  <c r="H11" i="34"/>
  <c r="AB11" i="34" s="1"/>
  <c r="J11" i="34"/>
  <c r="W11" i="34" s="1"/>
  <c r="W10" i="34"/>
  <c r="U9" i="34"/>
  <c r="S9" i="34"/>
  <c r="W9" i="34"/>
  <c r="G115" i="46"/>
  <c r="H115" i="46" s="1"/>
  <c r="D113" i="46"/>
  <c r="H106" i="46"/>
  <c r="H109" i="46"/>
  <c r="H102" i="46"/>
  <c r="M109" i="46"/>
  <c r="J106" i="46"/>
  <c r="J105" i="46"/>
  <c r="J104" i="46"/>
  <c r="C109" i="46"/>
  <c r="C106" i="46"/>
  <c r="M103" i="46"/>
  <c r="M104" i="46"/>
  <c r="S41" i="39"/>
  <c r="W41" i="39"/>
  <c r="W33" i="39"/>
  <c r="AC31" i="39"/>
  <c r="S31" i="39"/>
  <c r="S23" i="39"/>
  <c r="AA23" i="39"/>
  <c r="W23" i="39"/>
  <c r="U23" i="39"/>
  <c r="F93" i="39"/>
  <c r="G93" i="39" s="1"/>
  <c r="J19" i="39"/>
  <c r="F19" i="39"/>
  <c r="H19" i="39"/>
  <c r="AB17" i="39"/>
  <c r="AB29" i="39"/>
  <c r="E11" i="52"/>
  <c r="B10" i="52"/>
  <c r="B4" i="52"/>
  <c r="E9" i="52"/>
  <c r="B23" i="52"/>
  <c r="B6" i="52"/>
  <c r="B14" i="52"/>
  <c r="B5" i="52"/>
  <c r="E4" i="52"/>
  <c r="B13" i="52"/>
  <c r="E8" i="52"/>
  <c r="W25" i="39"/>
  <c r="S25" i="39"/>
  <c r="AB25" i="39"/>
  <c r="AA7" i="36"/>
  <c r="R36" i="36" s="1"/>
  <c r="S7" i="36"/>
  <c r="M48" i="35"/>
  <c r="N48" i="35" s="1"/>
  <c r="O48" i="35" s="1"/>
  <c r="J7" i="35"/>
  <c r="M59" i="34"/>
  <c r="N59" i="34" s="1"/>
  <c r="O59" i="34" s="1"/>
  <c r="H12" i="39"/>
  <c r="F12" i="39"/>
  <c r="J12" i="39"/>
  <c r="F12" i="40"/>
  <c r="G67" i="40"/>
  <c r="H65" i="40"/>
  <c r="E70" i="39"/>
  <c r="D72" i="39"/>
  <c r="D52" i="37"/>
  <c r="E58" i="21"/>
  <c r="E58" i="33"/>
  <c r="C27" i="43"/>
  <c r="C28" i="15"/>
  <c r="C15" i="43"/>
  <c r="C15" i="12"/>
  <c r="C31" i="43"/>
  <c r="C30" i="44"/>
  <c r="C25" i="12"/>
  <c r="C34" i="12" s="1"/>
  <c r="D33" i="12" s="1"/>
  <c r="H7" i="34"/>
  <c r="F7" i="34"/>
  <c r="C8" i="44"/>
  <c r="I55" i="44"/>
  <c r="L57" i="44"/>
  <c r="J54" i="44"/>
  <c r="J60" i="44"/>
  <c r="J58" i="44"/>
  <c r="J56" i="44" s="1"/>
  <c r="J59" i="44" s="1"/>
  <c r="Q52" i="44" s="1"/>
  <c r="J61" i="44"/>
  <c r="Q50" i="44" s="1"/>
  <c r="F67" i="15"/>
  <c r="F65" i="15"/>
  <c r="C29" i="44"/>
  <c r="M9" i="44"/>
  <c r="J8" i="44" s="1"/>
  <c r="F62" i="15"/>
  <c r="C61" i="15" s="1"/>
  <c r="C34" i="15"/>
  <c r="J20" i="15"/>
  <c r="F64" i="15"/>
  <c r="C27" i="15"/>
  <c r="F50" i="15"/>
  <c r="C6" i="15"/>
  <c r="J57" i="15"/>
  <c r="J55" i="15" s="1"/>
  <c r="J58" i="15" s="1"/>
  <c r="Q51" i="15" s="1"/>
  <c r="I54" i="15"/>
  <c r="L56" i="15"/>
  <c r="J53" i="15"/>
  <c r="C4" i="65"/>
  <c r="B39" i="1" s="1"/>
  <c r="C36" i="44"/>
  <c r="F63" i="15"/>
  <c r="L59" i="15"/>
  <c r="L58" i="15"/>
  <c r="F68" i="15"/>
  <c r="Q72" i="15"/>
  <c r="Q73" i="44"/>
  <c r="L59" i="44"/>
  <c r="L60" i="44"/>
  <c r="F49" i="15"/>
  <c r="M7" i="15"/>
  <c r="J6" i="15" s="1"/>
  <c r="J22" i="44"/>
  <c r="F70" i="15"/>
  <c r="C17" i="15"/>
  <c r="C18" i="44"/>
  <c r="C16" i="15"/>
  <c r="H7" i="35" l="1"/>
  <c r="AZ13" i="3"/>
  <c r="AZ5" i="3" s="1"/>
  <c r="BA5" i="3"/>
  <c r="E27" i="6" s="1"/>
  <c r="K19" i="6" s="1"/>
  <c r="AA12" i="35"/>
  <c r="S12" i="35"/>
  <c r="AA9" i="35"/>
  <c r="S9" i="35"/>
  <c r="W19" i="21"/>
  <c r="AC19" i="21"/>
  <c r="AB7" i="36"/>
  <c r="T36" i="36" s="1"/>
  <c r="G36" i="36" s="1"/>
  <c r="U7" i="36"/>
  <c r="G5" i="3"/>
  <c r="B3" i="3" s="1"/>
  <c r="E13" i="3" s="1"/>
  <c r="D14" i="59"/>
  <c r="C15" i="59"/>
  <c r="W9" i="35"/>
  <c r="AC9" i="35"/>
  <c r="AB10" i="34"/>
  <c r="U10" i="34"/>
  <c r="S19" i="21"/>
  <c r="AA19" i="21"/>
  <c r="AB19" i="21"/>
  <c r="U19" i="21"/>
  <c r="AA29" i="39"/>
  <c r="S29" i="39"/>
  <c r="S15" i="21"/>
  <c r="AA15" i="21"/>
  <c r="J12" i="40"/>
  <c r="H12" i="40"/>
  <c r="E30" i="6"/>
  <c r="K20" i="6"/>
  <c r="M20" i="6" s="1"/>
  <c r="I20" i="6" s="1"/>
  <c r="S20" i="6" s="1"/>
  <c r="K14" i="1"/>
  <c r="K25" i="6"/>
  <c r="M25" i="6" s="1"/>
  <c r="I25" i="6" s="1"/>
  <c r="S25" i="6" s="1"/>
  <c r="K26" i="6"/>
  <c r="M26" i="6" s="1"/>
  <c r="I26" i="6" s="1"/>
  <c r="S26" i="6" s="1"/>
  <c r="K23" i="6"/>
  <c r="M23" i="6" s="1"/>
  <c r="I23" i="6" s="1"/>
  <c r="S23" i="6" s="1"/>
  <c r="W7" i="36"/>
  <c r="AC7" i="36"/>
  <c r="V36" i="36" s="1"/>
  <c r="I36" i="36" s="1"/>
  <c r="I40" i="36" s="1"/>
  <c r="J40" i="36" s="1"/>
  <c r="AA11" i="34"/>
  <c r="AC11" i="34"/>
  <c r="AC13" i="39"/>
  <c r="W13" i="39"/>
  <c r="H83" i="39"/>
  <c r="I83" i="39" s="1"/>
  <c r="J83" i="39" s="1"/>
  <c r="K83" i="39" s="1"/>
  <c r="L83" i="39" s="1"/>
  <c r="M83" i="39" s="1"/>
  <c r="H13" i="39"/>
  <c r="F13" i="39"/>
  <c r="U33" i="39"/>
  <c r="AB33" i="39"/>
  <c r="S33" i="39"/>
  <c r="AA33" i="39"/>
  <c r="U11" i="34"/>
  <c r="U19" i="39"/>
  <c r="AB19" i="39"/>
  <c r="AC19" i="39"/>
  <c r="W19" i="39"/>
  <c r="S19" i="39"/>
  <c r="AA19" i="39"/>
  <c r="AB7" i="34"/>
  <c r="U7" i="34"/>
  <c r="S7" i="34"/>
  <c r="AA7" i="34"/>
  <c r="F58" i="33"/>
  <c r="F58" i="21"/>
  <c r="E52" i="37"/>
  <c r="E72" i="39"/>
  <c r="F70" i="39"/>
  <c r="I65" i="40"/>
  <c r="H67" i="40"/>
  <c r="S12" i="40"/>
  <c r="AA12" i="40"/>
  <c r="AA12" i="39"/>
  <c r="S12" i="39"/>
  <c r="J7" i="34"/>
  <c r="W7" i="35"/>
  <c r="AC7" i="35"/>
  <c r="V38" i="35" s="1"/>
  <c r="I38" i="35" s="1"/>
  <c r="F7" i="35"/>
  <c r="W12" i="39"/>
  <c r="AC12" i="39"/>
  <c r="AB12" i="39"/>
  <c r="U12" i="39"/>
  <c r="U7" i="35"/>
  <c r="AB7" i="35"/>
  <c r="T38" i="35" s="1"/>
  <c r="G38" i="35" s="1"/>
  <c r="E36" i="36"/>
  <c r="R37" i="36"/>
  <c r="L47" i="44"/>
  <c r="Q62" i="44"/>
  <c r="Q75" i="44"/>
  <c r="Q62" i="15"/>
  <c r="Q75" i="15"/>
  <c r="F11" i="15"/>
  <c r="M11" i="15"/>
  <c r="J10" i="15" s="1"/>
  <c r="J5" i="15" s="1"/>
  <c r="F13" i="44"/>
  <c r="C12" i="44" s="1"/>
  <c r="C7" i="44" s="1"/>
  <c r="M13" i="44"/>
  <c r="J12" i="44" s="1"/>
  <c r="J7" i="44" s="1"/>
  <c r="F1" i="15"/>
  <c r="Q53" i="15"/>
  <c r="Q63" i="44"/>
  <c r="Q76" i="44"/>
  <c r="Q74" i="15"/>
  <c r="Q61" i="15"/>
  <c r="C48" i="15"/>
  <c r="Q54" i="44"/>
  <c r="F1" i="44"/>
  <c r="I4" i="65"/>
  <c r="I3" i="65"/>
  <c r="J3" i="65"/>
  <c r="J5" i="65"/>
  <c r="I7" i="65"/>
  <c r="I6" i="65"/>
  <c r="J4" i="65"/>
  <c r="J7" i="65"/>
  <c r="J6" i="65"/>
  <c r="I5" i="65"/>
  <c r="J1" i="65" l="1"/>
  <c r="E20" i="46"/>
  <c r="M19" i="6"/>
  <c r="S6" i="1"/>
  <c r="S16" i="1" s="1"/>
  <c r="K24" i="6"/>
  <c r="M24" i="6" s="1"/>
  <c r="I24" i="6" s="1"/>
  <c r="S24" i="6" s="1"/>
  <c r="K21" i="6"/>
  <c r="M21" i="6" s="1"/>
  <c r="I21" i="6" s="1"/>
  <c r="S21" i="6" s="1"/>
  <c r="K22" i="6"/>
  <c r="M22" i="6" s="1"/>
  <c r="I22" i="6" s="1"/>
  <c r="S22" i="6" s="1"/>
  <c r="M14" i="1"/>
  <c r="K16" i="1"/>
  <c r="AB12" i="40"/>
  <c r="U12" i="40"/>
  <c r="D15" i="59"/>
  <c r="M20" i="46" s="1"/>
  <c r="C19" i="46" s="1"/>
  <c r="T15" i="59"/>
  <c r="AY6" i="3"/>
  <c r="E3" i="6"/>
  <c r="W12" i="40"/>
  <c r="AC12" i="40"/>
  <c r="E512"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AO6"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95" i="3"/>
  <c r="E19" i="3"/>
  <c r="E498" i="3"/>
  <c r="E212" i="3"/>
  <c r="E298" i="3"/>
  <c r="E35" i="3"/>
  <c r="E361" i="3"/>
  <c r="E182" i="3"/>
  <c r="E315" i="3"/>
  <c r="E267" i="3"/>
  <c r="E323" i="3"/>
  <c r="E312" i="3"/>
  <c r="E159" i="3"/>
  <c r="E514" i="3"/>
  <c r="E501" i="3"/>
  <c r="E522" i="3"/>
  <c r="E368" i="3"/>
  <c r="E572" i="3"/>
  <c r="E510" i="3"/>
  <c r="E516" i="3"/>
  <c r="E504" i="3"/>
  <c r="E227" i="3"/>
  <c r="E406" i="3"/>
  <c r="E488" i="3"/>
  <c r="E244" i="3"/>
  <c r="E71" i="3"/>
  <c r="E137" i="3"/>
  <c r="E240" i="3"/>
  <c r="E301" i="3"/>
  <c r="E382" i="3"/>
  <c r="E484" i="3"/>
  <c r="E326" i="3"/>
  <c r="E356" i="3"/>
  <c r="E481" i="3"/>
  <c r="E489"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325" i="3"/>
  <c r="E286" i="3"/>
  <c r="E396" i="3"/>
  <c r="E183" i="3"/>
  <c r="E216" i="3"/>
  <c r="E320" i="3"/>
  <c r="E392" i="3"/>
  <c r="E45" i="3"/>
  <c r="E373" i="3"/>
  <c r="E284" i="3"/>
  <c r="E360" i="3"/>
  <c r="E42" i="3"/>
  <c r="T6" i="3"/>
  <c r="E181" i="3"/>
  <c r="E144" i="3"/>
  <c r="E269" i="3"/>
  <c r="E219" i="3"/>
  <c r="E338" i="3"/>
  <c r="E562" i="3"/>
  <c r="E571" i="3"/>
  <c r="E518" i="3"/>
  <c r="E497" i="3"/>
  <c r="E167" i="3"/>
  <c r="E566" i="3"/>
  <c r="E515" i="3"/>
  <c r="E553" i="3"/>
  <c r="E494" i="3"/>
  <c r="E273" i="3"/>
  <c r="E563" i="3"/>
  <c r="E254" i="3"/>
  <c r="E112" i="3"/>
  <c r="E341" i="3"/>
  <c r="E268" i="3"/>
  <c r="E316" i="3"/>
  <c r="E175" i="3"/>
  <c r="E318" i="3"/>
  <c r="E565" i="3"/>
  <c r="E380" i="3"/>
  <c r="E503" i="3"/>
  <c r="E86"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432" i="3"/>
  <c r="E90" i="3"/>
  <c r="E153" i="3"/>
  <c r="E210" i="3"/>
  <c r="E339" i="3"/>
  <c r="E106" i="3"/>
  <c r="E14" i="3"/>
  <c r="E169" i="3"/>
  <c r="E118" i="3"/>
  <c r="E226" i="3"/>
  <c r="E378" i="3"/>
  <c r="E163" i="3"/>
  <c r="E364" i="3"/>
  <c r="E351" i="3"/>
  <c r="E342" i="3"/>
  <c r="AL6" i="3"/>
  <c r="E384" i="3"/>
  <c r="E371" i="3"/>
  <c r="E310" i="3"/>
  <c r="E567" i="3"/>
  <c r="E487" i="3"/>
  <c r="E329" i="3"/>
  <c r="AB6" i="3"/>
  <c r="E26" i="3"/>
  <c r="S6" i="3"/>
  <c r="E322" i="3"/>
  <c r="E511" i="3"/>
  <c r="E17" i="3"/>
  <c r="E377" i="3"/>
  <c r="E18" i="3"/>
  <c r="E358" i="3"/>
  <c r="E509" i="3"/>
  <c r="E20" i="3"/>
  <c r="E564" i="3"/>
  <c r="E524" i="3"/>
  <c r="E536" i="3"/>
  <c r="E506" i="3"/>
  <c r="E542" i="3"/>
  <c r="G41" i="36"/>
  <c r="H41" i="36" s="1"/>
  <c r="G40" i="36"/>
  <c r="H40" i="36" s="1"/>
  <c r="E31" i="6"/>
  <c r="AB13" i="39"/>
  <c r="U13" i="39"/>
  <c r="AA13" i="39"/>
  <c r="S13" i="39"/>
  <c r="E41" i="36"/>
  <c r="F41" i="36" s="1"/>
  <c r="E40" i="36"/>
  <c r="F40" i="36" s="1"/>
  <c r="I41" i="36"/>
  <c r="J41" i="36" s="1"/>
  <c r="I42" i="35"/>
  <c r="J42" i="35" s="1"/>
  <c r="W7" i="34"/>
  <c r="AC7" i="34"/>
  <c r="I67" i="40"/>
  <c r="J65" i="40"/>
  <c r="F52" i="37"/>
  <c r="G58" i="21"/>
  <c r="C36" i="36"/>
  <c r="C37" i="36"/>
  <c r="B3" i="36" s="1"/>
  <c r="B2" i="36" s="1"/>
  <c r="G43" i="35"/>
  <c r="H43" i="35" s="1"/>
  <c r="G42" i="35"/>
  <c r="H42" i="35" s="1"/>
  <c r="AA7" i="35"/>
  <c r="R38" i="35" s="1"/>
  <c r="S7" i="35"/>
  <c r="G70" i="39"/>
  <c r="F72" i="39"/>
  <c r="G58" i="33"/>
  <c r="J18" i="15"/>
  <c r="J26" i="15"/>
  <c r="J29" i="15" s="1"/>
  <c r="J24" i="15"/>
  <c r="J28" i="44"/>
  <c r="J31" i="44" s="1"/>
  <c r="J26" i="44"/>
  <c r="J20" i="44"/>
  <c r="C34" i="44"/>
  <c r="C40" i="44"/>
  <c r="C52" i="15"/>
  <c r="C47" i="15" s="1"/>
  <c r="C10" i="15"/>
  <c r="C5" i="15" s="1"/>
  <c r="E2" i="65"/>
  <c r="L52" i="44"/>
  <c r="E3" i="65"/>
  <c r="F17" i="11" l="1"/>
  <c r="C17" i="11" s="1"/>
  <c r="C19" i="11" s="1"/>
  <c r="C20" i="11" s="1"/>
  <c r="C21" i="11" s="1"/>
  <c r="C22" i="11" s="1"/>
  <c r="C23" i="11" s="1"/>
  <c r="B2" i="11" s="1"/>
  <c r="B3" i="11" s="1"/>
  <c r="B40" i="1"/>
  <c r="C36" i="46"/>
  <c r="T7" i="46"/>
  <c r="V7" i="46" s="1"/>
  <c r="T12" i="46"/>
  <c r="V12" i="46" s="1"/>
  <c r="T9" i="46"/>
  <c r="V9" i="46" s="1"/>
  <c r="C39" i="46"/>
  <c r="T3" i="46"/>
  <c r="V3" i="46" s="1"/>
  <c r="T10" i="46"/>
  <c r="V10" i="46" s="1"/>
  <c r="T14" i="46"/>
  <c r="V14" i="46" s="1"/>
  <c r="T5" i="46"/>
  <c r="V5" i="46" s="1"/>
  <c r="T11" i="46"/>
  <c r="V11" i="46" s="1"/>
  <c r="T15" i="46"/>
  <c r="V15" i="46" s="1"/>
  <c r="C33" i="46"/>
  <c r="C38" i="46"/>
  <c r="T8" i="46"/>
  <c r="V8" i="46" s="1"/>
  <c r="T16" i="46"/>
  <c r="V16" i="46" s="1"/>
  <c r="T13" i="46"/>
  <c r="V13" i="46" s="1"/>
  <c r="T2" i="46"/>
  <c r="V2" i="46" s="1"/>
  <c r="T6" i="46"/>
  <c r="V6" i="46" s="1"/>
  <c r="C35" i="46"/>
  <c r="C29" i="46"/>
  <c r="T4" i="46"/>
  <c r="V4" i="46" s="1"/>
  <c r="C34" i="46"/>
  <c r="C37" i="46"/>
  <c r="H6" i="3"/>
  <c r="D3" i="6"/>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P14" i="1"/>
  <c r="P16" i="1" s="1"/>
  <c r="C13" i="12" s="1"/>
  <c r="O14" i="1"/>
  <c r="O16" i="1" s="1"/>
  <c r="T6" i="1"/>
  <c r="T16" i="1" s="1"/>
  <c r="T7" i="1"/>
  <c r="T12" i="1"/>
  <c r="T10" i="1"/>
  <c r="M16" i="1"/>
  <c r="T9" i="1"/>
  <c r="T13" i="1"/>
  <c r="T11" i="1"/>
  <c r="T8" i="1"/>
  <c r="AC6" i="3"/>
  <c r="C34" i="34"/>
  <c r="C33" i="21"/>
  <c r="D16" i="12"/>
  <c r="L38" i="9"/>
  <c r="B14" i="66" s="1"/>
  <c r="B1" i="66" s="1"/>
  <c r="D10" i="11"/>
  <c r="D46" i="9"/>
  <c r="E6" i="6"/>
  <c r="C21" i="4"/>
  <c r="O5" i="54" s="1"/>
  <c r="B45" i="63" s="1"/>
  <c r="D45" i="9"/>
  <c r="D16" i="43"/>
  <c r="C16" i="43" s="1"/>
  <c r="K27" i="6"/>
  <c r="M27" i="6"/>
  <c r="I19" i="6"/>
  <c r="N17" i="46"/>
  <c r="O17" i="46"/>
  <c r="M17" i="46"/>
  <c r="P17" i="46"/>
  <c r="H58" i="33"/>
  <c r="H70" i="39"/>
  <c r="G72" i="39"/>
  <c r="R39" i="35"/>
  <c r="E38" i="35"/>
  <c r="H58" i="21"/>
  <c r="G52" i="37"/>
  <c r="K65" i="40"/>
  <c r="J67" i="40"/>
  <c r="Q69" i="44"/>
  <c r="L58" i="44"/>
  <c r="L61" i="44" s="1"/>
  <c r="C59" i="15"/>
  <c r="C65" i="15"/>
  <c r="C38" i="15"/>
  <c r="C32" i="15"/>
  <c r="Q49" i="44"/>
  <c r="Q55" i="44" s="1"/>
  <c r="Q58" i="44"/>
  <c r="Q67" i="44"/>
  <c r="C16" i="44"/>
  <c r="C14" i="15"/>
  <c r="B4" i="11" l="1"/>
  <c r="B5" i="11"/>
  <c r="C18" i="15"/>
  <c r="C15" i="15"/>
  <c r="C20" i="44"/>
  <c r="C17" i="44"/>
  <c r="C13" i="43"/>
  <c r="N16" i="1"/>
  <c r="C29" i="43" s="1"/>
  <c r="L16" i="1"/>
  <c r="C17" i="12"/>
  <c r="C14" i="12"/>
  <c r="E6" i="3"/>
  <c r="G34" i="46"/>
  <c r="I34" i="46" s="1"/>
  <c r="E34" i="46"/>
  <c r="E29" i="46"/>
  <c r="C30" i="46"/>
  <c r="E30" i="46" s="1"/>
  <c r="G33" i="46"/>
  <c r="I33" i="46" s="1"/>
  <c r="E33" i="46"/>
  <c r="F26" i="44"/>
  <c r="C26" i="44" s="1"/>
  <c r="F21" i="43"/>
  <c r="C23" i="43" s="1"/>
  <c r="D21" i="43" s="1"/>
  <c r="F24" i="15"/>
  <c r="C24" i="15" s="1"/>
  <c r="F26" i="12"/>
  <c r="C27" i="12" s="1"/>
  <c r="D26" i="12" s="1"/>
  <c r="C32" i="12" s="1"/>
  <c r="D30" i="12" s="1"/>
  <c r="I27" i="6"/>
  <c r="S19" i="6"/>
  <c r="S27" i="6" s="1"/>
  <c r="C8" i="66"/>
  <c r="C7" i="66"/>
  <c r="J33" i="21"/>
  <c r="H33" i="21"/>
  <c r="F33" i="21"/>
  <c r="D22" i="12"/>
  <c r="C22" i="12" s="1"/>
  <c r="C20" i="12" s="1"/>
  <c r="D13" i="11"/>
  <c r="C13" i="11" s="1"/>
  <c r="C16" i="12"/>
  <c r="D19" i="12"/>
  <c r="C19" i="12" s="1"/>
  <c r="H34" i="34"/>
  <c r="J34" i="34"/>
  <c r="F34" i="34"/>
  <c r="D19" i="6"/>
  <c r="D25" i="6"/>
  <c r="D13" i="6"/>
  <c r="H24" i="6"/>
  <c r="D23" i="6"/>
  <c r="D28" i="6"/>
  <c r="D8" i="6"/>
  <c r="E63" i="40"/>
  <c r="D22" i="6"/>
  <c r="H25" i="6"/>
  <c r="H22" i="6"/>
  <c r="F45" i="9"/>
  <c r="K38" i="9"/>
  <c r="C14" i="66" s="1"/>
  <c r="B2" i="66" s="1"/>
  <c r="D11" i="6"/>
  <c r="D9" i="6"/>
  <c r="H26" i="6"/>
  <c r="E46" i="9"/>
  <c r="H19" i="6"/>
  <c r="C22" i="4"/>
  <c r="D21" i="6"/>
  <c r="D10" i="6"/>
  <c r="H21" i="6"/>
  <c r="D6" i="6"/>
  <c r="D14" i="6"/>
  <c r="D20" i="6"/>
  <c r="H23" i="6"/>
  <c r="D24" i="6"/>
  <c r="R24" i="6" s="1"/>
  <c r="D12" i="6"/>
  <c r="D5" i="6"/>
  <c r="D15" i="6"/>
  <c r="F46" i="9"/>
  <c r="D26" i="6"/>
  <c r="R26" i="6" s="1"/>
  <c r="H20" i="6"/>
  <c r="D29" i="6"/>
  <c r="E45" i="9"/>
  <c r="G37" i="46"/>
  <c r="I37" i="46" s="1"/>
  <c r="E37" i="46"/>
  <c r="E35" i="46"/>
  <c r="G35" i="46"/>
  <c r="I35" i="46" s="1"/>
  <c r="G38" i="46"/>
  <c r="I38" i="46" s="1"/>
  <c r="E38" i="46"/>
  <c r="G39" i="46"/>
  <c r="I39" i="46" s="1"/>
  <c r="E39" i="46"/>
  <c r="E36" i="46"/>
  <c r="G36" i="46"/>
  <c r="I36" i="46" s="1"/>
  <c r="H52" i="37"/>
  <c r="I58" i="21"/>
  <c r="C39" i="35"/>
  <c r="B3" i="35" s="1"/>
  <c r="B2" i="35" s="1"/>
  <c r="C38" i="35"/>
  <c r="I70" i="39"/>
  <c r="H72" i="39"/>
  <c r="I58" i="33"/>
  <c r="K67" i="40"/>
  <c r="L65" i="40"/>
  <c r="E43" i="35"/>
  <c r="F43" i="35" s="1"/>
  <c r="E42" i="35"/>
  <c r="F42" i="35" s="1"/>
  <c r="I43" i="35"/>
  <c r="J43" i="35" s="1"/>
  <c r="Q59" i="44"/>
  <c r="Q64" i="44" s="1"/>
  <c r="Q68" i="44"/>
  <c r="Q77" i="44" s="1"/>
  <c r="F7" i="67"/>
  <c r="C21" i="44" l="1"/>
  <c r="C22" i="44" s="1"/>
  <c r="C28" i="44" s="1"/>
  <c r="C18" i="12"/>
  <c r="C23" i="12" s="1"/>
  <c r="C19" i="15"/>
  <c r="E4" i="67"/>
  <c r="C20" i="15"/>
  <c r="C23" i="15" s="1"/>
  <c r="R20" i="6"/>
  <c r="A20" i="64"/>
  <c r="A20" i="51"/>
  <c r="B15" i="63" s="1"/>
  <c r="A6" i="64"/>
  <c r="N5" i="54"/>
  <c r="B43" i="63" s="1"/>
  <c r="A6" i="51"/>
  <c r="B7" i="63" s="1"/>
  <c r="D7" i="66"/>
  <c r="D8" i="66"/>
  <c r="R22" i="6"/>
  <c r="D16" i="6"/>
  <c r="R23" i="6"/>
  <c r="R19" i="6"/>
  <c r="D27" i="6"/>
  <c r="AC34" i="34"/>
  <c r="V49" i="34" s="1"/>
  <c r="I49" i="34" s="1"/>
  <c r="W34" i="34"/>
  <c r="AA33" i="21"/>
  <c r="S33" i="21"/>
  <c r="W33" i="21"/>
  <c r="AC33" i="21"/>
  <c r="C26" i="46"/>
  <c r="R21" i="6"/>
  <c r="H27" i="6"/>
  <c r="D30" i="6"/>
  <c r="R25" i="6"/>
  <c r="AA34" i="34"/>
  <c r="R49" i="34" s="1"/>
  <c r="S34" i="34"/>
  <c r="AB34" i="34"/>
  <c r="T49" i="34" s="1"/>
  <c r="G49" i="34" s="1"/>
  <c r="G53" i="34" s="1"/>
  <c r="H53" i="34" s="1"/>
  <c r="U34" i="34"/>
  <c r="AB33" i="21"/>
  <c r="U33" i="21"/>
  <c r="C27" i="46"/>
  <c r="C17" i="43"/>
  <c r="C14" i="43"/>
  <c r="J58" i="21"/>
  <c r="I52" i="37"/>
  <c r="L67" i="40"/>
  <c r="M65" i="40"/>
  <c r="J58" i="33"/>
  <c r="K58" i="33" s="1"/>
  <c r="L58" i="33" s="1"/>
  <c r="M58" i="33" s="1"/>
  <c r="N58" i="33" s="1"/>
  <c r="O58" i="33" s="1"/>
  <c r="J7" i="33" s="1"/>
  <c r="F7" i="33"/>
  <c r="H7" i="33"/>
  <c r="J70" i="39"/>
  <c r="I72" i="39"/>
  <c r="E7" i="67"/>
  <c r="C25" i="44" l="1"/>
  <c r="C31" i="44" s="1"/>
  <c r="C35" i="44" s="1"/>
  <c r="C33" i="44" s="1"/>
  <c r="C18" i="43"/>
  <c r="E3" i="67"/>
  <c r="C19" i="43"/>
  <c r="C25" i="43" s="1"/>
  <c r="C24" i="43" s="1"/>
  <c r="E49" i="34"/>
  <c r="R50" i="34"/>
  <c r="D31" i="6"/>
  <c r="B2" i="46"/>
  <c r="G54" i="34"/>
  <c r="H54" i="34" s="1"/>
  <c r="I54" i="34"/>
  <c r="J54" i="34" s="1"/>
  <c r="I53" i="34"/>
  <c r="J53" i="34" s="1"/>
  <c r="R6" i="1"/>
  <c r="R16" i="1" s="1"/>
  <c r="R27" i="6"/>
  <c r="C26" i="15"/>
  <c r="C29" i="15" s="1"/>
  <c r="AC7" i="33"/>
  <c r="V48" i="33" s="1"/>
  <c r="I48" i="33" s="1"/>
  <c r="W7" i="33"/>
  <c r="J72" i="39"/>
  <c r="K70" i="39"/>
  <c r="AA7" i="33"/>
  <c r="R48" i="33" s="1"/>
  <c r="S7" i="33"/>
  <c r="N65" i="40"/>
  <c r="N67" i="40" s="1"/>
  <c r="M67" i="40"/>
  <c r="J9" i="40" s="1"/>
  <c r="U7" i="33"/>
  <c r="AB7" i="33"/>
  <c r="T48" i="33" s="1"/>
  <c r="G48" i="33" s="1"/>
  <c r="J52" i="37"/>
  <c r="K58" i="21"/>
  <c r="B7" i="67"/>
  <c r="J16" i="44" l="1"/>
  <c r="J15" i="44" s="1"/>
  <c r="J25" i="44" s="1"/>
  <c r="Q51" i="44"/>
  <c r="J21" i="44"/>
  <c r="J19" i="44" s="1"/>
  <c r="C38" i="44"/>
  <c r="C15" i="44"/>
  <c r="C39" i="44" s="1"/>
  <c r="C32" i="44" s="1"/>
  <c r="C42" i="44" s="1"/>
  <c r="C22" i="43"/>
  <c r="C21" i="43" s="1"/>
  <c r="C28" i="43" s="1"/>
  <c r="C30" i="43" s="1"/>
  <c r="C32" i="43" s="1"/>
  <c r="B2" i="43" s="1"/>
  <c r="B2" i="67"/>
  <c r="J24" i="44"/>
  <c r="I6" i="6"/>
  <c r="I5" i="6"/>
  <c r="E54" i="34"/>
  <c r="F54" i="34" s="1"/>
  <c r="E53" i="34"/>
  <c r="F53" i="34" s="1"/>
  <c r="C33" i="15"/>
  <c r="C31" i="15" s="1"/>
  <c r="C13" i="15"/>
  <c r="C36" i="15"/>
  <c r="J59" i="15"/>
  <c r="J60" i="15" s="1"/>
  <c r="C56" i="15"/>
  <c r="J14" i="15"/>
  <c r="Q50" i="15"/>
  <c r="J19" i="15"/>
  <c r="J17" i="15" s="1"/>
  <c r="D4" i="46"/>
  <c r="B4" i="46"/>
  <c r="B3" i="46"/>
  <c r="Q72" i="44"/>
  <c r="C43" i="44"/>
  <c r="C49" i="34"/>
  <c r="C50" i="34"/>
  <c r="W9" i="40"/>
  <c r="AC9" i="40"/>
  <c r="V44" i="40" s="1"/>
  <c r="I44" i="40" s="1"/>
  <c r="F9" i="40"/>
  <c r="H9" i="40"/>
  <c r="E48" i="33"/>
  <c r="R49" i="33"/>
  <c r="L58" i="21"/>
  <c r="K52" i="37"/>
  <c r="L52" i="37" s="1"/>
  <c r="M52" i="37" s="1"/>
  <c r="N52" i="37" s="1"/>
  <c r="O52" i="37" s="1"/>
  <c r="H7" i="37" s="1"/>
  <c r="F7" i="37"/>
  <c r="J7" i="37"/>
  <c r="G52" i="33"/>
  <c r="H52" i="33" s="1"/>
  <c r="G53" i="33"/>
  <c r="H53" i="33" s="1"/>
  <c r="K72" i="39"/>
  <c r="L70" i="39"/>
  <c r="I52" i="33"/>
  <c r="J52" i="33" s="1"/>
  <c r="I53" i="33"/>
  <c r="J53" i="33" s="1"/>
  <c r="B5" i="43" l="1"/>
  <c r="B3" i="43"/>
  <c r="B4" i="43"/>
  <c r="Q71" i="44"/>
  <c r="Q70" i="44" s="1"/>
  <c r="C44" i="44"/>
  <c r="C45" i="44" s="1"/>
  <c r="B2" i="44" s="1"/>
  <c r="C63" i="15"/>
  <c r="C60" i="15"/>
  <c r="C58" i="15" s="1"/>
  <c r="B3" i="34"/>
  <c r="B2" i="34" s="1"/>
  <c r="C10" i="12" s="1"/>
  <c r="C6" i="12" s="1"/>
  <c r="C8" i="12"/>
  <c r="J22" i="15"/>
  <c r="J13" i="15"/>
  <c r="J23" i="15" s="1"/>
  <c r="J16" i="15" s="1"/>
  <c r="J25" i="15" s="1"/>
  <c r="L46" i="15"/>
  <c r="Q49" i="15"/>
  <c r="C55" i="15"/>
  <c r="C64" i="15" s="1"/>
  <c r="J35" i="15"/>
  <c r="J39" i="15" s="1"/>
  <c r="J40" i="15" s="1"/>
  <c r="C37" i="15"/>
  <c r="C30" i="15" s="1"/>
  <c r="C39" i="15" s="1"/>
  <c r="Q71" i="15"/>
  <c r="J18" i="44"/>
  <c r="J27" i="44" s="1"/>
  <c r="B4" i="67"/>
  <c r="B3" i="67"/>
  <c r="AB7" i="37"/>
  <c r="T42" i="37" s="1"/>
  <c r="G42" i="37" s="1"/>
  <c r="U7" i="37"/>
  <c r="S7" i="37"/>
  <c r="AA7" i="37"/>
  <c r="R42" i="37" s="1"/>
  <c r="L72" i="39"/>
  <c r="M70" i="39"/>
  <c r="AC7" i="37"/>
  <c r="V42" i="37" s="1"/>
  <c r="I42" i="37" s="1"/>
  <c r="W7" i="37"/>
  <c r="M58" i="21"/>
  <c r="E53" i="33"/>
  <c r="F53" i="33" s="1"/>
  <c r="E52" i="33"/>
  <c r="F52" i="33" s="1"/>
  <c r="AA9" i="40"/>
  <c r="R44" i="40" s="1"/>
  <c r="S9" i="40"/>
  <c r="I48" i="40"/>
  <c r="J48" i="40" s="1"/>
  <c r="C48" i="33"/>
  <c r="C49" i="33"/>
  <c r="B3" i="33" s="1"/>
  <c r="B2" i="33" s="1"/>
  <c r="AB9" i="40"/>
  <c r="T44" i="40" s="1"/>
  <c r="G44" i="40" s="1"/>
  <c r="U9" i="40"/>
  <c r="R27" i="31"/>
  <c r="S27" i="31" s="1"/>
  <c r="R28" i="31"/>
  <c r="S28" i="31" s="1"/>
  <c r="R25" i="31"/>
  <c r="S25" i="31" s="1"/>
  <c r="R26" i="31"/>
  <c r="S26" i="31" s="1"/>
  <c r="C24" i="12" l="1"/>
  <c r="C29" i="12"/>
  <c r="C40" i="15"/>
  <c r="Q70" i="15"/>
  <c r="Q69" i="15" s="1"/>
  <c r="C57" i="15"/>
  <c r="C66" i="15" s="1"/>
  <c r="C67" i="15" s="1"/>
  <c r="B5" i="44"/>
  <c r="B4" i="44"/>
  <c r="B3" i="44"/>
  <c r="G49" i="40"/>
  <c r="H49" i="40" s="1"/>
  <c r="G48" i="40"/>
  <c r="H48" i="40" s="1"/>
  <c r="E44" i="40"/>
  <c r="R45" i="40"/>
  <c r="N70" i="39"/>
  <c r="N72" i="39" s="1"/>
  <c r="M72" i="39"/>
  <c r="E42" i="37"/>
  <c r="R43" i="37"/>
  <c r="N58" i="21"/>
  <c r="O58" i="21" s="1"/>
  <c r="H7" i="21" s="1"/>
  <c r="I46" i="37"/>
  <c r="J46" i="37" s="1"/>
  <c r="I47" i="37"/>
  <c r="J47" i="37" s="1"/>
  <c r="G46" i="37"/>
  <c r="H46" i="37" s="1"/>
  <c r="G47" i="37"/>
  <c r="H47" i="37" s="1"/>
  <c r="L51" i="15"/>
  <c r="Q68" i="15" l="1"/>
  <c r="L57" i="15"/>
  <c r="L60" i="15" s="1"/>
  <c r="Q66" i="15"/>
  <c r="C43" i="15"/>
  <c r="J42" i="15"/>
  <c r="J43" i="15" s="1"/>
  <c r="B2" i="15"/>
  <c r="B3" i="15" s="1"/>
  <c r="Q48" i="15"/>
  <c r="Q54" i="15" s="1"/>
  <c r="Q57" i="15"/>
  <c r="C46" i="15"/>
  <c r="C70" i="15"/>
  <c r="C28" i="12"/>
  <c r="C26" i="12" s="1"/>
  <c r="C31" i="12" s="1"/>
  <c r="C30" i="12" s="1"/>
  <c r="C35" i="12"/>
  <c r="C33" i="12" s="1"/>
  <c r="U7" i="21"/>
  <c r="AB7" i="21"/>
  <c r="T48" i="21" s="1"/>
  <c r="G48" i="21" s="1"/>
  <c r="C43" i="37"/>
  <c r="B3" i="37" s="1"/>
  <c r="B2" i="37" s="1"/>
  <c r="C42" i="37"/>
  <c r="C44" i="40"/>
  <c r="C45" i="40"/>
  <c r="J7" i="21"/>
  <c r="F7" i="21"/>
  <c r="E46" i="37"/>
  <c r="F46" i="37" s="1"/>
  <c r="E47" i="37"/>
  <c r="F47" i="37" s="1"/>
  <c r="H9" i="39"/>
  <c r="F9" i="39"/>
  <c r="J9" i="39"/>
  <c r="E48" i="40"/>
  <c r="F48" i="40" s="1"/>
  <c r="E49" i="40"/>
  <c r="F49" i="40" s="1"/>
  <c r="I49" i="40"/>
  <c r="J49" i="40" s="1"/>
  <c r="Q58" i="15" l="1"/>
  <c r="Q63" i="15" s="1"/>
  <c r="Q67" i="15"/>
  <c r="Q76" i="15" s="1"/>
  <c r="C36" i="12"/>
  <c r="B2" i="12" s="1"/>
  <c r="AC9" i="39"/>
  <c r="V49" i="39" s="1"/>
  <c r="I49" i="39" s="1"/>
  <c r="W9" i="39"/>
  <c r="S9" i="39"/>
  <c r="AA9" i="39"/>
  <c r="R49" i="39" s="1"/>
  <c r="S7" i="21"/>
  <c r="AA7" i="21"/>
  <c r="R48" i="21" s="1"/>
  <c r="B54" i="40"/>
  <c r="F54" i="40" s="1"/>
  <c r="B57" i="40"/>
  <c r="F57" i="40" s="1"/>
  <c r="B56" i="40"/>
  <c r="F56" i="40" s="1"/>
  <c r="F63" i="40"/>
  <c r="B2" i="40" s="1"/>
  <c r="B58" i="40"/>
  <c r="F58" i="40" s="1"/>
  <c r="B60" i="40"/>
  <c r="F60" i="40" s="1"/>
  <c r="B62" i="40"/>
  <c r="F62" i="40" s="1"/>
  <c r="B55" i="40"/>
  <c r="F55" i="40" s="1"/>
  <c r="B53" i="40"/>
  <c r="F53" i="40" s="1"/>
  <c r="B61" i="40"/>
  <c r="F61" i="40" s="1"/>
  <c r="B59" i="40"/>
  <c r="F59" i="40" s="1"/>
  <c r="G52" i="21"/>
  <c r="H52" i="21" s="1"/>
  <c r="U9" i="39"/>
  <c r="AB9" i="39"/>
  <c r="T49" i="39" s="1"/>
  <c r="G49" i="39" s="1"/>
  <c r="AC7" i="21"/>
  <c r="V48" i="21" s="1"/>
  <c r="I48" i="21" s="1"/>
  <c r="W7" i="21"/>
  <c r="D19" i="9"/>
  <c r="L44" i="9" l="1"/>
  <c r="B4" i="12"/>
  <c r="B5" i="12"/>
  <c r="B3" i="12"/>
  <c r="G54" i="39"/>
  <c r="H54" i="39" s="1"/>
  <c r="G53" i="39"/>
  <c r="H53" i="39" s="1"/>
  <c r="I53" i="39"/>
  <c r="J53" i="39" s="1"/>
  <c r="I52" i="21"/>
  <c r="J52" i="21" s="1"/>
  <c r="G53" i="21"/>
  <c r="H53" i="21" s="1"/>
  <c r="B3" i="40"/>
  <c r="B5" i="40"/>
  <c r="B4" i="40"/>
  <c r="R49" i="21"/>
  <c r="E48" i="21"/>
  <c r="E49" i="39"/>
  <c r="R50" i="39"/>
  <c r="D21" i="9"/>
  <c r="D20" i="9"/>
  <c r="E53" i="39" l="1"/>
  <c r="F53" i="39" s="1"/>
  <c r="E54" i="39"/>
  <c r="F54" i="39" s="1"/>
  <c r="C48" i="21"/>
  <c r="C49" i="21"/>
  <c r="B3" i="21" s="1"/>
  <c r="B2" i="21" s="1"/>
  <c r="I54" i="39"/>
  <c r="J54" i="39" s="1"/>
  <c r="C49" i="39"/>
  <c r="C50" i="39"/>
  <c r="E52" i="21"/>
  <c r="F52" i="21" s="1"/>
  <c r="E53" i="21"/>
  <c r="F53" i="21" s="1"/>
  <c r="I53" i="21"/>
  <c r="J53" i="21" s="1"/>
  <c r="B61" i="39" l="1"/>
  <c r="F61" i="39" s="1"/>
  <c r="B59" i="39"/>
  <c r="F59" i="39" s="1"/>
  <c r="B66" i="39"/>
  <c r="F66" i="39" s="1"/>
  <c r="B60" i="39"/>
  <c r="F60" i="39" s="1"/>
  <c r="B62" i="39"/>
  <c r="F62" i="39" s="1"/>
  <c r="B65" i="39"/>
  <c r="F65" i="39" s="1"/>
  <c r="B67" i="39"/>
  <c r="F67" i="39" s="1"/>
  <c r="B64" i="39"/>
  <c r="F64" i="39" s="1"/>
  <c r="B63" i="39"/>
  <c r="F63" i="39" s="1"/>
  <c r="B58" i="39"/>
  <c r="F58" i="39" s="1"/>
  <c r="F68" i="39" l="1"/>
  <c r="B2" i="39" s="1"/>
  <c r="B4" i="39" s="1"/>
  <c r="C21" i="9"/>
  <c r="C19" i="9"/>
  <c r="B3" i="39" l="1"/>
  <c r="L43" i="9"/>
  <c r="D22" i="9"/>
  <c r="G19" i="9"/>
  <c r="N43" i="9" s="1"/>
  <c r="B5" i="39"/>
  <c r="G21" i="9"/>
  <c r="C20" i="9"/>
  <c r="G20" i="9" l="1"/>
  <c r="G22" i="9"/>
  <c r="C32" i="9"/>
  <c r="C42" i="9" s="1"/>
  <c r="O43" i="9" l="1"/>
  <c r="C34" i="9"/>
  <c r="E42" i="9" s="1"/>
  <c r="P5" i="54" s="1"/>
  <c r="B46" i="63" s="1"/>
  <c r="O38" i="9"/>
  <c r="K26" i="9" s="1"/>
  <c r="C35" i="9"/>
  <c r="F42" i="9" s="1"/>
  <c r="C33" i="9"/>
  <c r="N38" i="9" s="1"/>
  <c r="K28" i="9" s="1"/>
  <c r="M38" i="9"/>
  <c r="C44" i="9"/>
  <c r="R5" i="54"/>
  <c r="B48" i="63" s="1"/>
  <c r="D14" i="66"/>
  <c r="N68" i="9"/>
  <c r="D63" i="9"/>
  <c r="K25" i="9" l="1"/>
  <c r="D42" i="9"/>
  <c r="Q5" i="54" s="1"/>
  <c r="B47" i="63" s="1"/>
  <c r="D77" i="9"/>
  <c r="N75" i="9" s="1"/>
  <c r="D71" i="9"/>
  <c r="D66" i="9" s="1"/>
  <c r="N72" i="9" s="1"/>
  <c r="C90" i="9"/>
  <c r="C96" i="9"/>
  <c r="C91" i="9" s="1"/>
  <c r="C103" i="9"/>
  <c r="C82" i="9"/>
  <c r="C81" i="9" s="1"/>
  <c r="C85" i="9" s="1"/>
  <c r="C86" i="9" s="1"/>
  <c r="D72" i="9" s="1"/>
  <c r="C111" i="9"/>
  <c r="C104" i="9" s="1"/>
  <c r="D70" i="9"/>
  <c r="F14" i="66"/>
  <c r="E14" i="66"/>
  <c r="B5" i="66"/>
  <c r="D44" i="9"/>
  <c r="N69" i="9"/>
  <c r="F44" i="9"/>
  <c r="G14" i="66"/>
  <c r="B6" i="66" s="1"/>
  <c r="O39" i="9"/>
  <c r="E44" i="9"/>
  <c r="R24" i="31"/>
  <c r="S24" i="31" s="1"/>
  <c r="S22" i="31" s="1"/>
  <c r="K27" i="9"/>
  <c r="R22" i="31" l="1"/>
  <c r="B21" i="31" s="1"/>
  <c r="B20" i="31"/>
  <c r="R6" i="54"/>
  <c r="B50" i="63" s="1"/>
  <c r="K29" i="9"/>
  <c r="K30" i="9" s="1"/>
  <c r="C6" i="66"/>
  <c r="D6" i="66"/>
  <c r="M85" i="9"/>
  <c r="N85" i="9" s="1"/>
  <c r="M86" i="9"/>
  <c r="N86" i="9" s="1"/>
  <c r="M88" i="9"/>
  <c r="N88" i="9" s="1"/>
  <c r="M87" i="9"/>
  <c r="N87" i="9" s="1"/>
  <c r="M83" i="9"/>
  <c r="N83" i="9" s="1"/>
  <c r="M84" i="9"/>
  <c r="N84" i="9" s="1"/>
  <c r="D5" i="66"/>
  <c r="C5" i="66"/>
  <c r="C113" i="9"/>
  <c r="C97" i="9"/>
  <c r="C114" i="9" l="1"/>
  <c r="E114" i="9" s="1"/>
  <c r="E115" i="9" s="1"/>
  <c r="C98" i="9"/>
  <c r="E98" i="9" s="1"/>
  <c r="E99" i="9" s="1"/>
  <c r="N89" i="9"/>
  <c r="O8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<sst xmlns="http://schemas.openxmlformats.org/spreadsheetml/2006/main" count="7195" uniqueCount="3168">
  <si>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</si>
  <si>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</si>
  <si>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</si>
  <si>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</si>
  <si>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</si>
  <si>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</si>
  <si>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</si>
  <si>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</si>
  <si>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</si>
  <si>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</si>
  <si>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</si>
  <si>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</si>
  <si>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</si>
  <si>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</si>
  <si>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</si>
  <si>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</si>
  <si>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</si>
  <si>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</si>
  <si>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</si>
  <si>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</si>
  <si>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</si>
  <si>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</si>
  <si>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</si>
  <si>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</si>
  <si>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</si>
  <si>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</si>
  <si>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</si>
  <si>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</si>
  <si>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</si>
  <si>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</si>
  <si>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</si>
  <si>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</si>
  <si>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</si>
  <si>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</si>
  <si>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</si>
  <si>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</si>
  <si>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</si>
  <si>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</si>
  <si>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</si>
  <si>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</si>
  <si>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</si>
  <si>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</si>
  <si>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</si>
  <si>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</si>
  <si>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</si>
  <si>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</si>
  <si>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</si>
  <si>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</si>
  <si>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</si>
  <si>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</si>
  <si>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</si>
  <si>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</si>
  <si>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</si>
  <si>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</si>
  <si>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</si>
  <si>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</si>
  <si>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</si>
  <si>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</si>
  <si>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</si>
  <si>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</si>
  <si>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</si>
  <si>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</si>
  <si>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</si>
  <si>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</si>
  <si>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</si>
  <si>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</si>
  <si>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</si>
  <si>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</si>
  <si>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</si>
  <si>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</si>
  <si>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</si>
  <si>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</si>
  <si>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</si>
  <si>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</si>
  <si>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</si>
  <si>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</si>
  <si>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</si>
  <si>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</si>
  <si>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</si>
  <si>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</si>
  <si>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</si>
  <si>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</si>
  <si>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</si>
  <si>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</si>
  <si>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</si>
  <si>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</si>
  <si>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</si>
  <si>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</si>
  <si>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</si>
  <si>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</si>
  <si>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</si>
  <si>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</si>
  <si>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</si>
  <si>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</si>
  <si>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</si>
  <si>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</si>
  <si>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</si>
  <si>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</si>
  <si>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</si>
  <si>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</si>
  <si>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</si>
  <si>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</si>
  <si>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</si>
  <si>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</si>
  <si>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</si>
  <si>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</si>
  <si>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</si>
  <si>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</si>
  <si>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</si>
  <si>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</si>
  <si>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</si>
  <si>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</si>
  <si>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</si>
  <si>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</si>
  <si>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</si>
  <si>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</si>
  <si>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</si>
  <si>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</si>
  <si>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</si>
  <si>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</si>
  <si>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</si>
  <si>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</si>
  <si>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</si>
  <si>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</si>
  <si>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</si>
  <si>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</si>
  <si>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</si>
  <si>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</si>
  <si>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</si>
  <si>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</si>
  <si>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</si>
  <si>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</si>
  <si>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</si>
  <si>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</si>
  <si>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</si>
  <si>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</si>
  <si>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</si>
  <si>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</si>
  <si>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</si>
  <si>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</si>
  <si>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</si>
  <si>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</si>
  <si>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</si>
  <si>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</si>
  <si>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</si>
  <si>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</si>
  <si>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</si>
  <si>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</si>
  <si>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</si>
  <si>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</si>
  <si>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</si>
  <si>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</si>
  <si>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</si>
  <si>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</si>
  <si>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</si>
  <si>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</si>
  <si>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</si>
  <si>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</si>
  <si>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</si>
  <si>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</si>
  <si>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</si>
  <si>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</si>
  <si>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</si>
  <si>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</si>
  <si>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</si>
  <si>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</si>
  <si>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</si>
  <si>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</si>
  <si>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</si>
  <si>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</si>
  <si>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</si>
  <si>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</si>
  <si>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</si>
  <si>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</si>
  <si>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</si>
  <si>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</si>
  <si>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</si>
  <si>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</si>
  <si>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</si>
  <si>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</si>
  <si>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</si>
  <si>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</si>
  <si>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</si>
  <si>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</si>
  <si>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</si>
  <si>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</si>
  <si>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</si>
  <si>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</si>
  <si>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</si>
  <si>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</si>
  <si>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</si>
  <si>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</si>
  <si>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</si>
  <si>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</si>
  <si>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</si>
  <si>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</si>
  <si>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</si>
  <si>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</si>
  <si>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</si>
  <si>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</si>
  <si>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</si>
  <si>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</si>
  <si>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</si>
  <si>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</si>
  <si>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</si>
  <si>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</si>
  <si>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</si>
  <si>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</si>
  <si>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</si>
  <si>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</si>
  <si>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</si>
  <si>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</si>
  <si>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</si>
  <si>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</si>
  <si>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</si>
  <si>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</si>
  <si>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</si>
  <si>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</si>
  <si>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</si>
  <si>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</si>
  <si>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</si>
  <si>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</si>
  <si>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</si>
  <si>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</si>
  <si>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</si>
  <si>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</si>
  <si>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</si>
  <si>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</si>
  <si>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</si>
  <si>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</si>
  <si>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</si>
  <si>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</si>
  <si>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</si>
  <si>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</si>
  <si>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</si>
  <si>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</si>
  <si>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</si>
  <si>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</si>
  <si>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</si>
  <si>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</si>
  <si>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</si>
  <si>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</si>
  <si>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</si>
  <si>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</si>
  <si>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</si>
  <si>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</si>
  <si>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</si>
  <si>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</si>
  <si>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</si>
  <si>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</si>
  <si>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</si>
  <si>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</si>
  <si>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</si>
  <si>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</si>
  <si>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</si>
  <si>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</si>
  <si>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</si>
  <si>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</si>
  <si>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</si>
  <si>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</si>
  <si>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</si>
  <si>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</si>
  <si>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</si>
  <si>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</si>
  <si>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</si>
  <si>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</si>
  <si>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</si>
  <si>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</si>
  <si>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</si>
  <si>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</si>
  <si>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</si>
  <si>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</si>
  <si>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</si>
  <si>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</si>
  <si>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</si>
  <si>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</si>
  <si>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</si>
  <si>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</si>
  <si>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</si>
  <si>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</si>
  <si>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</si>
  <si>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</si>
  <si>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</si>
  <si>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</si>
  <si>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</si>
  <si>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</si>
  <si>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</si>
  <si>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</si>
  <si>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</si>
  <si>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</si>
  <si>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</si>
  <si>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</si>
  <si>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</si>
  <si>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</si>
  <si>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</si>
  <si>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</si>
  <si>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</si>
  <si>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</si>
  <si>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</si>
  <si>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</si>
  <si>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</si>
  <si>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</si>
  <si>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</si>
  <si>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</si>
  <si>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</si>
  <si>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</si>
  <si>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</si>
  <si>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</si>
  <si>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</si>
  <si>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</si>
  <si>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</si>
  <si>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</si>
  <si>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</si>
  <si>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</si>
  <si>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</si>
  <si>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</si>
  <si>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</si>
  <si>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</si>
  <si>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</si>
  <si>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</si>
  <si>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</si>
  <si>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</si>
  <si>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</si>
  <si>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</si>
  <si>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</si>
  <si>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</si>
  <si>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</si>
  <si>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</si>
  <si>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</si>
  <si>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</si>
  <si>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</si>
  <si>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</si>
  <si>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</si>
  <si>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</si>
  <si>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</si>
  <si>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</si>
  <si>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</si>
  <si>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</si>
  <si>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</si>
  <si>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</si>
  <si>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</si>
  <si>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</si>
  <si>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</si>
  <si>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</si>
  <si>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</si>
  <si>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</si>
  <si>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</si>
  <si>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</si>
  <si>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</si>
  <si>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</si>
  <si>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</si>
  <si>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</si>
  <si>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</si>
  <si>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</si>
  <si>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</si>
  <si>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</si>
  <si>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</si>
  <si>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</si>
  <si>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</si>
  <si>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</si>
  <si>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</si>
  <si>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</si>
  <si>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</si>
  <si>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</si>
  <si>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</si>
  <si>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</si>
  <si>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</si>
  <si>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</si>
  <si>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</si>
  <si>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</si>
  <si>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</si>
  <si>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</si>
  <si>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</si>
  <si>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</si>
  <si>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</si>
  <si>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</si>
  <si>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</si>
  <si>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</si>
  <si>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</si>
  <si>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</si>
  <si>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</si>
  <si>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</si>
  <si>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</si>
  <si>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</si>
  <si>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</si>
  <si>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</si>
  <si>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</si>
  <si>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</si>
  <si>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</si>
  <si>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</si>
  <si>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</si>
  <si>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</si>
  <si>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</si>
  <si>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</si>
  <si>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</si>
  <si>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</si>
  <si>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</si>
  <si>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</si>
  <si>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</si>
  <si>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</si>
  <si>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</si>
  <si>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</si>
  <si>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</si>
  <si>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</si>
  <si>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</si>
  <si>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</si>
  <si>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</si>
  <si>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</si>
  <si>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</si>
  <si>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</si>
  <si>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</si>
  <si>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</si>
  <si>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</si>
  <si>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</si>
  <si>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</si>
  <si>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</si>
  <si>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</si>
  <si>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</si>
  <si>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</si>
  <si>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</si>
  <si>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</si>
  <si>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</si>
  <si>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</si>
  <si>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</si>
  <si>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</si>
  <si>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</si>
  <si>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</si>
  <si>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</si>
  <si>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</si>
  <si>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</si>
  <si>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</si>
  <si>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</si>
  <si>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</si>
  <si>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</si>
  <si>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</si>
  <si>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</si>
  <si>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</si>
  <si>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</si>
  <si>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</si>
  <si>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</si>
  <si>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</si>
  <si>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</si>
  <si>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</si>
  <si>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</si>
  <si>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</si>
  <si>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</si>
  <si>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</si>
  <si>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</si>
  <si>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</si>
  <si>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</si>
  <si>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</si>
  <si>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</si>
  <si>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</si>
  <si>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</si>
  <si>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</si>
  <si>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</si>
  <si>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</si>
  <si>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</si>
  <si>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</si>
  <si>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</si>
  <si>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</si>
  <si>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</si>
  <si>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</si>
  <si>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</si>
  <si>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</si>
  <si>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</si>
  <si>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</si>
  <si>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</si>
  <si>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</si>
  <si>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</si>
  <si>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</si>
  <si>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</si>
  <si>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</si>
  <si>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</si>
  <si>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</si>
  <si>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</si>
  <si>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</si>
  <si>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</si>
  <si>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</si>
  <si>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</si>
  <si>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</si>
  <si>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</si>
  <si>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</si>
  <si>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</si>
  <si>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</si>
  <si>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</si>
  <si>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</si>
  <si>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</si>
  <si>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</si>
  <si>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</si>
  <si>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</si>
  <si>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</si>
  <si>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</si>
  <si>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</si>
  <si>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</si>
  <si>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</si>
  <si>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</si>
  <si>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</si>
  <si>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</si>
  <si>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</si>
  <si>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</si>
  <si>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</si>
  <si>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</si>
  <si>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</si>
  <si>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</si>
  <si>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</si>
  <si>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</si>
  <si>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</si>
  <si>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</si>
  <si>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</si>
  <si>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</si>
  <si>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</si>
  <si>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</si>
  <si>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</si>
  <si>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</si>
  <si>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</si>
  <si>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</si>
  <si>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</si>
  <si>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</si>
  <si>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</si>
  <si>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</si>
  <si>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</si>
  <si>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</si>
  <si>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</si>
  <si>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</si>
  <si>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</si>
  <si>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</si>
  <si>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</si>
  <si>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</si>
  <si>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</si>
  <si>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</si>
  <si>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</si>
  <si>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</si>
  <si>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</si>
  <si>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</si>
  <si>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</si>
  <si>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</si>
  <si>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</si>
  <si>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</si>
  <si>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</si>
  <si>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</si>
  <si>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</si>
  <si>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</si>
  <si>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</si>
  <si>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</si>
  <si>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</si>
  <si>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</si>
  <si>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</si>
  <si>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</si>
  <si>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</si>
  <si>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</si>
  <si>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</si>
  <si>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</si>
  <si>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</si>
  <si>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</si>
  <si>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</si>
  <si>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</si>
  <si>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</si>
  <si>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</si>
  <si>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</si>
  <si>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</si>
  <si>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</si>
  <si>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</si>
  <si>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</si>
  <si>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</si>
  <si>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</si>
  <si>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</si>
  <si>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</si>
  <si>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</si>
  <si>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</si>
  <si>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</si>
  <si>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</si>
  <si>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</si>
  <si>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</si>
  <si>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</si>
  <si>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</si>
  <si>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</si>
  <si>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</si>
  <si>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</si>
  <si>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</si>
  <si>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</si>
  <si>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</si>
  <si>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</si>
  <si>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</si>
  <si>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</si>
  <si>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</si>
  <si>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</si>
  <si>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</si>
  <si>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</si>
  <si>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</si>
  <si>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</si>
  <si>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</si>
  <si>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</si>
  <si>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</si>
  <si>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</si>
  <si>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</si>
  <si>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</si>
  <si>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</si>
  <si>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</si>
  <si>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</si>
  <si>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</si>
  <si>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</si>
  <si>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</si>
  <si>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</si>
  <si>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</si>
  <si>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</si>
  <si>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</si>
  <si>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</si>
  <si>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</si>
  <si>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</si>
  <si>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</si>
  <si>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</si>
  <si>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</si>
  <si>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</si>
  <si>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</si>
  <si>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</si>
  <si>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</si>
  <si>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</si>
  <si>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</si>
  <si>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</si>
  <si>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</si>
  <si>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</si>
  <si>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</si>
  <si>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</si>
  <si>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</si>
  <si>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</si>
  <si>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</si>
  <si>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</si>
  <si>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</si>
  <si>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</si>
  <si>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</si>
  <si>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</si>
  <si>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</si>
  <si>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</si>
  <si>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</si>
  <si>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</si>
  <si>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</si>
  <si>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</si>
  <si>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</si>
  <si>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</si>
  <si>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</si>
  <si>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</si>
  <si>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</si>
  <si>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</si>
  <si>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</si>
  <si>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</si>
  <si>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</si>
  <si>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</si>
  <si>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</si>
  <si>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</si>
  <si>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</si>
  <si>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</si>
  <si>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</si>
  <si>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</si>
  <si>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</si>
  <si>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</si>
  <si>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</si>
  <si>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</si>
  <si>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</si>
  <si>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</si>
  <si>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</si>
  <si>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</si>
  <si>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</si>
  <si>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</si>
  <si>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</si>
  <si>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</si>
  <si>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</si>
  <si>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</si>
  <si>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</si>
  <si>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</si>
  <si>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</si>
  <si>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</si>
  <si>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</si>
  <si>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</si>
  <si>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</si>
  <si>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</si>
  <si>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</si>
  <si>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</si>
  <si>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</si>
  <si>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</si>
  <si>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</si>
  <si>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</si>
  <si>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</si>
  <si>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</si>
  <si>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</si>
  <si>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</si>
  <si>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</si>
  <si>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</si>
  <si>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</si>
  <si>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</si>
  <si>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</si>
  <si>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</si>
  <si>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</si>
  <si>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</si>
  <si>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</si>
  <si>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</si>
  <si>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</si>
  <si>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</si>
  <si>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</si>
  <si>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</si>
  <si>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</si>
  <si>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</si>
  <si>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</si>
  <si>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</si>
  <si>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</si>
  <si>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</si>
  <si>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</si>
  <si>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</si>
  <si>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</si>
  <si>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</si>
  <si>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</si>
  <si>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</si>
  <si>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</si>
  <si>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</si>
  <si>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</si>
  <si>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</si>
  <si>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</si>
  <si>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</si>
  <si>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</si>
  <si>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</si>
  <si>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</si>
  <si>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</si>
  <si>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</si>
  <si>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</si>
  <si>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</si>
  <si>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</si>
  <si>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</si>
  <si>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</si>
  <si>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</si>
  <si>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</si>
  <si>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</si>
  <si>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</si>
  <si>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</si>
  <si>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</si>
  <si>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</si>
  <si>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</si>
  <si>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</si>
  <si>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</si>
  <si>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</si>
  <si>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</si>
  <si>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</si>
  <si>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</si>
  <si>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</si>
  <si>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</si>
  <si>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</si>
  <si>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</si>
  <si>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</si>
  <si>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</si>
  <si>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</si>
  <si>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</si>
  <si>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</si>
  <si>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</si>
  <si>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</si>
  <si>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</si>
  <si>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</si>
  <si>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</si>
  <si>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</si>
  <si>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</si>
  <si>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</si>
  <si>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</si>
  <si>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</si>
  <si>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</si>
  <si>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</si>
  <si>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</si>
  <si>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</si>
  <si>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</si>
  <si>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</si>
  <si>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</si>
  <si>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</si>
  <si>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</si>
  <si>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</si>
  <si>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</si>
  <si>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</si>
  <si>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</si>
  <si>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</si>
  <si>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</si>
  <si>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</si>
  <si>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</si>
  <si>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</si>
  <si>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</si>
  <si>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</si>
  <si>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</si>
  <si>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</si>
  <si>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</si>
  <si>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</si>
  <si>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</si>
  <si>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</si>
  <si>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</si>
  <si>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</si>
  <si>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</si>
  <si>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</si>
  <si>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</si>
  <si>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</si>
  <si>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</si>
  <si>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</si>
  <si>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</si>
  <si>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</si>
  <si>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</si>
  <si>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</si>
  <si>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</si>
  <si>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</si>
  <si>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</si>
  <si>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</si>
  <si>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</si>
  <si>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</si>
  <si>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</si>
  <si>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</si>
  <si>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</si>
  <si>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</si>
  <si>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</si>
  <si>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</si>
  <si>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</si>
  <si>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</si>
  <si>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</si>
  <si>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</si>
  <si>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</si>
  <si>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</si>
  <si>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</si>
  <si>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</si>
  <si>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</si>
  <si>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</si>
  <si>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</si>
  <si>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</si>
  <si>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</si>
  <si>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</si>
  <si>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</si>
  <si>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</si>
  <si>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</si>
  <si>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</si>
  <si>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</si>
  <si>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</si>
  <si>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</si>
  <si>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</si>
  <si>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</si>
  <si>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</si>
  <si>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</si>
  <si>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</si>
  <si>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</si>
  <si>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</si>
  <si>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</si>
  <si>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</si>
  <si>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</si>
  <si>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</si>
  <si>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</si>
  <si>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</si>
  <si>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</si>
  <si>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</si>
  <si>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</si>
  <si>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</si>
  <si>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</si>
  <si>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</si>
  <si>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</si>
  <si>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</si>
  <si>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</si>
  <si>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</si>
  <si>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</si>
  <si>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</si>
  <si>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</si>
  <si>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</si>
  <si>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</si>
  <si>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</si>
  <si>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</si>
  <si>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</si>
  <si>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</si>
  <si>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</si>
  <si>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</si>
  <si>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</si>
  <si>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</si>
  <si>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</si>
  <si>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</si>
  <si>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</si>
  <si>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</si>
  <si>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</si>
  <si>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</si>
  <si>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</si>
  <si>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</si>
  <si>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</si>
  <si>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</si>
  <si>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</si>
  <si>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</si>
  <si>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</si>
  <si>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</si>
  <si>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</si>
  <si>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</si>
  <si>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</si>
  <si>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</si>
  <si>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</si>
  <si>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</si>
  <si>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</si>
  <si>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</si>
  <si>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</si>
  <si>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</si>
  <si>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</si>
  <si>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</si>
  <si>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</si>
  <si>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</si>
  <si>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</si>
  <si>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</si>
  <si>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</si>
  <si>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</si>
  <si>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</si>
  <si>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</si>
  <si>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</si>
  <si>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</si>
  <si>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</si>
  <si>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</si>
  <si>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</si>
  <si>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</si>
  <si>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</si>
  <si>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</si>
  <si>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</si>
  <si>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</si>
  <si>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</si>
  <si>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</si>
  <si>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</si>
  <si>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</si>
  <si>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</si>
  <si>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</si>
  <si>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</si>
  <si>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</si>
  <si>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</si>
  <si>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</si>
  <si>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</si>
  <si>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</si>
  <si>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</si>
  <si>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</si>
  <si>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</si>
  <si>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</si>
  <si>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</si>
  <si>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</si>
  <si>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</si>
  <si>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</si>
  <si>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</si>
  <si>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</si>
  <si>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</si>
  <si>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</si>
  <si>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</si>
  <si>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</si>
  <si>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</si>
  <si>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</si>
  <si>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</si>
  <si>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</si>
  <si>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</si>
  <si>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</si>
  <si>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</si>
  <si>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</si>
  <si>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</si>
  <si>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</si>
  <si>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</si>
  <si>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</si>
  <si>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</si>
  <si>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</si>
  <si>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</si>
  <si>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</si>
  <si>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</si>
  <si>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</si>
  <si>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</si>
  <si>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</si>
  <si>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</si>
  <si>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</si>
  <si>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</si>
  <si>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</si>
  <si>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</si>
  <si>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</si>
  <si>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</si>
  <si>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</si>
  <si>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</si>
  <si>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</si>
  <si>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</si>
  <si>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</si>
  <si>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</si>
  <si>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</si>
  <si>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</si>
  <si>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</si>
  <si>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</si>
  <si>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</si>
  <si>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</si>
  <si>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</si>
  <si>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</si>
  <si>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</si>
  <si>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</si>
  <si>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</si>
  <si>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</si>
  <si>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</si>
  <si>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</si>
  <si>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</si>
  <si>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</si>
  <si>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</si>
  <si>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</si>
  <si>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</si>
  <si>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</si>
  <si>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</si>
  <si>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</si>
  <si>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</si>
  <si>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</si>
  <si>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</si>
  <si>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</si>
  <si>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</si>
  <si>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</si>
  <si>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</si>
  <si>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</si>
  <si>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</si>
  <si>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</si>
  <si>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</si>
  <si>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</si>
  <si>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</si>
  <si>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</si>
  <si>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</si>
  <si>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</si>
  <si>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</si>
  <si>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</si>
  <si>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</si>
  <si>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</si>
  <si>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</si>
  <si>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</si>
  <si>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</si>
  <si>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</si>
  <si>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</si>
  <si>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</si>
  <si>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</si>
  <si>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</si>
  <si>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</si>
  <si>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</si>
  <si>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</si>
  <si>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</si>
  <si>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</si>
  <si>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</si>
  <si>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</si>
  <si>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</si>
  <si>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</si>
  <si>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</si>
  <si>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</si>
  <si>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</si>
  <si>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</si>
  <si>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</si>
  <si>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</si>
  <si>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</si>
  <si>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</si>
  <si>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</si>
  <si>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</si>
  <si>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</si>
  <si>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</si>
  <si>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</si>
  <si>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</si>
  <si>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</si>
  <si>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</si>
  <si>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</si>
  <si>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</si>
  <si>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</si>
  <si>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</si>
  <si>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</si>
  <si>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</si>
  <si>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</si>
  <si>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</si>
  <si>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</si>
  <si>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</si>
  <si>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</si>
  <si>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</si>
  <si>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</si>
  <si>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</si>
  <si>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</si>
  <si>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</si>
  <si>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</si>
  <si>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</si>
  <si>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</si>
  <si>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</si>
  <si>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</si>
  <si>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</si>
  <si>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</si>
  <si>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</si>
  <si>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</si>
  <si>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</si>
  <si>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</si>
  <si>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</si>
  <si>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</si>
  <si>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</si>
  <si>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</si>
  <si>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</si>
  <si>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</si>
  <si>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</si>
  <si>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</si>
  <si>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</si>
  <si>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</si>
  <si>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</si>
  <si>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</si>
  <si>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</si>
  <si>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</si>
  <si>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</si>
  <si>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</si>
  <si>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</si>
  <si>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</si>
  <si>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</si>
  <si>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</si>
  <si>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</si>
  <si>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</si>
  <si>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</si>
  <si>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</si>
  <si>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</si>
  <si>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</si>
  <si>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</si>
  <si>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</si>
  <si>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</si>
  <si>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</si>
  <si>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</si>
  <si>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</si>
  <si>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</si>
  <si>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</si>
  <si>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</si>
  <si>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</si>
  <si>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</si>
  <si>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</si>
  <si>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</si>
  <si>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</si>
  <si>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</si>
  <si>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</si>
  <si>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</si>
  <si>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</si>
  <si>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</si>
  <si>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</si>
  <si>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</si>
  <si>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</si>
  <si>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</si>
  <si>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</si>
  <si>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</si>
  <si>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</si>
  <si>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</si>
  <si>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</si>
  <si>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</si>
  <si>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</si>
  <si>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</si>
  <si>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</si>
  <si>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</si>
  <si>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</si>
  <si>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</si>
  <si>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</si>
  <si>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</si>
  <si>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</si>
  <si>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</si>
  <si>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</si>
  <si>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</si>
  <si>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</si>
  <si>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</si>
  <si>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</si>
  <si>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</si>
  <si>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</si>
  <si>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</si>
  <si>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</si>
  <si>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</si>
  <si>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</si>
  <si>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</si>
  <si>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</si>
  <si>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</si>
  <si>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</si>
  <si>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</si>
  <si>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</si>
  <si>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</si>
  <si>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</si>
  <si>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</si>
  <si>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</si>
  <si>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</si>
  <si>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</si>
  <si>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</si>
  <si>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</si>
  <si>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</si>
  <si>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</si>
  <si>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</si>
  <si>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</si>
  <si>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</si>
  <si>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</si>
  <si>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</si>
  <si>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</si>
  <si>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</si>
  <si>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</si>
  <si>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</si>
  <si>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</si>
  <si>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</si>
  <si>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</si>
  <si>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</si>
  <si>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</si>
  <si>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</si>
  <si>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</si>
  <si>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</si>
  <si>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</si>
  <si>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</si>
  <si>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</si>
  <si>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</si>
  <si>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</si>
  <si>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</si>
  <si>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</si>
  <si>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</si>
  <si>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</si>
  <si>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</si>
  <si>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</si>
  <si>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</si>
  <si>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</si>
  <si>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</si>
  <si>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</si>
  <si>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</si>
  <si>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</si>
  <si>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</si>
  <si>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</si>
  <si>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</si>
  <si>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</si>
  <si>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</si>
  <si>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</si>
  <si>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</si>
  <si>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</si>
  <si>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</si>
  <si>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</si>
  <si>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</si>
  <si>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</si>
  <si>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</si>
  <si>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</si>
  <si>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</si>
  <si>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</si>
  <si>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</si>
  <si>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</si>
  <si>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</si>
  <si>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</si>
  <si>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</si>
  <si>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</si>
  <si>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</si>
  <si>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</si>
  <si>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</si>
  <si>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</si>
  <si>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</si>
  <si>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</si>
  <si>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</si>
  <si>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</si>
  <si>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</si>
  <si>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</si>
  <si>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</si>
  <si>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</si>
  <si>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</si>
  <si>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</si>
  <si>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</si>
  <si>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</si>
  <si>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</si>
  <si>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</si>
  <si>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</si>
  <si>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</si>
  <si>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</si>
  <si>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</si>
  <si>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</si>
  <si>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</si>
  <si>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</si>
  <si>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</si>
  <si>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</si>
  <si>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</si>
  <si>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</si>
  <si>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</si>
  <si>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</si>
  <si>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</si>
  <si>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</si>
  <si>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</si>
  <si>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</si>
  <si>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</si>
  <si>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</si>
  <si>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</si>
  <si>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</si>
  <si>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</si>
  <si>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</si>
  <si>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</si>
  <si>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</si>
  <si>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</si>
  <si>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</si>
  <si>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</si>
  <si>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</si>
  <si>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</si>
  <si>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</si>
  <si>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</si>
  <si>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</si>
  <si>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</si>
  <si>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</si>
  <si>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</si>
  <si>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</si>
  <si>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</si>
  <si>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</si>
  <si>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</si>
  <si>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</si>
  <si>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</si>
  <si>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</si>
  <si>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</si>
  <si>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</si>
  <si>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</si>
  <si>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</si>
  <si>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</si>
  <si>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</si>
  <si>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</si>
  <si>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</si>
  <si>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</si>
  <si>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</si>
  <si>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</si>
  <si>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</si>
  <si>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</si>
  <si>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</si>
  <si>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</si>
  <si>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</si>
  <si>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</si>
  <si>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</si>
  <si>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</si>
  <si>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</si>
  <si>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</si>
  <si>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</si>
  <si>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</si>
  <si>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</si>
  <si>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</si>
  <si>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</si>
  <si>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</si>
  <si>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</si>
  <si>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</si>
  <si>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</si>
  <si>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</si>
  <si>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</si>
  <si>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</si>
  <si>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</si>
  <si>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</si>
  <si>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</si>
  <si>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</si>
  <si>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</si>
  <si>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</si>
  <si>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</si>
  <si>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</si>
  <si>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</si>
  <si>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</si>
  <si>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</si>
  <si>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</si>
  <si>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</si>
  <si>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</si>
  <si>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</si>
  <si>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</si>
  <si>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</si>
  <si>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</si>
  <si>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</si>
  <si>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</si>
  <si>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</si>
  <si>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</si>
  <si>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</si>
  <si>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</si>
  <si>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</si>
  <si>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</si>
  <si>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</si>
  <si>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</si>
  <si>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</si>
  <si>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</si>
  <si>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</si>
  <si>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</si>
  <si>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</si>
  <si>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</si>
  <si>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</si>
  <si>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</si>
  <si>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</si>
  <si>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</si>
  <si>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</si>
  <si>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</si>
  <si>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</si>
  <si>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</si>
  <si>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</si>
  <si>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</si>
  <si>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</si>
  <si>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</si>
  <si>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</si>
  <si>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</si>
  <si>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</si>
  <si>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</si>
  <si>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</si>
  <si>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</si>
  <si>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</si>
  <si>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</si>
  <si>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</si>
  <si>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</si>
  <si>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</si>
  <si>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</si>
  <si>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</si>
  <si>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</si>
  <si>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</si>
  <si>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</si>
  <si>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</si>
  <si>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</si>
  <si>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</si>
  <si>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</si>
  <si>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</si>
  <si>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</si>
  <si>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</si>
  <si>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</si>
  <si>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</si>
  <si>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</si>
  <si>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</si>
  <si>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</si>
  <si>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</si>
  <si>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</si>
  <si>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</si>
  <si>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</si>
  <si>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</si>
  <si>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</si>
  <si>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</si>
  <si>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</si>
  <si>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</si>
  <si>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</si>
  <si>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</si>
  <si>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</si>
  <si>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</si>
  <si>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</si>
  <si>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</si>
  <si>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</si>
  <si>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</si>
  <si>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</si>
  <si>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</si>
  <si>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</si>
  <si>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</si>
  <si>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</si>
  <si>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</si>
  <si>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</si>
  <si>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</si>
  <si>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</si>
  <si>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</si>
  <si>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</si>
  <si>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</si>
  <si>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</si>
  <si>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</si>
  <si>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</si>
  <si>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</si>
  <si>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</si>
  <si>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</si>
  <si>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</si>
  <si>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</si>
  <si>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</si>
  <si>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</si>
  <si>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</si>
  <si>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</si>
  <si>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</si>
  <si>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</si>
  <si>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</si>
  <si>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</si>
  <si>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</si>
  <si>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</si>
  <si>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</si>
  <si>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</si>
  <si>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</si>
  <si>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</si>
  <si>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</si>
  <si>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</si>
  <si>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</si>
  <si>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</si>
  <si>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</si>
  <si>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</si>
  <si>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</si>
  <si>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</si>
  <si>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</si>
  <si>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</si>
  <si>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</si>
  <si>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</si>
  <si>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</si>
  <si>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</si>
  <si>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</si>
  <si>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</si>
  <si>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</si>
  <si>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</si>
  <si>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</si>
  <si>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</si>
  <si>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</si>
  <si>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</si>
  <si>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</si>
  <si>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</si>
  <si>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</si>
  <si>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</si>
  <si>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</si>
  <si>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</si>
  <si>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</si>
  <si>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</si>
  <si>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</si>
  <si>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</si>
  <si>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</si>
  <si>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</si>
  <si>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</si>
  <si>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</si>
  <si>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</si>
  <si>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</si>
  <si>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</si>
  <si>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</si>
  <si>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</si>
  <si>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</si>
  <si>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</si>
  <si>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</si>
  <si>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</si>
  <si>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</si>
  <si>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</si>
  <si>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</si>
  <si>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</si>
  <si>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</si>
  <si>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</si>
  <si>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</si>
  <si>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</si>
  <si>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</si>
  <si>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</si>
  <si>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</si>
  <si>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</si>
  <si>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</si>
  <si>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</si>
  <si>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</si>
  <si>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</si>
  <si>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</si>
  <si>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</si>
  <si>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</si>
  <si>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</si>
  <si>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</si>
  <si>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</si>
  <si>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</si>
  <si>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</si>
  <si>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</si>
  <si>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</si>
  <si>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</si>
  <si>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</si>
  <si>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</si>
  <si>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</si>
  <si>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</si>
  <si>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</si>
  <si>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</si>
  <si>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</si>
  <si>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</si>
  <si>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</si>
  <si>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</si>
  <si>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</si>
  <si>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</si>
  <si>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</si>
  <si>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</si>
  <si>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</si>
  <si>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</si>
  <si>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</si>
  <si>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</si>
  <si>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</si>
  <si>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</si>
  <si>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</si>
  <si>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</si>
  <si>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</si>
  <si>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</si>
  <si>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</si>
  <si>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</si>
  <si>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</si>
  <si>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</si>
  <si>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</si>
  <si>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</si>
  <si>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</si>
  <si>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</si>
  <si>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</si>
  <si>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</si>
  <si>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</si>
  <si>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</si>
  <si>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</si>
  <si>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</si>
  <si>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</si>
  <si>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</si>
  <si>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</si>
  <si>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</si>
  <si>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</si>
  <si>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</si>
  <si>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</si>
  <si>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</si>
  <si>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</si>
  <si>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</si>
  <si>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</si>
  <si>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</si>
  <si>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</si>
  <si>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</si>
  <si>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</si>
  <si>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</si>
  <si>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</si>
  <si>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</si>
  <si>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</si>
  <si>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</si>
  <si>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</si>
  <si>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</si>
  <si>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</si>
  <si>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</si>
  <si>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</si>
  <si>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</si>
  <si>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</si>
  <si>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</si>
  <si>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</si>
  <si>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</si>
  <si>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</si>
  <si>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</si>
  <si>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</si>
  <si>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</si>
  <si>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</si>
  <si>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</si>
  <si>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</si>
  <si>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</si>
  <si>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</si>
  <si>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</si>
  <si>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</si>
  <si>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</si>
  <si>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</si>
  <si>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</si>
  <si>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</si>
  <si>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</si>
  <si>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</si>
  <si>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</si>
  <si>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</si>
  <si>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</si>
  <si>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</si>
  <si>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</si>
  <si>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</si>
  <si>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</si>
  <si>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</si>
  <si>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</si>
  <si>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</si>
  <si>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</si>
  <si>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</si>
  <si>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</si>
  <si>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</si>
  <si>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</si>
  <si>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</si>
  <si>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</si>
  <si>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</si>
  <si>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</si>
  <si>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</si>
  <si>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</si>
  <si>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</si>
  <si>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</si>
  <si>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</si>
  <si>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</si>
  <si>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</si>
  <si>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</si>
  <si>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</si>
  <si>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</si>
  <si>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</si>
  <si>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</si>
  <si>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</si>
  <si>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</si>
  <si>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</si>
  <si>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</si>
  <si>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</si>
  <si>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</si>
  <si>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</si>
  <si>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</si>
  <si>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</si>
  <si>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</si>
  <si>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</si>
  <si>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</si>
  <si>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</si>
  <si>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</si>
  <si>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</si>
  <si>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</si>
  <si>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</si>
  <si>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</si>
  <si>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</si>
  <si>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</si>
  <si>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</si>
  <si>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</si>
  <si>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</si>
  <si>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</si>
  <si>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</si>
  <si>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</si>
  <si>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</si>
  <si>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</si>
  <si>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</si>
  <si>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</si>
  <si>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</si>
  <si>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</si>
  <si>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</si>
  <si>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</si>
  <si>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</si>
  <si>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</si>
  <si>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</si>
  <si>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</si>
  <si>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</si>
  <si>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</si>
  <si>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</si>
  <si>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</si>
  <si>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</si>
  <si>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</si>
  <si>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</si>
  <si>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</si>
  <si>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</si>
  <si>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</si>
  <si>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</si>
  <si>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</si>
  <si>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</si>
  <si>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</si>
  <si>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</si>
  <si>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</si>
  <si>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</si>
  <si>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</si>
  <si>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</si>
  <si>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</si>
  <si>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</si>
  <si>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</si>
  <si>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</si>
  <si>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</si>
  <si>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</si>
  <si>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</si>
  <si>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</si>
  <si>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</si>
  <si>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</si>
  <si>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</si>
  <si>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</si>
  <si>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</si>
  <si>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</si>
  <si>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</si>
  <si>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</si>
  <si>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</si>
  <si>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</si>
  <si>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</si>
  <si>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</si>
  <si>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</si>
  <si>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</si>
  <si>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</si>
  <si>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</si>
  <si>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</si>
  <si>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</si>
  <si>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</si>
  <si>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</si>
  <si>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</si>
  <si>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</si>
  <si>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</si>
  <si>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</si>
  <si>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</si>
  <si>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</si>
  <si>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</si>
  <si>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</si>
  <si>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</si>
  <si>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</si>
  <si>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</si>
  <si>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</si>
  <si>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</si>
  <si>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</si>
  <si>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</si>
  <si>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</si>
  <si>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</si>
  <si>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</si>
  <si>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</si>
  <si>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</si>
  <si>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</si>
  <si>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</si>
  <si>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</si>
  <si>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</si>
  <si>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</si>
  <si>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</si>
  <si>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</si>
  <si>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</si>
  <si>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</si>
  <si>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</si>
  <si>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</si>
  <si>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</si>
  <si>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</si>
  <si>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</si>
  <si>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</si>
  <si>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</si>
  <si>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</si>
  <si>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</si>
  <si>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</si>
  <si>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</si>
  <si>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</si>
  <si>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</si>
  <si>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</si>
  <si>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</si>
  <si>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</si>
  <si>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</si>
  <si>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</si>
  <si>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</si>
  <si>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</si>
  <si>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</si>
  <si>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</si>
  <si>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</si>
  <si>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</si>
  <si>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</si>
  <si>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</si>
  <si>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</si>
  <si>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</si>
  <si>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</si>
  <si>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</si>
  <si>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</si>
  <si>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</si>
  <si>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</si>
  <si>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</si>
  <si>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</si>
  <si>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</si>
  <si>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</si>
  <si>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</si>
  <si>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</si>
  <si>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</si>
  <si>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</si>
  <si>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</si>
  <si>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</si>
  <si>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</si>
  <si>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</si>
  <si>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</si>
  <si>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</si>
  <si>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</si>
  <si>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</si>
  <si>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</si>
  <si>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</si>
  <si>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</si>
  <si>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</si>
  <si>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</si>
  <si>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</si>
  <si>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</si>
  <si>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</si>
  <si>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</si>
  <si>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</si>
  <si>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</si>
  <si>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</si>
  <si>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</si>
  <si>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</si>
  <si>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</si>
  <si>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</si>
  <si>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</si>
  <si>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</si>
  <si>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</si>
  <si>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</si>
  <si>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</si>
  <si>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</si>
  <si>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</si>
  <si>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</si>
  <si>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</si>
  <si>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</si>
  <si>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</si>
  <si>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</si>
  <si>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</si>
  <si>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</si>
  <si>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</si>
  <si>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</si>
  <si>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</si>
  <si>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</si>
  <si>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</si>
  <si>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</si>
  <si>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</si>
  <si>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</si>
  <si>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</si>
  <si>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</si>
  <si>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</si>
  <si>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</si>
  <si>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</si>
  <si>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</si>
  <si>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</si>
  <si>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</si>
  <si>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</si>
  <si>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</si>
  <si>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</si>
  <si>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</si>
  <si>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</si>
  <si>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</si>
  <si>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</si>
  <si>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</si>
  <si>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</si>
  <si>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</si>
  <si>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</si>
  <si>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</si>
  <si>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</si>
  <si>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</si>
  <si>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</si>
  <si>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</si>
  <si>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</si>
  <si>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</si>
  <si>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</si>
  <si>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</si>
  <si>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</si>
  <si>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</si>
  <si>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</si>
  <si>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</si>
  <si>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</si>
  <si>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</si>
  <si>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</si>
  <si>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</si>
  <si>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</si>
  <si>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</si>
  <si>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</si>
  <si>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</si>
  <si>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</si>
  <si>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</si>
  <si>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</si>
  <si>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</si>
  <si>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</si>
  <si>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</si>
  <si>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</si>
  <si>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</si>
  <si>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</si>
  <si>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</si>
  <si>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</si>
  <si>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</si>
  <si>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</si>
  <si>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</si>
  <si>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</si>
  <si>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</si>
  <si>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</si>
  <si>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</si>
  <si>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</si>
  <si>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</si>
  <si>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</si>
  <si>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</si>
  <si>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</si>
  <si>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</si>
  <si>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</si>
  <si>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</si>
  <si>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</si>
  <si>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</si>
  <si>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</si>
  <si>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</si>
  <si>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</si>
  <si>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</si>
  <si>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</si>
  <si>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</si>
  <si>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</si>
  <si>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</si>
  <si>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</si>
  <si>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</si>
  <si>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</si>
  <si>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</si>
  <si>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</si>
  <si>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</si>
  <si>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</si>
  <si>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</si>
  <si>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</si>
  <si>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</si>
  <si>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</si>
  <si>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</si>
  <si>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</si>
  <si>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</si>
  <si>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</si>
  <si>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</si>
  <si>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</si>
  <si>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</si>
  <si>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</si>
  <si>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</si>
  <si>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</si>
  <si>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</si>
  <si>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</si>
  <si>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</si>
  <si>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</si>
  <si>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</si>
  <si>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</si>
  <si>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</si>
  <si>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</si>
  <si>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</si>
  <si>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</si>
  <si>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</si>
  <si>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</si>
  <si>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</si>
  <si>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</si>
  <si>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</si>
  <si>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</si>
  <si>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</si>
  <si>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</si>
  <si>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</si>
  <si>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</si>
  <si>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</si>
  <si>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</si>
  <si>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</si>
  <si>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</si>
  <si>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</si>
  <si>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</si>
  <si>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</si>
  <si>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</si>
  <si>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</si>
  <si>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</si>
  <si>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</si>
  <si>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</si>
  <si>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</si>
  <si>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</si>
  <si>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</si>
  <si>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</si>
  <si>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</si>
  <si>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</si>
  <si>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</si>
  <si>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</si>
  <si>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</si>
  <si>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</si>
  <si>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</si>
  <si>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</si>
  <si>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</si>
  <si>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</si>
  <si>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</si>
  <si>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</si>
  <si>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</si>
  <si>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</si>
  <si>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</si>
  <si>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</si>
  <si>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</si>
  <si>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</si>
  <si>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</si>
  <si>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</si>
  <si>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</si>
  <si>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</si>
  <si>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</si>
  <si>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</si>
  <si>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</si>
  <si>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</si>
  <si>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</si>
  <si>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</si>
  <si>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</si>
  <si>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</si>
  <si>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</si>
  <si>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</si>
  <si>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</si>
  <si>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</si>
  <si>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</si>
  <si>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</si>
  <si>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</si>
  <si>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</si>
  <si>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</si>
  <si>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</si>
  <si>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</si>
  <si>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</si>
  <si>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</si>
  <si>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</si>
  <si>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</si>
  <si>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</si>
  <si>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</si>
  <si>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</si>
  <si>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</si>
  <si>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</si>
  <si>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</si>
  <si>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</si>
  <si>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</si>
  <si>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</si>
  <si>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</si>
  <si>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</si>
  <si>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</si>
  <si>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</si>
  <si>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</si>
  <si>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</si>
  <si>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</si>
  <si>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</si>
  <si>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</si>
  <si>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</si>
  <si>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</si>
  <si>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</si>
  <si>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</si>
  <si>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</si>
  <si>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</si>
  <si>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</si>
  <si>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</si>
  <si>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</si>
  <si>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</si>
  <si>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</si>
  <si>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</si>
  <si>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</si>
  <si>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</si>
  <si>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</si>
  <si>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</si>
  <si>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</si>
  <si>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</si>
  <si>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</si>
  <si>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</si>
  <si>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</si>
  <si>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</si>
  <si>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</si>
  <si>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</si>
  <si>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</si>
  <si>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</si>
  <si>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</si>
  <si>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</si>
  <si>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</si>
  <si>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</si>
  <si>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</si>
  <si>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</si>
  <si>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</si>
  <si>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</si>
  <si>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</si>
  <si>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</si>
  <si>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</si>
  <si>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</si>
  <si>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</si>
  <si>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</si>
  <si>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</si>
  <si>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</si>
  <si>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</si>
  <si>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</si>
  <si>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</si>
  <si>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</si>
  <si>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</si>
  <si>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</si>
  <si>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</si>
  <si>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</si>
  <si>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</si>
  <si>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</si>
  <si>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</si>
  <si>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</si>
  <si>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</si>
  <si>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</si>
  <si>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</si>
  <si>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</si>
  <si>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</si>
  <si>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</si>
  <si>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</si>
  <si>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</si>
  <si>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</si>
  <si>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</si>
  <si>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</si>
  <si>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</si>
  <si>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</si>
  <si>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</si>
  <si>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</si>
  <si>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</si>
  <si>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</si>
  <si>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</si>
  <si>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</si>
  <si>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</si>
  <si>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</si>
  <si>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</si>
  <si>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</si>
  <si>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</si>
  <si>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</si>
  <si>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</si>
  <si>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</si>
  <si>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</si>
  <si>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</si>
  <si>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</si>
  <si>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</si>
  <si>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</si>
  <si>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</si>
  <si>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</si>
  <si>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</si>
  <si>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</si>
  <si>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</si>
  <si>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</si>
  <si>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</si>
  <si>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</si>
  <si>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</si>
  <si>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</si>
  <si>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</si>
  <si>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</si>
  <si>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</si>
  <si>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</si>
  <si>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</si>
  <si>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</si>
  <si>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</si>
  <si>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</si>
  <si>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</si>
  <si>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</si>
  <si>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</si>
  <si>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</si>
  <si>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</si>
  <si>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</si>
  <si>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</si>
  <si>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</si>
  <si>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</si>
  <si>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</si>
  <si>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</si>
  <si>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</si>
  <si>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</si>
  <si>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</si>
  <si>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</si>
  <si>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</si>
  <si>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</si>
  <si>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</si>
  <si>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</si>
  <si>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</si>
  <si>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</si>
  <si>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</si>
  <si>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</si>
  <si>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</si>
  <si>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</si>
  <si>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</si>
  <si>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</si>
  <si>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</si>
  <si>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</si>
  <si>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</si>
  <si>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</si>
  <si>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</si>
  <si>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</si>
  <si>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</si>
  <si>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</si>
  <si>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</si>
  <si>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</si>
  <si>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</si>
  <si>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</si>
  <si>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</si>
  <si>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</si>
  <si>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</si>
  <si>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</si>
  <si>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</si>
  <si>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</si>
  <si>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</si>
  <si>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</si>
  <si>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</si>
  <si>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</si>
  <si>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</si>
  <si>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</si>
  <si>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</si>
  <si>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</si>
  <si>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</si>
  <si>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</si>
  <si>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</si>
  <si>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</si>
  <si>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</si>
  <si>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</si>
  <si>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</si>
  <si>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</si>
  <si>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</si>
  <si>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</si>
  <si>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</si>
  <si>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</si>
  <si>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</si>
  <si>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</si>
  <si>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</si>
  <si>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</si>
  <si>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</si>
  <si>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</si>
  <si>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</si>
  <si>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</si>
  <si>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</si>
  <si>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</si>
  <si>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</si>
  <si>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</si>
  <si>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</si>
  <si>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</si>
  <si>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</si>
  <si>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</si>
  <si>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</si>
  <si>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</si>
  <si>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</si>
  <si>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</si>
  <si>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</si>
  <si>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</si>
  <si>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</si>
  <si>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</si>
  <si>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</si>
  <si>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</si>
  <si>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</si>
  <si>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</si>
  <si>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</si>
  <si>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</si>
  <si>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</si>
  <si>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</si>
  <si>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</si>
  <si>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</si>
  <si>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</si>
  <si>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</si>
  <si>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</si>
  <si>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</si>
  <si>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</si>
  <si>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</si>
  <si>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</si>
  <si>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</si>
  <si>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</si>
  <si>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</si>
  <si>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</si>
  <si>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</si>
  <si>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</si>
  <si>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</si>
  <si>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</si>
  <si>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</si>
  <si>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</si>
  <si>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</si>
  <si>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</si>
  <si>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</si>
  <si>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</si>
  <si>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</si>
  <si>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</si>
  <si>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</si>
  <si>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</si>
  <si>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</si>
  <si>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</si>
  <si>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</si>
  <si>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</si>
  <si>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</si>
  <si>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</si>
  <si>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</si>
  <si>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</si>
  <si>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</si>
  <si>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</si>
  <si>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</si>
  <si>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</si>
  <si>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</si>
  <si>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</si>
  <si>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</si>
  <si>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</si>
  <si>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</si>
  <si>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</si>
  <si>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</si>
  <si>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</si>
  <si>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</si>
  <si>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</si>
  <si>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</si>
  <si>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</si>
  <si>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</si>
  <si>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</si>
  <si>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</si>
  <si>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</si>
  <si>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</si>
  <si>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</si>
  <si>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</si>
  <si>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</si>
  <si>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</si>
  <si>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</si>
  <si>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</si>
  <si>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</si>
  <si>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</si>
  <si>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</si>
  <si>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</si>
  <si>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</si>
  <si>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</si>
  <si>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</si>
  <si>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</si>
  <si>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</si>
  <si>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</si>
  <si>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</si>
  <si>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</si>
  <si>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</si>
  <si>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</si>
  <si>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</si>
  <si>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</si>
  <si>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</si>
  <si>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</si>
  <si>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</si>
  <si>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</si>
  <si>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</si>
  <si>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</si>
  <si>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</si>
  <si>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</si>
  <si>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</si>
  <si>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</si>
  <si>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</si>
  <si>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</si>
  <si>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</si>
  <si>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</si>
  <si>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</si>
  <si>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</si>
  <si>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</si>
  <si>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</si>
  <si>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</si>
  <si>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</si>
  <si>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</si>
  <si>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</si>
  <si>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</si>
  <si>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</si>
  <si>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</si>
  <si>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</si>
  <si>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</si>
  <si>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</si>
  <si>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</si>
  <si>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</si>
  <si>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</si>
  <si>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</si>
  <si>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</si>
  <si>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</si>
  <si>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</si>
  <si>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</si>
  <si>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</si>
  <si>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</si>
  <si>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</si>
  <si>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</si>
  <si>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</si>
  <si>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</si>
  <si>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</si>
  <si>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</si>
  <si>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</si>
  <si>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</si>
  <si>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</si>
  <si>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</si>
  <si>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</si>
  <si>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</si>
  <si>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</si>
  <si>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</si>
  <si>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</si>
  <si>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</si>
  <si>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</si>
  <si>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</si>
  <si>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</si>
  <si>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</si>
  <si>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</si>
  <si>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</si>
  <si>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</si>
  <si>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</si>
  <si>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</si>
  <si>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</si>
  <si>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</si>
  <si>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</si>
  <si>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</si>
  <si>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</si>
  <si>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</si>
  <si>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</si>
  <si>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</si>
  <si>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</si>
  <si>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</si>
  <si>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</si>
  <si>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</si>
  <si>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</si>
  <si>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</si>
  <si>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</si>
  <si>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</si>
  <si>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</si>
  <si>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</si>
  <si>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</si>
  <si>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</si>
  <si>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</si>
  <si>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</si>
  <si>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</si>
  <si>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</si>
  <si>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</si>
  <si>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</si>
  <si>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</si>
  <si>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</si>
  <si>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</si>
  <si>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</si>
  <si>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</si>
  <si>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</si>
  <si>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</si>
  <si>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</si>
  <si>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</si>
  <si>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</si>
  <si>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</si>
  <si>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</si>
  <si>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</si>
  <si>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</si>
  <si>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</si>
  <si>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</si>
  <si>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</si>
  <si>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</si>
  <si>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</si>
  <si>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</si>
  <si>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</si>
  <si>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</si>
  <si>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</si>
  <si>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</si>
  <si>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</si>
  <si>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</si>
  <si>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</si>
  <si>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</si>
  <si>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</si>
  <si>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</si>
  <si>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</si>
  <si>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</si>
  <si>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</si>
  <si>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</si>
  <si>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</si>
  <si>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</si>
  <si>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</si>
  <si>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</si>
  <si>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</si>
  <si>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</si>
  <si>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</si>
  <si>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</si>
  <si>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</si>
  <si>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</si>
  <si>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</si>
  <si>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</si>
  <si>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</si>
  <si>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</si>
  <si>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</si>
  <si>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</si>
  <si>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</si>
  <si>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</si>
  <si>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</si>
  <si>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</si>
  <si>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</si>
  <si>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</si>
  <si>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</si>
  <si>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</si>
  <si>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</si>
  <si>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</si>
  <si>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</si>
  <si>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</si>
  <si>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</si>
  <si>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</si>
  <si>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</si>
  <si>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</si>
  <si>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</si>
  <si>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</si>
  <si>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</si>
  <si>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</si>
  <si>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</si>
  <si>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</si>
  <si>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</si>
  <si>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</si>
  <si>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</si>
  <si>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</si>
  <si>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</si>
  <si>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</si>
  <si>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</si>
  <si>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</si>
  <si>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</si>
  <si>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</si>
  <si>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</si>
  <si>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</si>
  <si>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</si>
  <si>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</si>
  <si>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</si>
  <si>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</si>
  <si>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</si>
  <si>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</si>
  <si>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</si>
  <si>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</si>
  <si>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</si>
  <si>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</si>
  <si>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</si>
  <si>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</si>
  <si>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</si>
  <si>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</si>
  <si>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</si>
  <si>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</si>
  <si>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</si>
  <si>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</si>
  <si>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</si>
  <si>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</si>
  <si>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</si>
  <si>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</si>
  <si>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</si>
  <si>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</si>
  <si>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</si>
  <si>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</si>
  <si>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</si>
  <si>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</si>
  <si>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</si>
  <si>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</si>
  <si>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</si>
  <si>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</si>
  <si>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</si>
  <si>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</si>
  <si>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</si>
  <si>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</si>
  <si>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</si>
  <si>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</si>
  <si>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</si>
  <si>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</si>
  <si>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</si>
  <si>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</si>
  <si>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</si>
  <si>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</si>
  <si>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</si>
  <si>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</si>
  <si>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</si>
  <si>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</si>
  <si>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</si>
  <si>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</si>
  <si>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</si>
  <si>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</si>
  <si>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</si>
  <si>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</si>
  <si>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</si>
  <si>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</si>
  <si>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</si>
  <si>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</si>
  <si>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</si>
  <si>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</si>
  <si>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</si>
  <si>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</si>
  <si>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</si>
  <si>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</si>
  <si>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</si>
  <si>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</si>
  <si>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</si>
  <si>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</si>
  <si>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</si>
  <si>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</si>
  <si>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</si>
  <si>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</si>
  <si>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</si>
  <si>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</si>
  <si>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</si>
  <si>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</si>
  <si>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</si>
  <si>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</si>
  <si>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</si>
  <si>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</si>
  <si>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</si>
  <si>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</si>
  <si>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</si>
  <si>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</si>
  <si>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</si>
  <si>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</si>
  <si>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</si>
  <si>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</si>
  <si>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</si>
  <si>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</si>
  <si>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</si>
  <si>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</si>
  <si>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</si>
  <si>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</si>
  <si>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</si>
  <si>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</si>
  <si>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</si>
  <si>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</si>
  <si>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</si>
  <si>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</si>
  <si>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</si>
  <si>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</si>
  <si>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</si>
  <si>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</si>
  <si>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</si>
  <si>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</si>
  <si>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</si>
  <si>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</si>
  <si>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</si>
  <si>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</si>
  <si>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</si>
  <si>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</si>
  <si>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</si>
  <si>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</si>
  <si>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</si>
  <si>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</si>
  <si>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</si>
  <si>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</si>
  <si>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</si>
  <si>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</si>
  <si>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</si>
  <si>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</si>
  <si>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</si>
  <si>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</si>
  <si>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</si>
  <si>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</si>
  <si>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</si>
  <si>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</si>
  <si>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</si>
  <si>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</si>
  <si>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</si>
  <si>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</si>
  <si>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</si>
  <si>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</si>
  <si>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</si>
  <si>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</si>
  <si>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</si>
  <si>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</si>
  <si>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</si>
  <si>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</si>
  <si>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</si>
  <si>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</si>
  <si>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</si>
  <si>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</si>
  <si>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</si>
  <si>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</si>
  <si>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</si>
  <si>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</si>
  <si>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</si>
  <si>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</si>
  <si>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</si>
  <si>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</si>
  <si>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</si>
  <si>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</si>
  <si>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</si>
  <si>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</si>
  <si>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</si>
  <si>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</si>
  <si>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</si>
  <si>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</si>
  <si>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</si>
  <si>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</si>
  <si>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</si>
  <si>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</si>
  <si>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</si>
  <si>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</si>
  <si>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</si>
  <si>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</si>
  <si>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</si>
  <si>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</si>
  <si>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</si>
  <si>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</si>
  <si>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</si>
  <si>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</si>
  <si>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</si>
  <si>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</si>
  <si>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</si>
  <si>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</si>
  <si>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</si>
  <si>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</si>
  <si>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</si>
  <si>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</si>
  <si>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</si>
  <si>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</si>
  <si>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</si>
  <si>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</si>
  <si>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</si>
  <si>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</si>
  <si>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</si>
  <si>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</si>
  <si>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</si>
  <si>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</si>
  <si>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</si>
  <si>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</si>
  <si>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</si>
  <si>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</si>
  <si>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</si>
  <si>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</si>
  <si>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</si>
  <si>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</si>
  <si>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</si>
  <si>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</si>
  <si>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</si>
  <si>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</si>
  <si>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</si>
  <si>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</si>
  <si>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</si>
  <si>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</si>
  <si>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</si>
  <si>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</si>
  <si>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</si>
  <si>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</si>
  <si>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</si>
  <si>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</si>
  <si>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</si>
  <si>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</si>
  <si>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</si>
  <si>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</si>
  <si>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</si>
  <si>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</si>
  <si>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</si>
  <si>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</si>
  <si>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</si>
  <si>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</si>
  <si>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</si>
  <si>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</si>
  <si>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</si>
  <si>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</si>
  <si>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</si>
  <si>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</si>
  <si>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</si>
  <si>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</si>
  <si>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</si>
  <si>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</si>
  <si>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</si>
  <si>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</si>
  <si>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</si>
  <si>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</si>
  <si>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</si>
  <si>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</si>
  <si>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</si>
  <si>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</si>
  <si>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</si>
  <si>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</si>
  <si>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</si>
  <si>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</si>
  <si>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</si>
  <si>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</si>
  <si>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</si>
  <si>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</si>
  <si>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</si>
  <si>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</si>
  <si>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</si>
  <si>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</si>
  <si>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</si>
  <si>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</si>
  <si>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</si>
  <si>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</si>
  <si>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</si>
  <si>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</si>
  <si>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</si>
  <si>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</si>
  <si>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</si>
  <si>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</si>
  <si>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</si>
  <si>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</si>
  <si>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</si>
  <si>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</si>
  <si>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</si>
  <si>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</si>
  <si>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</si>
  <si>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</si>
  <si>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</si>
  <si>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</si>
  <si>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</si>
  <si>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</si>
  <si>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</si>
  <si>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</si>
  <si>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</si>
  <si>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</si>
  <si>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</si>
  <si>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</si>
  <si>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</si>
  <si>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</si>
  <si>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</si>
  <si>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</si>
  <si>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</si>
  <si>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</si>
  <si>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</si>
  <si>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</si>
  <si>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</si>
  <si>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</si>
  <si>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</si>
  <si>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</si>
  <si>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</si>
  <si>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</si>
  <si>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</si>
  <si>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</si>
  <si>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</si>
  <si>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</si>
  <si>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</si>
  <si>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</si>
  <si>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</si>
  <si>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</si>
  <si>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</si>
  <si>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</si>
  <si>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</si>
  <si>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</si>
  <si>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</si>
  <si>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</si>
  <si>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</si>
  <si>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</si>
  <si>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</si>
  <si>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</si>
  <si>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</si>
  <si>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</si>
  <si>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</si>
  <si>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</si>
  <si>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</si>
  <si>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</si>
  <si>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</si>
  <si>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</si>
  <si>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</si>
  <si>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</si>
  <si>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</si>
  <si>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</si>
  <si>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</si>
  <si>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</si>
  <si>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</si>
  <si>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</si>
  <si>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</si>
  <si>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</si>
  <si>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</si>
  <si>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</si>
  <si>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</si>
  <si>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</si>
  <si>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</si>
  <si>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</si>
  <si>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</si>
  <si>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</si>
  <si>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</si>
  <si>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</si>
  <si>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</si>
  <si>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</si>
  <si>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</si>
  <si>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</si>
  <si>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</si>
  <si>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</si>
  <si>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</si>
  <si>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</si>
  <si>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</si>
  <si>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</si>
  <si>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</si>
  <si>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</si>
  <si>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</si>
  <si>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</si>
  <si>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</si>
  <si>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</si>
  <si>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</si>
  <si>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</si>
  <si>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</si>
  <si>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</si>
  <si>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</si>
  <si>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</si>
  <si>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</si>
  <si>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</si>
  <si>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</si>
  <si>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</si>
  <si>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</si>
  <si>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</si>
  <si>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</si>
  <si>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</si>
  <si>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</si>
  <si>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</si>
  <si>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</si>
  <si>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</si>
  <si>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</si>
  <si>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</si>
  <si>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</si>
  <si>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</si>
  <si>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</si>
  <si>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</si>
  <si>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</si>
  <si>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</si>
  <si>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</si>
  <si>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</si>
  <si>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</si>
  <si>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</si>
  <si>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</si>
  <si>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</si>
  <si>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</si>
  <si>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</si>
  <si>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</si>
  <si>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</si>
  <si>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</si>
  <si>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</si>
  <si>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</si>
  <si>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</si>
  <si>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</si>
  <si>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</si>
  <si>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</si>
  <si>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</si>
  <si>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</si>
  <si>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</si>
  <si>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</si>
  <si>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</si>
  <si>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</si>
  <si>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</si>
  <si>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</si>
  <si>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</si>
  <si>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</si>
  <si>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</si>
  <si>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</si>
  <si>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</si>
  <si>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</si>
  <si>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</si>
  <si>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</si>
  <si>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</si>
  <si>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</si>
  <si>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</si>
  <si>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</si>
  <si>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</si>
  <si>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</si>
  <si>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</si>
  <si>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</si>
  <si>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</si>
  <si>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</si>
  <si>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</si>
  <si>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</si>
  <si>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</si>
  <si>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</si>
  <si>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</si>
  <si>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</si>
  <si>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</si>
  <si>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</si>
  <si>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</si>
  <si>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</si>
  <si>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</si>
  <si>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</si>
  <si>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</si>
  <si>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</si>
  <si>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</si>
  <si>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</si>
  <si>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</si>
  <si>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</si>
  <si>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</si>
  <si>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</si>
  <si>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</si>
  <si>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</si>
  <si>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</si>
  <si>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</si>
  <si>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</si>
  <si>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</si>
  <si>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</si>
  <si>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</si>
  <si>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</si>
  <si>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</si>
  <si>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</si>
  <si>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</si>
  <si>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</si>
  <si>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</si>
  <si>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</si>
  <si>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</si>
  <si>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</si>
  <si>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</si>
  <si>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</si>
  <si>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</si>
  <si>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</si>
  <si>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</si>
  <si>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</si>
  <si>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</si>
  <si>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</si>
  <si>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</si>
  <si>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</si>
  <si>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</si>
  <si>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</si>
  <si>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</si>
  <si>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</si>
  <si>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</si>
  <si>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</si>
  <si>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</si>
  <si>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</si>
  <si>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</si>
  <si>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</si>
  <si>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</si>
  <si>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</si>
  <si>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</si>
  <si>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</si>
  <si>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</si>
  <si>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</si>
  <si>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</si>
  <si>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</si>
  <si>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</si>
  <si>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</si>
  <si>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</si>
  <si>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</si>
  <si>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</si>
  <si>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</si>
  <si>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</si>
  <si>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</si>
  <si>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</si>
  <si>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</si>
  <si>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</si>
  <si>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</si>
  <si>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</si>
  <si>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</si>
  <si>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</si>
  <si>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</si>
  <si>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</si>
  <si>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</si>
  <si>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</si>
  <si>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</si>
  <si>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</si>
  <si>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</si>
  <si>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</si>
  <si>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</si>
  <si>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</si>
  <si>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</si>
  <si>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</si>
  <si>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</si>
  <si>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</si>
  <si>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</si>
  <si>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</si>
  <si>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</si>
  <si>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</si>
  <si>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</si>
  <si>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</si>
  <si>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</si>
  <si>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</si>
  <si>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</si>
  <si>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</si>
  <si>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</si>
  <si>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</si>
  <si>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</si>
  <si>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</si>
  <si>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</si>
  <si>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</si>
  <si>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</si>
  <si>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</si>
  <si>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</si>
  <si>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</si>
  <si>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</si>
  <si>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</si>
  <si>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</si>
  <si>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</si>
  <si>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</si>
  <si>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</si>
  <si>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商业</t>
  </si>
  <si>
    <t>公寓</t>
  </si>
  <si>
    <t>板块</t>
  </si>
  <si>
    <t>地块编号</t>
  </si>
  <si>
    <t>详细规划</t>
  </si>
  <si>
    <t>公告编号</t>
  </si>
  <si>
    <t>成交每亩价(万元/亩)</t>
  </si>
  <si>
    <t>商业/办公用地</t>
  </si>
  <si>
    <t>其他商服用地</t>
  </si>
  <si>
    <t>住宿餐饮用地</t>
  </si>
  <si>
    <t>批发零售用地</t>
  </si>
  <si>
    <t>商务金融用地</t>
  </si>
  <si>
    <t>2017-04-24</t>
  </si>
  <si>
    <t>新兴镇经三路西、纬一路南侧地块</t>
  </si>
  <si>
    <t>≤1.7</t>
  </si>
  <si>
    <t>2018-11-07</t>
  </si>
  <si>
    <t>亭湖区挂[2018]2号</t>
  </si>
  <si>
    <t>盐城市静脉产业园建设开发有限公司</t>
  </si>
  <si>
    <t>星光大道东、机场路北侧地块</t>
  </si>
  <si>
    <t>≤1</t>
  </si>
  <si>
    <t>2018-09-29</t>
  </si>
  <si>
    <t>市直挂[2018]19号</t>
  </si>
  <si>
    <t>盐城大洋湾生态旅游景区有限公司</t>
  </si>
  <si>
    <t>范公路西、朝阳河南侧地块</t>
  </si>
  <si>
    <t>≤2.7</t>
  </si>
  <si>
    <t>2018-01-24</t>
  </si>
  <si>
    <t>盐城市本级挂[2017]19号</t>
  </si>
  <si>
    <t>黄后奎</t>
  </si>
  <si>
    <t>盐东镇开放大道东、纬支二路北侧地块</t>
  </si>
  <si>
    <t>≤1.4</t>
  </si>
  <si>
    <t>2018-01-03</t>
  </si>
  <si>
    <t>亭湖区挂[2017]7号</t>
  </si>
  <si>
    <t>盐城市金大洲城镇建设发展有限公司</t>
  </si>
  <si>
    <t>黄尖镇G228东、东进大道南侧地块(南地块)</t>
  </si>
  <si>
    <t>≤1.2</t>
  </si>
  <si>
    <t>2017-10-30</t>
  </si>
  <si>
    <t>亭湖区挂[2017]4号-1</t>
  </si>
  <si>
    <t>盐城牡丹墅苑旅游有限公司</t>
  </si>
  <si>
    <t>黄尖镇G228东、东进大道南侧地块(北地块)</t>
  </si>
  <si>
    <t>亭湖区挂[2017]4号-3</t>
  </si>
  <si>
    <t>盐城市鹤业实业投资有限公司</t>
  </si>
  <si>
    <t>黄尖镇G228东、东进大道南侧地块(中地块)</t>
  </si>
  <si>
    <t>亭湖区挂[2017]4号-2</t>
  </si>
  <si>
    <t>神州路西、海洋路北侧地块</t>
  </si>
  <si>
    <t>2017-09-06</t>
  </si>
  <si>
    <t>盐城市本级挂[2017]13号-1</t>
  </si>
  <si>
    <t>盐城兴城置业有限公司</t>
  </si>
  <si>
    <t>步凤路南、步洋路东侧地块</t>
  </si>
  <si>
    <t>盐城市本级挂[2017]5号</t>
  </si>
  <si>
    <t>郑书生</t>
  </si>
  <si>
    <t>新都路南、厚德路东侧地块</t>
  </si>
  <si>
    <t>≤2</t>
  </si>
  <si>
    <t>2017-02-17</t>
  </si>
  <si>
    <t>盐城市本级挂[2017]1号</t>
  </si>
  <si>
    <t>开放大道东、金土地公司北侧地块</t>
  </si>
  <si>
    <t>≤3</t>
  </si>
  <si>
    <t>2017-01-25</t>
  </si>
  <si>
    <t>盐城市本级挂[2016]17号-3</t>
  </si>
  <si>
    <t>江苏德惠建设集团有限公司</t>
  </si>
  <si>
    <t>世纪大道南、戴庄路东侧地块</t>
  </si>
  <si>
    <t>＞1且≤3</t>
  </si>
  <si>
    <t>2016-12-29</t>
  </si>
  <si>
    <t>盐城市本级挂[2016]14号-2</t>
  </si>
  <si>
    <t>盐城金融城建设发展有限公司</t>
  </si>
  <si>
    <t>大庆路南、滨河路西侧地块</t>
  </si>
  <si>
    <t>≤2.3</t>
  </si>
  <si>
    <t>2016-12-16</t>
  </si>
  <si>
    <t>盐城市本级挂[2016]13号</t>
  </si>
  <si>
    <t>北京权诚管理咨询有限公司盐城分公司</t>
  </si>
  <si>
    <t>≤1.60</t>
  </si>
  <si>
    <t>2016-12-12</t>
  </si>
  <si>
    <t>亭湖区挂[2016]3号</t>
  </si>
  <si>
    <t>盐东镇丰产大沟东、一中沟南侧地块</t>
  </si>
  <si>
    <t>≥1且≤1.6</t>
  </si>
  <si>
    <t>2016-09-23</t>
  </si>
  <si>
    <t>亭湖区挂[2016]2号-2</t>
  </si>
  <si>
    <t>海洋路北、达信路西侧地块</t>
  </si>
  <si>
    <t>≥1且≤2.5</t>
  </si>
  <si>
    <t>2016-07-15</t>
  </si>
  <si>
    <t>盐城市本级挂[2016]7号-1</t>
  </si>
  <si>
    <t>盐城市城镇化建设投资有限公司</t>
  </si>
  <si>
    <t>亭湖大道南、经四路侧地块</t>
  </si>
  <si>
    <t>≤1.8</t>
  </si>
  <si>
    <t>2016-07-07</t>
  </si>
  <si>
    <t>盐城市本级挂[2016]5号</t>
  </si>
  <si>
    <t>盐城大世界全球家居生活广场有限公司</t>
  </si>
  <si>
    <t>解放路西、向阳河南侧地块</t>
  </si>
  <si>
    <t>2016-01-29</t>
  </si>
  <si>
    <t>盐城市本级挂[2015]24号-1</t>
  </si>
  <si>
    <t>盐城中润置业有限公司</t>
  </si>
  <si>
    <t>新达路南、北环路西侧地块</t>
  </si>
  <si>
    <t>≤2.2</t>
  </si>
  <si>
    <t>2015-12-04</t>
  </si>
  <si>
    <t>盐城市本级挂[2015]19号</t>
  </si>
  <si>
    <t>盐城佰华置业有限公司</t>
  </si>
  <si>
    <t>新都路南、厚德路东侧地块</t>
    <phoneticPr fontId="233" type="noConversion"/>
  </si>
  <si>
    <t>楼面地价</t>
  </si>
  <si>
    <t>新兴镇开放大道东、新北路南侧地块</t>
    <phoneticPr fontId="233" type="noConversion"/>
  </si>
  <si>
    <t>海洋路北、达信路西侧地块</t>
    <phoneticPr fontId="233" type="noConversion"/>
  </si>
  <si>
    <t>商业</t>
    <phoneticPr fontId="26" type="noConversion"/>
  </si>
  <si>
    <t>2018--12-5</t>
    <phoneticPr fontId="6" type="noConversion"/>
  </si>
  <si>
    <t>较好</t>
  </si>
  <si>
    <t>六通</t>
  </si>
  <si>
    <t>商住公寓</t>
  </si>
  <si>
    <t>商住公寓</t>
    <phoneticPr fontId="27" type="noConversion"/>
  </si>
  <si>
    <t>30-40（含）</t>
  </si>
  <si>
    <t>较规则</t>
  </si>
  <si>
    <t>较规则</t>
    <phoneticPr fontId="26" type="noConversion"/>
  </si>
  <si>
    <t>较适宜</t>
  </si>
  <si>
    <t>较适宜</t>
    <phoneticPr fontId="26" type="noConversion"/>
  </si>
  <si>
    <t>六通一平</t>
    <phoneticPr fontId="26" type="noConversion"/>
  </si>
  <si>
    <t>较好</t>
    <phoneticPr fontId="26" type="noConversion"/>
  </si>
  <si>
    <t>三通一平</t>
  </si>
  <si>
    <t>三通一平</t>
    <phoneticPr fontId="26" type="noConversion"/>
  </si>
  <si>
    <t>商住公寓</t>
    <phoneticPr fontId="27" type="noConversion"/>
  </si>
  <si>
    <t>钢混</t>
  </si>
  <si>
    <t>钢混</t>
    <phoneticPr fontId="27" type="noConversion"/>
  </si>
  <si>
    <t>精装修</t>
  </si>
  <si>
    <t>精装修</t>
    <phoneticPr fontId="27" type="noConversion"/>
  </si>
  <si>
    <t>普通</t>
    <phoneticPr fontId="27" type="noConversion"/>
  </si>
  <si>
    <t>专业</t>
  </si>
  <si>
    <t>专业</t>
    <phoneticPr fontId="27" type="noConversion"/>
  </si>
  <si>
    <t>五通</t>
  </si>
  <si>
    <t>五通</t>
    <phoneticPr fontId="27" type="noConversion"/>
  </si>
  <si>
    <t>超高层高</t>
  </si>
  <si>
    <t>超高层高</t>
    <phoneticPr fontId="27" type="noConversion"/>
  </si>
  <si>
    <t>标准层高</t>
  </si>
  <si>
    <t>标准层高</t>
    <phoneticPr fontId="27" type="noConversion"/>
  </si>
  <si>
    <t>毛坯</t>
  </si>
  <si>
    <t>毛坯</t>
    <phoneticPr fontId="27" type="noConversion"/>
  </si>
  <si>
    <t>江苏金宇投资发展有限公司</t>
    <phoneticPr fontId="233" type="noConversion"/>
  </si>
  <si>
    <t>新兴镇开放大道东、新北路南侧地块</t>
    <phoneticPr fontId="233" type="noConversion"/>
  </si>
  <si>
    <t>永康商业广场</t>
    <phoneticPr fontId="3" type="noConversion"/>
  </si>
  <si>
    <t>白马以南、明珠对面</t>
    <phoneticPr fontId="3" type="noConversion"/>
  </si>
  <si>
    <t>博联·阳光名寓</t>
    <phoneticPr fontId="3" type="noConversion"/>
  </si>
  <si>
    <t>开放大道388号博联天街</t>
    <phoneticPr fontId="3" type="noConversion"/>
  </si>
  <si>
    <t>居住成熟度</t>
    <phoneticPr fontId="27" type="noConversion"/>
  </si>
  <si>
    <t>绿地商务城中涵公馆</t>
    <phoneticPr fontId="3" type="noConversion"/>
  </si>
  <si>
    <t>亭湖大道与希望大道交汇处</t>
    <phoneticPr fontId="3" type="noConversion"/>
  </si>
  <si>
    <t>较差</t>
    <phoneticPr fontId="27" type="noConversion"/>
  </si>
  <si>
    <t>一般</t>
    <phoneticPr fontId="27" type="noConversion"/>
  </si>
  <si>
    <t>一般</t>
    <phoneticPr fontId="27" type="noConversion"/>
  </si>
  <si>
    <t>五通一平</t>
  </si>
  <si>
    <t>五通一平</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</si>
</sst>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7" fillId="0" borderId="0" xfId="0" applyFont="1" applyAlignment="1"/>
    <xf numFmtId="0" fontId="277" fillId="0" borderId="0" xfId="0" applyFont="1" applyAlignment="1"/>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9" fontId="71" fillId="17" borderId="64" xfId="0" applyNumberFormat="1" applyFont="1" applyFill="1" applyBorder="1" applyAlignment="1" applyProtection="1">
      <alignment horizontal="center" vertical="center" wrapText="1"/>
      <protection locked="0"/>
    </xf>
    <xf numFmtId="0" fontId="52" fillId="17" borderId="5"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江苏省盐城市出让国有建设用地使用权抵押价格预评估</v>
      </c>
      <c r="AX2" s="2898"/>
      <c r="AZ2" s="2898"/>
      <c r="BA2" s="2899"/>
      <c r="BC2" s="2899"/>
    </row>
    <row r="3" spans="1:55" s="2900" customFormat="1">
      <c r="A3" s="2879" t="s">
        <v>2663</v>
      </c>
      <c r="B3" s="2882">
        <f>'预评函-封皮'!B40</f>
        <v>0</v>
      </c>
    </row>
    <row r="4" spans="1:55" s="2881" customFormat="1">
      <c r="A4" s="2879" t="s">
        <v>2664</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受贵公司委托，我公司对江苏省盐城市出让国有建设用地使用权抵押价格进行了预评估。</v>
      </c>
      <c r="AM6" s="2904"/>
    </row>
    <row r="7" spans="1:55" s="2878" customFormat="1">
      <c r="A7" s="2879" t="s">
        <v>2659</v>
      </c>
      <c r="B7" s="2880" t="str">
        <f>'预评函-1'!A6</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2018年12月5日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根据《国有土地使用证》[]，估价对象（分摊）出让国有建设用地使用权面积为73340平方米。根据《建设工程规划许可证》[]、《出让合同》[]，估价对象规划建筑面积为220020平方米。</v>
      </c>
    </row>
    <row r="16" spans="1:55" s="2878" customFormat="1">
      <c r="A16" s="2879" t="s">
        <v>2671</v>
      </c>
      <c r="B16" s="2880" t="str">
        <f>'预评函-1'!A22</f>
        <v>本次估价对象为出让国有建设用地使用权，《国有土地使用证》[]证载土地终止日期为商业2052年10月17日。截至估价期日，出让国有建设用地使用权剩余土地使用年限为。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估价期日：2018年12月5日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73340</v>
      </c>
    </row>
    <row r="44" spans="1:2">
      <c r="A44" s="2879" t="s">
        <v>2742</v>
      </c>
      <c r="B44" s="2880" t="str">
        <f>'预评函-2'!O3</f>
        <v>规划建筑面积/㎡</v>
      </c>
    </row>
    <row r="45" spans="1:2">
      <c r="A45" s="2879" t="s">
        <v>2724</v>
      </c>
      <c r="B45" s="2880">
        <f>'预评函-2'!O5</f>
        <v>220020</v>
      </c>
    </row>
    <row r="46" spans="1:2">
      <c r="A46" s="2879" t="s">
        <v>2725</v>
      </c>
      <c r="B46" s="2880">
        <f ca="1">'预评函-2'!P5</f>
        <v>4435</v>
      </c>
    </row>
    <row r="47" spans="1:2">
      <c r="A47" s="2879" t="s">
        <v>2726</v>
      </c>
      <c r="B47" s="2880">
        <f ca="1">'预评函-2'!Q5</f>
        <v>1478</v>
      </c>
    </row>
    <row r="48" spans="1:2">
      <c r="A48" s="2879" t="s">
        <v>2727</v>
      </c>
      <c r="B48" s="2880">
        <f ca="1">'预评函-2'!R5</f>
        <v>32527</v>
      </c>
    </row>
    <row r="49" spans="1:2">
      <c r="A49" s="2879" t="s">
        <v>2743</v>
      </c>
      <c r="B49" s="2880" t="str">
        <f>'预评函-2'!A6</f>
        <v>抵押价格</v>
      </c>
    </row>
    <row r="50" spans="1:2">
      <c r="A50" s="2879" t="s">
        <v>2728</v>
      </c>
      <c r="B50" s="2880">
        <f ca="1">'预评函-2'!R6</f>
        <v>32527</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91" customWidth="1"/>
    <col min="2" max="2" width="11.375" style="1691" customWidth="1"/>
    <col min="3" max="3" width="12.625" style="1691" customWidth="1"/>
    <col min="4" max="4" width="13.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0" t="str">
        <f>IF(B10="北京市","北京市",C10)&amp;F10&amp;B16&amp;"国有建设用地使用权"&amp;B9&amp;"预评估"</f>
        <v>江苏省盐城市出让国有建设用地使用权抵押价格预评估</v>
      </c>
      <c r="C1" s="3241"/>
      <c r="D1" s="3241"/>
      <c r="E1" s="3241"/>
      <c r="F1" s="3241"/>
      <c r="G1" s="3241"/>
      <c r="H1" s="3241"/>
      <c r="I1" s="3242"/>
      <c r="J1" s="1694"/>
      <c r="K1" s="2456" t="str">
        <f>IF(B10="北京市","北京市",C10)&amp;F10&amp;B16&amp;"国有建设用地使用权"&amp;B9</f>
        <v>江苏省盐城市出让国有建设用地使用权抵押价格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江苏省盐城市出让国有建设用地使用权</v>
      </c>
      <c r="L2" s="1723"/>
      <c r="M2" s="1723"/>
      <c r="N2" s="1694"/>
      <c r="O2" s="1695"/>
      <c r="P2" s="1694"/>
      <c r="Q2" s="1694"/>
      <c r="R2" s="1694"/>
      <c r="S2" s="1694"/>
      <c r="T2" s="1694"/>
      <c r="U2" s="1694"/>
    </row>
    <row r="3" spans="1:21">
      <c r="A3" s="1661" t="s">
        <v>1941</v>
      </c>
      <c r="B3" s="1662" t="s">
        <v>3124</v>
      </c>
      <c r="C3" s="1663" t="s">
        <v>1997</v>
      </c>
      <c r="D3" s="1662">
        <v>43439</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2986</v>
      </c>
      <c r="C8" s="1671"/>
      <c r="D8" s="3246" t="s">
        <v>1946</v>
      </c>
      <c r="E8" s="1844" t="s">
        <v>2987</v>
      </c>
      <c r="F8" s="1672"/>
      <c r="G8" s="1660"/>
      <c r="H8" s="1660"/>
      <c r="I8" s="1707"/>
      <c r="J8" s="1694"/>
      <c r="K8" s="1774"/>
      <c r="L8" s="1723"/>
      <c r="M8" s="1723"/>
      <c r="N8" s="1694"/>
      <c r="O8" s="1695"/>
      <c r="P8" s="1694"/>
      <c r="Q8" s="1694"/>
      <c r="R8" s="1694"/>
      <c r="S8" s="1694"/>
      <c r="T8" s="1694"/>
      <c r="U8" s="1694"/>
    </row>
    <row r="9" spans="1:21" ht="15" thickBot="1">
      <c r="A9" s="1673" t="s">
        <v>1945</v>
      </c>
      <c r="B9" s="1674" t="s">
        <v>2987</v>
      </c>
      <c r="C9" s="1675"/>
      <c r="D9" s="3247"/>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2988</v>
      </c>
      <c r="C10" s="1676" t="s">
        <v>3023</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3"/>
      <c r="C12" s="3244"/>
      <c r="D12" s="3245"/>
      <c r="E12" s="1699" t="s">
        <v>2063</v>
      </c>
      <c r="F12" s="3261" t="s">
        <v>2892</v>
      </c>
      <c r="G12" s="3262"/>
      <c r="H12" s="3262"/>
      <c r="I12" s="3263"/>
      <c r="J12" s="1694"/>
      <c r="K12" s="1774"/>
      <c r="L12" s="1723"/>
      <c r="M12" s="1723"/>
      <c r="N12" s="1694"/>
      <c r="O12" s="1695"/>
      <c r="P12" s="1694"/>
      <c r="Q12" s="1694"/>
      <c r="R12" s="1694"/>
      <c r="S12" s="1694"/>
      <c r="T12" s="1694"/>
      <c r="U12" s="1694"/>
    </row>
    <row r="13" spans="1:21">
      <c r="A13" s="1687" t="s">
        <v>2061</v>
      </c>
      <c r="B13" s="3243"/>
      <c r="C13" s="3244"/>
      <c r="D13" s="3245"/>
      <c r="E13" s="1699" t="s">
        <v>2063</v>
      </c>
      <c r="F13" s="3261" t="s">
        <v>2893</v>
      </c>
      <c r="G13" s="3262"/>
      <c r="H13" s="3262"/>
      <c r="I13" s="3263"/>
      <c r="J13" s="1694"/>
      <c r="K13" s="1774"/>
      <c r="L13" s="1723"/>
      <c r="M13" s="1723"/>
      <c r="N13" s="1694"/>
      <c r="O13" s="1695"/>
      <c r="P13" s="1694"/>
      <c r="Q13" s="1694"/>
      <c r="R13" s="1694"/>
      <c r="S13" s="1694"/>
      <c r="T13" s="1694"/>
      <c r="U13" s="1694"/>
    </row>
    <row r="14" spans="1:21">
      <c r="A14" s="1661" t="s">
        <v>2064</v>
      </c>
      <c r="B14" s="1699"/>
      <c r="C14" s="1845" t="s">
        <v>2990</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2991</v>
      </c>
      <c r="C16" s="1699" t="s">
        <v>1950</v>
      </c>
      <c r="D16" s="2647" t="s">
        <v>1951</v>
      </c>
      <c r="E16" s="1722" t="s">
        <v>3024</v>
      </c>
      <c r="F16" s="1722"/>
      <c r="G16" s="1722"/>
      <c r="H16" s="1722"/>
      <c r="I16" s="1686" t="s">
        <v>1956</v>
      </c>
      <c r="J16" s="1694"/>
      <c r="K16" s="2457" t="str">
        <f>IF(D17="","",D16&amp;TEXT(D17,"yyyy年m月d日;;"))</f>
        <v/>
      </c>
      <c r="L16" s="1699" t="str">
        <f>IF(OR(K16="",M16=""),"","、")</f>
        <v/>
      </c>
      <c r="M16" s="2457" t="str">
        <f>IF(E17="","",E16&amp;TEXT(E17,"yyyy年m月d日;;"))</f>
        <v>商业2052年10月17日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1957</v>
      </c>
      <c r="D17" s="1700"/>
      <c r="E17" s="1700">
        <v>55809</v>
      </c>
      <c r="F17" s="1700"/>
      <c r="G17" s="1700"/>
      <c r="H17" s="1700"/>
      <c r="I17" s="1700"/>
      <c r="J17" s="1694"/>
      <c r="K17" s="2456" t="str">
        <f>CONCATENATE(K16,L16,M16,N16,O16,P16,Q16,R16,S16,T16,,U16)</f>
        <v>商业2052年10月17日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33.89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8"/>
      <c r="E20" s="3259"/>
      <c r="F20" s="3259"/>
      <c r="G20" s="3259"/>
      <c r="H20" s="3259"/>
      <c r="I20" s="3260"/>
      <c r="J20" s="1694"/>
      <c r="K20" s="1774"/>
      <c r="L20" s="1723"/>
      <c r="M20" s="1723"/>
      <c r="N20" s="1694"/>
      <c r="O20" s="1695"/>
      <c r="P20" s="1694"/>
      <c r="Q20" s="1694"/>
      <c r="R20" s="1694"/>
      <c r="S20" s="1694"/>
      <c r="T20" s="1694"/>
      <c r="U20" s="1694"/>
    </row>
    <row r="21" spans="1:21">
      <c r="A21" s="1763" t="s">
        <v>1960</v>
      </c>
      <c r="B21" s="1764" t="s">
        <v>1961</v>
      </c>
      <c r="C21" s="1759">
        <f>'数据-汇总表'!E3</f>
        <v>220020</v>
      </c>
      <c r="D21" s="1760" t="s">
        <v>1962</v>
      </c>
      <c r="E21" s="3248" t="s">
        <v>2000</v>
      </c>
      <c r="F21" s="3249"/>
      <c r="G21" s="3249"/>
      <c r="H21" s="3249"/>
      <c r="I21" s="3250"/>
      <c r="J21" s="1694"/>
      <c r="K21" s="1774"/>
      <c r="L21" s="1723"/>
      <c r="M21" s="1723"/>
      <c r="N21" s="1694"/>
      <c r="O21" s="1695"/>
      <c r="P21" s="1694"/>
      <c r="Q21" s="1694"/>
      <c r="R21" s="1694"/>
      <c r="S21" s="1694"/>
      <c r="T21" s="1694"/>
      <c r="U21" s="1694"/>
    </row>
    <row r="22" spans="1:21">
      <c r="A22" s="3149" t="s">
        <v>951</v>
      </c>
      <c r="B22" s="1661" t="s">
        <v>1963</v>
      </c>
      <c r="C22" s="1686">
        <f>'数据-汇总表'!D3</f>
        <v>73340</v>
      </c>
      <c r="D22" s="1687" t="s">
        <v>1962</v>
      </c>
      <c r="E22" s="3248" t="s">
        <v>2894</v>
      </c>
      <c r="F22" s="3249"/>
      <c r="G22" s="3249"/>
      <c r="H22" s="3249"/>
      <c r="I22" s="3250"/>
      <c r="J22" s="1694"/>
      <c r="K22" s="1774"/>
      <c r="L22" s="1723"/>
      <c r="M22" s="1723"/>
      <c r="N22" s="1694"/>
      <c r="O22" s="1695"/>
      <c r="P22" s="1694"/>
      <c r="Q22" s="1694"/>
      <c r="R22" s="1694"/>
      <c r="S22" s="1694"/>
      <c r="T22" s="1694"/>
      <c r="U22" s="1694"/>
    </row>
    <row r="23" spans="1:21" ht="29.2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1" t="s">
        <v>1968</v>
      </c>
      <c r="C24" s="3252"/>
      <c r="D24" s="3253" t="s">
        <v>1969</v>
      </c>
      <c r="E24" s="3254"/>
      <c r="F24" s="1708" t="s">
        <v>1970</v>
      </c>
      <c r="G24" s="1694"/>
      <c r="H24" s="1694"/>
      <c r="I24" s="1707"/>
      <c r="J24" s="1694"/>
      <c r="K24" s="3239"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9"/>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9"/>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5" t="s">
        <v>2003</v>
      </c>
      <c r="B31" s="1764" t="s">
        <v>2004</v>
      </c>
      <c r="C31" s="3264"/>
      <c r="D31" s="3265"/>
      <c r="E31" s="1694"/>
      <c r="F31" s="1694"/>
      <c r="G31" s="1694"/>
      <c r="H31" s="1694"/>
      <c r="I31" s="1707"/>
      <c r="J31" s="1694"/>
      <c r="K31" s="2459"/>
      <c r="L31" s="1694"/>
      <c r="M31" s="1694"/>
      <c r="N31" s="1694"/>
      <c r="O31" s="1694"/>
      <c r="P31" s="1694"/>
      <c r="Q31" s="1694"/>
      <c r="R31" s="1694"/>
      <c r="S31" s="1694"/>
      <c r="T31" s="1694"/>
      <c r="U31" s="1694"/>
    </row>
    <row r="32" spans="1:21">
      <c r="A32" s="3225"/>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25"/>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26"/>
      <c r="B34" s="1661" t="s">
        <v>2007</v>
      </c>
      <c r="C34" s="3227"/>
      <c r="D34" s="3228"/>
      <c r="E34" s="1694"/>
      <c r="F34" s="1694"/>
      <c r="G34" s="1694"/>
      <c r="H34" s="1694"/>
      <c r="I34" s="1707"/>
      <c r="J34" s="1694"/>
      <c r="K34" s="2459"/>
      <c r="L34" s="1694"/>
      <c r="M34" s="1694"/>
      <c r="N34" s="1694"/>
      <c r="O34" s="1694"/>
      <c r="P34" s="1694"/>
      <c r="Q34" s="1694"/>
      <c r="R34" s="1694"/>
      <c r="S34" s="1694"/>
      <c r="T34" s="1694"/>
      <c r="U34" s="1694"/>
    </row>
    <row r="35" spans="1:21">
      <c r="A35" s="3229" t="s">
        <v>846</v>
      </c>
      <c r="B35" s="1722"/>
      <c r="C35" s="1776" t="str">
        <f>IF(B35="场地平整","——","具体情况：")</f>
        <v>具体情况：</v>
      </c>
      <c r="D35" s="3231"/>
      <c r="E35" s="3232"/>
      <c r="F35" s="3232"/>
      <c r="G35" s="3232"/>
      <c r="H35" s="3232"/>
      <c r="I35" s="3233"/>
      <c r="J35" s="1694"/>
      <c r="K35" s="1775"/>
      <c r="L35" s="1723"/>
      <c r="M35" s="1723"/>
      <c r="N35" s="1694"/>
      <c r="O35" s="1695"/>
      <c r="P35" s="1694"/>
      <c r="Q35" s="1694"/>
      <c r="R35" s="1694"/>
      <c r="S35" s="1694"/>
      <c r="T35" s="1694"/>
      <c r="U35" s="1694"/>
    </row>
    <row r="36" spans="1:21">
      <c r="A36" s="3225"/>
      <c r="B36" s="3234" t="s">
        <v>2056</v>
      </c>
      <c r="C36" s="3235"/>
      <c r="D36" s="1792"/>
      <c r="E36" s="3236"/>
      <c r="F36" s="3236"/>
      <c r="G36" s="1687" t="str">
        <f>IF(B35="场地未平整","估价结果处理","")</f>
        <v/>
      </c>
      <c r="H36" s="3237"/>
      <c r="I36" s="3237"/>
      <c r="J36" s="1694"/>
      <c r="K36" s="1775"/>
      <c r="L36" s="1723"/>
      <c r="M36" s="1723"/>
      <c r="N36" s="1694"/>
      <c r="O36" s="1695"/>
      <c r="P36" s="1694"/>
      <c r="Q36" s="1694"/>
      <c r="R36" s="1694"/>
      <c r="S36" s="1694"/>
      <c r="T36" s="1694"/>
      <c r="U36" s="1694"/>
    </row>
    <row r="37" spans="1:21" ht="28.5">
      <c r="A37" s="3225"/>
      <c r="B37" s="3255"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5"/>
      <c r="B38" s="3256"/>
      <c r="C38" s="1669" t="s">
        <v>849</v>
      </c>
      <c r="D38" s="1791">
        <f>ROUNDDOWN(MIN(('数据-取费表'!$B$2-D37)/365,D34),1)</f>
        <v>119</v>
      </c>
      <c r="E38" s="1727" t="s">
        <v>850</v>
      </c>
      <c r="F38" s="1694"/>
      <c r="G38" s="1694"/>
      <c r="H38" s="1694"/>
      <c r="I38" s="1707"/>
      <c r="J38" s="1694"/>
      <c r="K38" s="1775"/>
      <c r="L38" s="1694"/>
      <c r="M38" s="1694"/>
      <c r="N38" s="1694"/>
      <c r="O38" s="1694"/>
      <c r="P38" s="1694"/>
      <c r="Q38" s="1694"/>
      <c r="R38" s="1694"/>
      <c r="S38" s="1694"/>
      <c r="T38" s="1694"/>
      <c r="U38" s="1694"/>
    </row>
    <row r="39" spans="1:21">
      <c r="A39" s="3226"/>
      <c r="B39" s="325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8" t="s">
        <v>1987</v>
      </c>
      <c r="T40" s="1731" t="str">
        <f>NUMBERSTRING(7-K40,1)&amp;"通"</f>
        <v>七通</v>
      </c>
      <c r="U40" s="1694"/>
    </row>
    <row r="41" spans="1:21" ht="28.5">
      <c r="A41" s="1663"/>
      <c r="B41" s="3230" t="s">
        <v>1721</v>
      </c>
      <c r="C41" s="3230"/>
      <c r="D41" s="3230"/>
      <c r="E41" s="3230"/>
      <c r="F41" s="1732" t="str">
        <f>C10</f>
        <v>江苏省盐城市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8"/>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73340</v>
      </c>
      <c r="B3" s="22">
        <f>IF(C3="否",G5-AT5,G5)</f>
        <v>220020</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220020</v>
      </c>
      <c r="H5" s="27">
        <f t="shared" ref="H5:AT5" si="0">SUM(H13:H641)</f>
        <v>220020</v>
      </c>
      <c r="I5" s="27">
        <f t="shared" si="0"/>
        <v>220020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220020</v>
      </c>
      <c r="BA5" s="29">
        <f t="shared" si="1"/>
        <v>220020</v>
      </c>
      <c r="BB5" s="29">
        <f t="shared" si="1"/>
        <v>220020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73340</v>
      </c>
      <c r="F6" s="27" t="s">
        <v>1</v>
      </c>
      <c r="G6" s="27" t="s">
        <v>2</v>
      </c>
      <c r="H6" s="33">
        <f>SUMIF(I$12:AB$12,"总值",I6:AB6)</f>
        <v>73340</v>
      </c>
      <c r="I6" s="27">
        <f t="shared" ref="I6:AB6" si="2">ROUND($A$3*I5/$B$3,2)</f>
        <v>73340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73340</v>
      </c>
      <c r="AZ6" s="27" t="s">
        <v>3</v>
      </c>
      <c r="BA6" s="27">
        <f>ROUND($AY$6*BA5/$AZ$5,2)</f>
        <v>73340</v>
      </c>
      <c r="BB6" s="27">
        <f>ROUND($AY$6*BB5/$AZ$5,2)</f>
        <v>73340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2992</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3024</v>
      </c>
      <c r="J10" s="51"/>
      <c r="K10" s="3021"/>
      <c r="L10" s="51"/>
      <c r="M10" s="3021"/>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3025</v>
      </c>
      <c r="J11" s="71"/>
      <c r="K11" s="3020"/>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1678</v>
      </c>
      <c r="E13" s="27">
        <f t="shared" ref="E13:E20" si="6">IF($C$3="是",ROUND($A$3*G13/$B$3,2),ROUND($A$3*(G13-AT13)/$B$3,2))</f>
        <v>73340</v>
      </c>
      <c r="F13" s="81"/>
      <c r="G13" s="82">
        <f t="shared" ref="G13:G20" si="7">H13+AC13+AT13</f>
        <v>220020</v>
      </c>
      <c r="H13" s="33">
        <f t="shared" ref="H13:H20" si="8">SUMIF(I$12:AB$12,"总值",I13:AB13)</f>
        <v>220020</v>
      </c>
      <c r="I13" s="3018">
        <f>A3*3</f>
        <v>220020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73340</v>
      </c>
      <c r="AZ13" s="27">
        <f t="shared" ref="AZ13:AZ20" si="12">BA13+BL13</f>
        <v>220020</v>
      </c>
      <c r="BA13" s="27">
        <f t="shared" ref="BA13:BA20" si="13">SUM(BB13:BK13)</f>
        <v>220020</v>
      </c>
      <c r="BB13" s="27">
        <f t="shared" ref="BB13:BB20" si="14">IF($D13="是",I13-J13,0)</f>
        <v>220020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7" t="s">
        <v>203</v>
      </c>
      <c r="B2" s="3277"/>
      <c r="C2" s="3277"/>
      <c r="D2" s="1976" t="s">
        <v>204</v>
      </c>
      <c r="E2" s="106" t="s">
        <v>205</v>
      </c>
      <c r="F2" s="1985"/>
      <c r="G2" s="1198"/>
      <c r="H2" s="1199"/>
      <c r="I2" s="1200" t="s">
        <v>856</v>
      </c>
      <c r="J2" s="1985"/>
      <c r="K2" s="1985"/>
      <c r="L2" s="1985"/>
    </row>
    <row r="3" spans="1:16" ht="15.75" thickBot="1">
      <c r="A3" s="3278" t="s">
        <v>206</v>
      </c>
      <c r="B3" s="3278"/>
      <c r="C3" s="3278"/>
      <c r="D3" s="107">
        <f>'数据-基础表'!AY6</f>
        <v>73340</v>
      </c>
      <c r="E3" s="107">
        <f>'数据-基础表'!AZ5</f>
        <v>220020</v>
      </c>
      <c r="F3" s="1985"/>
      <c r="G3" s="280" t="s">
        <v>857</v>
      </c>
      <c r="H3" s="275" t="s">
        <v>858</v>
      </c>
      <c r="I3" s="1977">
        <f>ROUND('数据-基础表'!B3/'数据-基础表'!A3,2)</f>
        <v>3</v>
      </c>
      <c r="J3" s="1985"/>
      <c r="K3" s="1985"/>
      <c r="L3" s="1985"/>
    </row>
    <row r="4" spans="1:16" ht="15">
      <c r="A4" s="3279"/>
      <c r="B4" s="3280"/>
      <c r="C4" s="3281"/>
      <c r="D4" s="108" t="s">
        <v>204</v>
      </c>
      <c r="E4" s="109" t="s">
        <v>205</v>
      </c>
      <c r="F4" s="1985"/>
      <c r="G4" s="1201"/>
      <c r="H4" s="275" t="s">
        <v>859</v>
      </c>
      <c r="I4" s="1977">
        <f>ROUND(SUMIF('数据-基础表'!I9:AS9,"地上",'数据-基础表'!I5:AS5)/'数据-基础表'!A3,2)</f>
        <v>3</v>
      </c>
      <c r="J4" s="1985"/>
      <c r="K4" s="1985"/>
      <c r="L4" s="1985"/>
    </row>
    <row r="5" spans="1:16">
      <c r="A5" s="110" t="s">
        <v>207</v>
      </c>
      <c r="B5" s="3282" t="s">
        <v>230</v>
      </c>
      <c r="C5" s="3282"/>
      <c r="D5" s="111">
        <f>ROUND($D$3*E5/$E$3,2)</f>
        <v>0</v>
      </c>
      <c r="E5" s="112">
        <f>SUMIF('数据-基础表'!$11:$11,"住宅",'数据-基础表'!$5:$5)</f>
        <v>0</v>
      </c>
      <c r="F5" s="1985"/>
      <c r="G5" s="280" t="s">
        <v>860</v>
      </c>
      <c r="H5" s="275" t="s">
        <v>858</v>
      </c>
      <c r="I5" s="1977">
        <f>ROUND(E31/D31,2)</f>
        <v>3</v>
      </c>
      <c r="J5" s="1985"/>
      <c r="K5" s="1985"/>
      <c r="L5" s="1985"/>
    </row>
    <row r="6" spans="1:16" ht="15" thickBot="1">
      <c r="A6" s="113"/>
      <c r="B6" s="3282" t="s">
        <v>208</v>
      </c>
      <c r="C6" s="3282"/>
      <c r="D6" s="111">
        <f>ROUND($D$3*E6/$E$3,2)</f>
        <v>73340</v>
      </c>
      <c r="E6" s="112">
        <f>E3-E5</f>
        <v>220020</v>
      </c>
      <c r="F6" s="1985"/>
      <c r="G6" s="1201"/>
      <c r="H6" s="275" t="s">
        <v>859</v>
      </c>
      <c r="I6" s="1977">
        <f>ROUND(F31/D31,2)</f>
        <v>3</v>
      </c>
      <c r="J6" s="1985"/>
      <c r="K6" s="1985"/>
      <c r="L6" s="1985"/>
    </row>
    <row r="7" spans="1:16" ht="15">
      <c r="A7" s="3274"/>
      <c r="B7" s="3275"/>
      <c r="C7" s="3276"/>
      <c r="D7" s="108" t="s">
        <v>204</v>
      </c>
      <c r="E7" s="114" t="s">
        <v>231</v>
      </c>
      <c r="F7" s="1985"/>
      <c r="G7" s="1156" t="s">
        <v>1645</v>
      </c>
      <c r="H7" s="1157"/>
      <c r="I7" s="1847"/>
      <c r="J7" s="1985"/>
      <c r="K7" s="1985"/>
      <c r="L7" s="1985"/>
    </row>
    <row r="8" spans="1:16">
      <c r="A8" s="110" t="s">
        <v>209</v>
      </c>
      <c r="B8" s="115" t="s">
        <v>210</v>
      </c>
      <c r="C8" s="111" t="s">
        <v>211</v>
      </c>
      <c r="D8" s="111">
        <f t="shared" ref="D8:D15" si="0">ROUND($D$3*E8/$E$3,2)</f>
        <v>73340</v>
      </c>
      <c r="E8" s="116">
        <f>SUMIF('数据-基础表'!BB10:BK10,"地上",'数据-基础表'!BB5:BK5)</f>
        <v>220020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73340</v>
      </c>
      <c r="E16" s="120">
        <f>SUM(E8:E15)</f>
        <v>220020</v>
      </c>
      <c r="F16" s="1985"/>
      <c r="G16" s="1987"/>
      <c r="H16" s="968" t="s">
        <v>219</v>
      </c>
      <c r="I16" s="969"/>
      <c r="J16" s="1985"/>
      <c r="K16" s="3268" t="s">
        <v>2568</v>
      </c>
      <c r="L16" s="3269"/>
      <c r="M16" s="3269"/>
      <c r="N16" s="3269"/>
      <c r="O16" s="3269"/>
      <c r="P16" s="3270"/>
    </row>
    <row r="17" spans="1:19" ht="15">
      <c r="A17" s="121" t="s">
        <v>216</v>
      </c>
      <c r="B17" s="122" t="s">
        <v>217</v>
      </c>
      <c r="C17" s="2299" t="s">
        <v>2315</v>
      </c>
      <c r="D17" s="108" t="s">
        <v>204</v>
      </c>
      <c r="E17" s="124" t="s">
        <v>205</v>
      </c>
      <c r="F17" s="125"/>
      <c r="G17" s="1366"/>
      <c r="H17" s="970" t="s">
        <v>218</v>
      </c>
      <c r="I17" s="971" t="s">
        <v>2314</v>
      </c>
      <c r="J17" s="1985"/>
      <c r="K17" s="3271" t="s">
        <v>2569</v>
      </c>
      <c r="L17" s="3272"/>
      <c r="M17" s="3273"/>
      <c r="N17" s="3271" t="s">
        <v>2570</v>
      </c>
      <c r="O17" s="3272"/>
      <c r="P17" s="3273"/>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5" t="str">
        <f>'数据-基础表'!I11</f>
        <v>公寓</v>
      </c>
      <c r="D19" s="111">
        <f t="shared" ref="D19:D26" si="1">ROUND($D$3*E19/$E$3,2)</f>
        <v>73340</v>
      </c>
      <c r="E19" s="134">
        <f t="shared" ref="E19:E26" si="2">SUM(F19:G19)</f>
        <v>220020</v>
      </c>
      <c r="F19" s="135">
        <f>'数据-基础表'!I13</f>
        <v>220020</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73340</v>
      </c>
      <c r="S19" s="2302">
        <f t="shared" si="5"/>
        <v>220020</v>
      </c>
    </row>
    <row r="20" spans="1:19">
      <c r="A20" s="138"/>
      <c r="B20" s="115" t="s">
        <v>226</v>
      </c>
      <c r="C20" s="3025"/>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5"/>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73340</v>
      </c>
      <c r="E27" s="143">
        <f>IF(SUM(E19:E26)='数据-基础表'!BA5,SUM(E19:E26),IF(F27="地上面积有误","面积有误","地下面积有误"))</f>
        <v>220020</v>
      </c>
      <c r="F27" s="134">
        <f>IF(SUM(F19:F26)=E8,SUM(F19:F26),"地上面积有误")</f>
        <v>220020</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73340</v>
      </c>
      <c r="S27" s="275">
        <f>IF(SUM(S19:S26)=$E$3,SUM(S19:S26),SUM(S19:S26)&amp;"误差"&amp;ROUND(SUM(S19:S26)-E3,2))</f>
        <v>220020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73340</v>
      </c>
      <c r="E31" s="1372">
        <f>E27+E30</f>
        <v>220020</v>
      </c>
      <c r="F31" s="1373">
        <f>F27+F30</f>
        <v>220020</v>
      </c>
      <c r="G31" s="1374">
        <f>G27+G30</f>
        <v>0</v>
      </c>
      <c r="H31" s="1985"/>
      <c r="I31" s="1985"/>
      <c r="J31" s="1985"/>
      <c r="K31" s="1985"/>
      <c r="L31" s="1985"/>
    </row>
    <row r="32" spans="1:19">
      <c r="A32" s="1985"/>
      <c r="B32" s="2364" t="s">
        <v>2323</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43439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公寓</v>
      </c>
      <c r="B6" s="2338" t="str">
        <f>IF(A6=0,"","经营性")</f>
        <v>经营性</v>
      </c>
      <c r="C6" s="173" t="s">
        <v>3024</v>
      </c>
      <c r="D6" s="2309">
        <f>SUMIF(项目基本情况!D$15:I$15,C6,项目基本情况!D$18:I$18)</f>
        <v>40</v>
      </c>
      <c r="E6" s="2310">
        <f>IF(B6="","",SUMIF(项目基本情况!D$15:I$15,C6,项目基本情况!D$17:I$17))</f>
        <v>55809</v>
      </c>
      <c r="F6" s="174">
        <f>SUMIF(项目基本情况!D$15:I$15,C6,项目基本情况!D$19:I$19)</f>
        <v>33.89</v>
      </c>
      <c r="G6" s="175">
        <f>IF(ISERROR(ROUND(POWER(1+H6,D6-F6)*(POWER(1+H6,F6)-1)/(POWER(1+H6,D6)-1),3)),0,ROUND(POWER(1+H6,D6-F6)*(POWER(1+H6,F6)-1)/(POWER(1+H6,D6)-1),3))</f>
        <v>0.94199999999999995</v>
      </c>
      <c r="H6" s="3026">
        <v>0.05</v>
      </c>
      <c r="I6" s="3026">
        <v>5.5E-2</v>
      </c>
      <c r="J6" s="176">
        <v>8.5000000000000006E-2</v>
      </c>
      <c r="K6" s="179">
        <f>SUMIF('数据-汇总表'!C$19:C$33,'数据-取费表'!A6,'数据-汇总表'!E$19:E$33)</f>
        <v>220020</v>
      </c>
      <c r="L6" s="3027">
        <v>1800</v>
      </c>
      <c r="M6" s="177">
        <f t="shared" ref="M6:M14" si="0">ROUND(K6*L6/10000,0)</f>
        <v>39604</v>
      </c>
      <c r="N6" s="3028">
        <v>0</v>
      </c>
      <c r="O6" s="177">
        <f>IF($N$5="成新度","——",ROUND(M6*N6,0))</f>
        <v>0</v>
      </c>
      <c r="P6" s="178">
        <f>IF($N$5="成新度","——",M6-O6)</f>
        <v>39604</v>
      </c>
      <c r="Q6" s="3029">
        <v>0.15</v>
      </c>
      <c r="R6" s="179">
        <f>SUMIF('数据-汇总表'!C$19:C$33,A6,'数据-汇总表'!R$19:R$33)</f>
        <v>73340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0.80900000000000005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0.94199999999999995</v>
      </c>
      <c r="H16" s="203">
        <f>ROUND(SUMPRODUCT(H6:H13,K6:K13)/SUMPRODUCT((H6:H13&gt;0)*(K6:K13)),3)</f>
        <v>0.05</v>
      </c>
      <c r="I16" s="204"/>
      <c r="J16" s="204"/>
      <c r="K16" s="205">
        <f>SUM(K6:K15)</f>
        <v>220020</v>
      </c>
      <c r="L16" s="206">
        <f>ROUND(M16*10000/SUM(K6:K14),0)</f>
        <v>1800</v>
      </c>
      <c r="M16" s="206">
        <f>SUM(M6:M14)</f>
        <v>39604</v>
      </c>
      <c r="N16" s="207">
        <f>ROUND(SUMPRODUCT(M6:M14,N6:N14)/M16,3)</f>
        <v>0</v>
      </c>
      <c r="O16" s="206">
        <f>SUM(O6:O14)</f>
        <v>0</v>
      </c>
      <c r="P16" s="206">
        <f>SUM(P6:P14)</f>
        <v>39604</v>
      </c>
      <c r="Q16" s="208">
        <f>ROUND(SUMPRODUCT(Q6:Q13,K6:K13)/SUMPRODUCT((Q6:Q13&gt;0)*(K6:K13)),2)</f>
        <v>0.15</v>
      </c>
      <c r="R16" s="2312">
        <f>SUM(R6:R13)</f>
        <v>73340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0.80900000000000005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90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1326</v>
      </c>
      <c r="C53" s="3077" t="s">
        <v>2907</v>
      </c>
      <c r="D53" s="3078" t="s">
        <v>3013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2908</v>
      </c>
      <c r="B54" s="186">
        <v>16</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2909</v>
      </c>
      <c r="B55" s="186">
        <v>12</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2910</v>
      </c>
      <c r="B56" s="186">
        <v>8</v>
      </c>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2911</v>
      </c>
      <c r="B57" s="186">
        <v>5</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2912</v>
      </c>
      <c r="B58" s="186">
        <v>3</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2913</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3" t="s">
        <v>1663</v>
      </c>
      <c r="B1" s="3284"/>
      <c r="C1" s="3284"/>
      <c r="D1" s="3284"/>
      <c r="E1" s="3284"/>
      <c r="F1" s="3284"/>
      <c r="G1" s="3284"/>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082" t="s">
        <v>2924</v>
      </c>
      <c r="D3" s="2010"/>
      <c r="E3" s="1229" t="s">
        <v>1666</v>
      </c>
      <c r="F3" s="1230" t="s">
        <v>1654</v>
      </c>
      <c r="G3" s="3086" t="s">
        <v>2923</v>
      </c>
      <c r="H3" s="2009"/>
      <c r="I3" s="2009"/>
      <c r="J3" s="2009"/>
      <c r="K3" s="2009"/>
      <c r="L3" s="2009"/>
      <c r="M3" s="2009"/>
      <c r="N3" s="2009"/>
      <c r="O3" s="2009"/>
      <c r="P3" s="2009"/>
      <c r="Q3" s="2009"/>
      <c r="R3" s="2009"/>
    </row>
    <row r="4" spans="1:18" ht="41.25">
      <c r="A4" s="1229"/>
      <c r="B4" s="1231" t="s">
        <v>1667</v>
      </c>
      <c r="C4" s="3083" t="s">
        <v>2925</v>
      </c>
      <c r="D4" s="2010"/>
      <c r="E4" s="1232"/>
      <c r="F4" s="1233" t="s">
        <v>1668</v>
      </c>
      <c r="G4" s="3084" t="s">
        <v>2920</v>
      </c>
      <c r="H4" s="2009"/>
      <c r="I4" s="2009"/>
      <c r="J4" s="2009"/>
      <c r="K4" s="2009"/>
      <c r="L4" s="2009"/>
      <c r="M4" s="2009"/>
      <c r="N4" s="2009"/>
      <c r="O4" s="2009"/>
      <c r="P4" s="2009"/>
      <c r="Q4" s="2009"/>
      <c r="R4" s="2009"/>
    </row>
    <row r="5" spans="1:18" ht="41.25">
      <c r="A5" s="1229"/>
      <c r="B5" s="1231" t="s">
        <v>1669</v>
      </c>
      <c r="C5" s="3083" t="s">
        <v>2926</v>
      </c>
      <c r="D5" s="2010"/>
      <c r="E5" s="1232"/>
      <c r="F5" s="1231" t="s">
        <v>2548</v>
      </c>
      <c r="G5" s="3084" t="s">
        <v>2921</v>
      </c>
      <c r="H5" s="2009"/>
      <c r="I5" s="2009"/>
      <c r="J5" s="2009"/>
      <c r="K5" s="2009"/>
      <c r="L5" s="2009"/>
      <c r="M5" s="2009"/>
      <c r="N5" s="2009"/>
      <c r="O5" s="2009"/>
      <c r="P5" s="2009"/>
      <c r="Q5" s="2009"/>
      <c r="R5" s="2009"/>
    </row>
    <row r="6" spans="1:18" ht="54">
      <c r="A6" s="1229"/>
      <c r="B6" s="1231" t="s">
        <v>1655</v>
      </c>
      <c r="C6" s="3084" t="s">
        <v>2920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084" t="s">
        <v>2921</v>
      </c>
      <c r="D7" s="2011"/>
      <c r="E7" s="1234"/>
      <c r="F7" s="1235" t="s">
        <v>1670</v>
      </c>
      <c r="G7" s="3087" t="s">
        <v>2922</v>
      </c>
      <c r="H7" s="2009"/>
      <c r="I7" s="2009"/>
      <c r="J7" s="2009"/>
      <c r="K7" s="2009"/>
      <c r="L7" s="2009"/>
      <c r="M7" s="2009"/>
      <c r="N7" s="2009"/>
      <c r="O7" s="2009"/>
      <c r="P7" s="2009"/>
      <c r="Q7" s="2009"/>
      <c r="R7" s="2009"/>
    </row>
    <row r="8" spans="1:18" ht="27">
      <c r="A8" s="1229"/>
      <c r="B8" s="1231" t="s">
        <v>2549</v>
      </c>
      <c r="C8" s="3084" t="s">
        <v>2918</v>
      </c>
      <c r="D8" s="2011"/>
      <c r="E8" s="2011"/>
      <c r="F8" s="1554"/>
      <c r="G8" s="1554"/>
      <c r="H8" s="2009"/>
      <c r="I8" s="2009"/>
      <c r="J8" s="2009"/>
      <c r="K8" s="2009"/>
      <c r="L8" s="2009"/>
      <c r="M8" s="2009"/>
      <c r="N8" s="2009"/>
      <c r="O8" s="2009"/>
      <c r="P8" s="2009"/>
      <c r="Q8" s="2009"/>
      <c r="R8" s="2009"/>
    </row>
    <row r="9" spans="1:18" ht="40.5">
      <c r="A9" s="1229"/>
      <c r="B9" s="1231" t="s">
        <v>1656</v>
      </c>
      <c r="C9" s="3083"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54">
      <c r="A15" s="2589" t="s">
        <v>1657</v>
      </c>
      <c r="B15" s="1242" t="s">
        <v>1653</v>
      </c>
      <c r="C15" s="1243" t="str">
        <f>C3</f>
        <v>估价对象周边居住用地比例、居住小区规模和社区发展完善程度，综合评价居住社区成熟度一般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估价对象周边道路状况、公共交通通达情况、停车便捷程度，综合评价交通便捷度较好</v>
      </c>
      <c r="D18" s="2011"/>
      <c r="E18" s="2587"/>
      <c r="F18" s="1247" t="s">
        <v>1670</v>
      </c>
      <c r="G18" s="1005" t="str">
        <f>G7</f>
        <v>该园区内是否有污染型企业，绿化情况，卫生条件，整体环境状况判断</v>
      </c>
    </row>
    <row r="19" spans="1:7" ht="27">
      <c r="A19" s="2590"/>
      <c r="B19" s="1247" t="s">
        <v>1659</v>
      </c>
      <c r="C19" s="2795"/>
      <c r="D19" s="2010"/>
      <c r="E19" s="2587"/>
      <c r="F19" s="1231" t="s">
        <v>2548</v>
      </c>
      <c r="G19" s="1005" t="str">
        <f>G5</f>
        <v>估价对象所在区域公共配套设施齐备情况</v>
      </c>
    </row>
    <row r="20" spans="1:7" ht="40.5">
      <c r="A20" s="2590"/>
      <c r="B20" s="1247" t="s">
        <v>1660</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1661</v>
      </c>
      <c r="G21" s="3088"/>
    </row>
    <row r="22" spans="1:7" ht="27">
      <c r="A22" s="2590"/>
      <c r="B22" s="1231" t="s">
        <v>2549</v>
      </c>
      <c r="C22" s="1005" t="str">
        <f>C8</f>
        <v>估价对象所在区域基础设施水平</v>
      </c>
      <c r="D22" s="2010"/>
      <c r="E22" s="2587"/>
      <c r="F22" s="1247" t="s">
        <v>1671</v>
      </c>
      <c r="G22" s="2795"/>
    </row>
    <row r="23" spans="1:7" ht="15" thickBot="1">
      <c r="A23" s="2590"/>
      <c r="B23" s="1247" t="s">
        <v>1661</v>
      </c>
      <c r="C23" s="3088"/>
      <c r="E23" s="2588"/>
      <c r="F23" s="1248" t="s">
        <v>1675</v>
      </c>
      <c r="G23" s="3089"/>
    </row>
    <row r="24" spans="1:7" ht="14.25" thickBot="1">
      <c r="A24" s="2591"/>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2846</v>
      </c>
      <c r="B1" s="3046">
        <f>SUM(B14:B23)</f>
        <v>220020</v>
      </c>
      <c r="C1" s="3047"/>
      <c r="D1" s="3047"/>
      <c r="E1" s="3047"/>
      <c r="F1" s="3047"/>
    </row>
    <row r="2" spans="1:9" ht="16.5">
      <c r="A2" s="3046" t="s">
        <v>2847</v>
      </c>
      <c r="B2" s="3046">
        <f>SUM(C14:C23)</f>
        <v>73340</v>
      </c>
      <c r="C2" s="3047"/>
      <c r="D2" s="3047"/>
      <c r="E2" s="3047"/>
      <c r="F2" s="3047"/>
    </row>
    <row r="3" spans="1:9" ht="16.5">
      <c r="A3" s="3046" t="s">
        <v>2848</v>
      </c>
      <c r="B3" s="3048">
        <f>项目基本情况!D3</f>
        <v>43439</v>
      </c>
      <c r="C3" s="3047"/>
      <c r="D3" s="3047"/>
      <c r="E3" s="3047"/>
      <c r="F3" s="3047"/>
    </row>
    <row r="4" spans="1:9" ht="33">
      <c r="A4" s="3046" t="s">
        <v>2849</v>
      </c>
      <c r="B4" s="3046" t="s">
        <v>2850</v>
      </c>
      <c r="C4" s="3046" t="s">
        <v>2851</v>
      </c>
      <c r="D4" s="3046" t="s">
        <v>2852</v>
      </c>
      <c r="E4" s="3047"/>
      <c r="F4" s="3047"/>
    </row>
    <row r="5" spans="1:9" ht="16.5">
      <c r="A5" s="3046" t="s">
        <v>2853</v>
      </c>
      <c r="B5" s="3046">
        <f ca="1">SUM(D14:D23)</f>
        <v>32527</v>
      </c>
      <c r="C5" s="3046">
        <f ca="1">ROUND(B5*10000/$B$1,0)</f>
        <v>1478</v>
      </c>
      <c r="D5" s="3046">
        <f ca="1">ROUND(B5*10000/$B$2,0)</f>
        <v>4435</v>
      </c>
      <c r="E5" s="3047"/>
      <c r="F5" s="3047"/>
    </row>
    <row r="6" spans="1:9" ht="16.5">
      <c r="A6" s="3046" t="s">
        <v>2854</v>
      </c>
      <c r="B6" s="3046">
        <f ca="1">SUM(G14:G23)</f>
        <v>32527</v>
      </c>
      <c r="C6" s="3046">
        <f t="shared" ref="C6:C8" ca="1" si="0">ROUND(B6*10000/$B$1,0)</f>
        <v>1478</v>
      </c>
      <c r="D6" s="3046">
        <f t="shared" ref="D6:D8" ca="1" si="1">ROUND(B6*10000/$B$2,0)</f>
        <v>4435</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220020</v>
      </c>
      <c r="C14" s="3050">
        <f>结果表!K38</f>
        <v>73340</v>
      </c>
      <c r="D14" s="3050">
        <f ca="1">结果表!C42</f>
        <v>32527</v>
      </c>
      <c r="E14" s="3050">
        <f ca="1">ROUND(D14*10000/B14,0)</f>
        <v>1478</v>
      </c>
      <c r="F14" s="3050">
        <f ca="1">ROUND(D14*10000/C14,0)</f>
        <v>4435</v>
      </c>
      <c r="G14" s="3050">
        <f ca="1">结果表!C44</f>
        <v>32527</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5" zoomScaleNormal="100" zoomScaleSheetLayoutView="100" zoomScalePageLayoutView="80" workbookViewId="0">
      <selection activeCell="K38" sqref="K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30"/>
      <c r="K1" s="2030"/>
      <c r="L1" s="2030"/>
      <c r="M1" s="2030"/>
      <c r="N1" s="2030"/>
      <c r="O1" s="2030"/>
      <c r="P1" s="2030"/>
      <c r="Q1" s="2030"/>
      <c r="R1" s="2030"/>
      <c r="S1" s="2030"/>
      <c r="T1" s="2030"/>
      <c r="U1" s="2030"/>
      <c r="V1" s="2030"/>
    </row>
    <row r="2" spans="1:22" ht="21.75" customHeight="1" thickBot="1">
      <c r="A2" s="3321" t="str">
        <f>项目基本情况!K2</f>
        <v>江苏省盐城市出让国有建设用地使用权</v>
      </c>
      <c r="B2" s="3322"/>
      <c r="C2" s="3323"/>
      <c r="D2" s="3323"/>
      <c r="E2" s="3323"/>
      <c r="F2" s="3323"/>
      <c r="G2" s="3322"/>
      <c r="H2" s="3322"/>
      <c r="I2" s="3324"/>
      <c r="J2" s="2031"/>
      <c r="K2" s="2030"/>
      <c r="L2" s="2030"/>
      <c r="M2" s="2030"/>
      <c r="N2" s="2030"/>
      <c r="O2" s="2030"/>
      <c r="P2" s="2030"/>
      <c r="Q2" s="2030"/>
      <c r="R2" s="2030"/>
      <c r="S2" s="2030"/>
      <c r="T2" s="2030"/>
      <c r="U2" s="2030"/>
      <c r="V2" s="2030"/>
    </row>
    <row r="3" spans="1:22" ht="14.25">
      <c r="A3" s="3314" t="s">
        <v>298</v>
      </c>
      <c r="B3" s="3315"/>
      <c r="C3" s="3315"/>
      <c r="D3" s="3315"/>
      <c r="E3" s="3315"/>
      <c r="F3" s="3315"/>
      <c r="G3" s="3315"/>
      <c r="H3" s="3315"/>
      <c r="I3" s="3315"/>
      <c r="J3" s="2031"/>
      <c r="K3" s="2030"/>
      <c r="L3" s="2030"/>
      <c r="M3" s="2030"/>
      <c r="N3" s="2030"/>
      <c r="O3" s="2030"/>
      <c r="P3" s="2030"/>
      <c r="Q3" s="2030"/>
      <c r="R3" s="2030"/>
      <c r="S3" s="2030"/>
      <c r="T3" s="2030"/>
      <c r="U3" s="2030"/>
      <c r="V3" s="2030"/>
    </row>
    <row r="4" spans="1:22" ht="14.25">
      <c r="A4" s="258" t="s">
        <v>299</v>
      </c>
      <c r="B4" s="259" t="s">
        <v>300</v>
      </c>
      <c r="C4" s="260" t="s">
        <v>3010</v>
      </c>
      <c r="D4" s="260" t="s">
        <v>3011</v>
      </c>
      <c r="E4" s="3286" t="s">
        <v>301</v>
      </c>
      <c r="F4" s="3287"/>
      <c r="G4" s="3287"/>
      <c r="H4" s="3287"/>
      <c r="I4" s="331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5" t="s">
        <v>302</v>
      </c>
      <c r="B5" s="3311">
        <v>25</v>
      </c>
      <c r="C5" s="3309"/>
      <c r="D5" s="3313"/>
      <c r="E5" s="261" t="s">
        <v>303</v>
      </c>
      <c r="F5" s="262"/>
      <c r="G5" s="262"/>
      <c r="H5" s="262"/>
      <c r="I5" s="263"/>
      <c r="J5" s="2031"/>
      <c r="K5" s="2030"/>
      <c r="L5" s="2030"/>
      <c r="M5" s="2030"/>
      <c r="N5" s="2030"/>
      <c r="O5" s="2030"/>
      <c r="P5" s="2030"/>
      <c r="Q5" s="2030"/>
      <c r="R5" s="2030"/>
      <c r="S5" s="2030"/>
      <c r="T5" s="2030"/>
      <c r="U5" s="2030"/>
      <c r="V5" s="2030"/>
    </row>
    <row r="6" spans="1:22" ht="14.25">
      <c r="A6" s="3285"/>
      <c r="B6" s="3311"/>
      <c r="C6" s="3312"/>
      <c r="D6" s="3313"/>
      <c r="E6" s="261" t="s">
        <v>304</v>
      </c>
      <c r="F6" s="262"/>
      <c r="G6" s="262"/>
      <c r="H6" s="262"/>
      <c r="I6" s="263"/>
      <c r="J6" s="2031"/>
      <c r="K6" s="2030"/>
      <c r="L6" s="2030"/>
      <c r="M6" s="2030"/>
      <c r="N6" s="2030"/>
      <c r="O6" s="2030"/>
      <c r="P6" s="2030"/>
      <c r="Q6" s="2030"/>
      <c r="R6" s="2030"/>
      <c r="S6" s="2030"/>
      <c r="T6" s="2030"/>
      <c r="U6" s="2030"/>
      <c r="V6" s="2030"/>
    </row>
    <row r="7" spans="1:22" ht="14.25">
      <c r="A7" s="3285"/>
      <c r="B7" s="3311"/>
      <c r="C7" s="3310"/>
      <c r="D7" s="3313"/>
      <c r="E7" s="261" t="s">
        <v>305</v>
      </c>
      <c r="F7" s="262"/>
      <c r="G7" s="262"/>
      <c r="H7" s="262"/>
      <c r="I7" s="263"/>
      <c r="J7" s="2031"/>
      <c r="K7" s="2030"/>
      <c r="L7" s="2030"/>
      <c r="M7" s="2030"/>
      <c r="N7" s="2030"/>
      <c r="O7" s="2030"/>
      <c r="P7" s="2030"/>
      <c r="Q7" s="2030"/>
      <c r="R7" s="2030"/>
      <c r="S7" s="2030"/>
      <c r="T7" s="2030"/>
      <c r="U7" s="2030"/>
      <c r="V7" s="2030"/>
    </row>
    <row r="8" spans="1:22" ht="14.25">
      <c r="A8" s="3285" t="s">
        <v>306</v>
      </c>
      <c r="B8" s="3311">
        <v>15</v>
      </c>
      <c r="C8" s="3309"/>
      <c r="D8" s="3313"/>
      <c r="E8" s="261" t="s">
        <v>307</v>
      </c>
      <c r="F8" s="262"/>
      <c r="G8" s="262"/>
      <c r="H8" s="262"/>
      <c r="I8" s="263"/>
      <c r="J8" s="2031"/>
      <c r="K8" s="2030"/>
      <c r="L8" s="2030"/>
      <c r="M8" s="2030"/>
      <c r="N8" s="2030"/>
      <c r="O8" s="2030"/>
      <c r="P8" s="2030"/>
      <c r="Q8" s="2030"/>
      <c r="R8" s="2030"/>
      <c r="S8" s="2030"/>
      <c r="T8" s="2030"/>
      <c r="U8" s="2030"/>
      <c r="V8" s="2030"/>
    </row>
    <row r="9" spans="1:22" ht="14.25">
      <c r="A9" s="3285"/>
      <c r="B9" s="3311"/>
      <c r="C9" s="3310"/>
      <c r="D9" s="3313"/>
      <c r="E9" s="261" t="s">
        <v>308</v>
      </c>
      <c r="F9" s="262"/>
      <c r="G9" s="262"/>
      <c r="H9" s="262"/>
      <c r="I9" s="263"/>
      <c r="J9" s="2031"/>
      <c r="K9" s="2030"/>
      <c r="L9" s="2030"/>
      <c r="M9" s="2030"/>
      <c r="N9" s="2030"/>
      <c r="O9" s="2030"/>
      <c r="P9" s="2030"/>
      <c r="Q9" s="2030"/>
      <c r="R9" s="2030"/>
      <c r="S9" s="2030"/>
      <c r="T9" s="2030"/>
      <c r="U9" s="2030"/>
      <c r="V9" s="2030"/>
    </row>
    <row r="10" spans="1:22" ht="14.25">
      <c r="A10" s="3285" t="s">
        <v>309</v>
      </c>
      <c r="B10" s="3311">
        <v>15</v>
      </c>
      <c r="C10" s="3309"/>
      <c r="D10" s="3313"/>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5"/>
      <c r="B11" s="3311"/>
      <c r="C11" s="3310"/>
      <c r="D11" s="3313"/>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5" t="s">
        <v>312</v>
      </c>
      <c r="B12" s="3311">
        <v>15</v>
      </c>
      <c r="C12" s="3309"/>
      <c r="D12" s="3313"/>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5"/>
      <c r="B13" s="3311"/>
      <c r="C13" s="3310"/>
      <c r="D13" s="3313"/>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5" t="s">
        <v>315</v>
      </c>
      <c r="B14" s="3311">
        <v>30</v>
      </c>
      <c r="C14" s="3309">
        <v>4</v>
      </c>
      <c r="D14" s="3313">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5"/>
      <c r="B15" s="3311"/>
      <c r="C15" s="3312"/>
      <c r="D15" s="3313"/>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5"/>
      <c r="B16" s="3311"/>
      <c r="C16" s="3310"/>
      <c r="D16" s="331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24004</v>
      </c>
      <c r="D19" s="271">
        <f ca="1">SUMIF(INDIRECT("'"&amp;D4&amp;"'"&amp;"!A:A"),结果表!B19,INDIRECT("'"&amp;D4&amp;"'"&amp;"!B:B"))</f>
        <v>38209</v>
      </c>
      <c r="E19" s="268" t="s">
        <v>323</v>
      </c>
      <c r="F19" s="269" t="s">
        <v>322</v>
      </c>
      <c r="G19" s="272">
        <f ca="1">ROUND(C19*$C$18+D19*$D$18,0)</f>
        <v>32527</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1091</v>
      </c>
      <c r="D20" s="277">
        <f ca="1">SUMIF(INDIRECT("'"&amp;D4&amp;"'"&amp;"!A:A"),结果表!B20,INDIRECT("'"&amp;D4&amp;"'"&amp;"!B:B"))</f>
        <v>1737</v>
      </c>
      <c r="E20" s="274"/>
      <c r="F20" s="275" t="s">
        <v>325</v>
      </c>
      <c r="G20" s="278">
        <f ca="1">ROUND(C20*$C$18+D20*$D$18,0)</f>
        <v>1479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3273</v>
      </c>
      <c r="D21" s="151">
        <f ca="1">SUMIF(INDIRECT("'"&amp;D4&amp;"'"&amp;"!A:A"),结果表!B21,INDIRECT("'"&amp;D4&amp;"'"&amp;"!B:B"))</f>
        <v>5210</v>
      </c>
      <c r="E21" s="274"/>
      <c r="F21" s="280" t="s">
        <v>327</v>
      </c>
      <c r="G21" s="282">
        <f ca="1">ROUND(C21*$C$18+D21*$D$18,0)</f>
        <v>4435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0.59177637060489929</v>
      </c>
      <c r="E22" s="284"/>
      <c r="F22" s="285"/>
      <c r="G22" s="286">
        <f ca="1">ROUND(G19/('数据-汇总表'!D3/666.67),0)</f>
        <v>296</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92"/>
      <c r="B25" s="1321" t="s">
        <v>331</v>
      </c>
      <c r="C25" s="290">
        <f>IF(B30=0,0,C30)</f>
        <v>0</v>
      </c>
      <c r="D25" s="291"/>
      <c r="E25" s="311"/>
      <c r="F25" s="311"/>
      <c r="G25" s="311"/>
      <c r="H25" s="311"/>
      <c r="I25" s="311"/>
      <c r="J25" s="2030"/>
      <c r="K25" s="1255" t="str">
        <f ca="1">项目基本情况!B16&amp;"国有建设用地使用权价格："&amp;O38&amp;"万元"</f>
        <v>出让国有建设用地使用权价格：32527万元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大写金额：人民币叁亿贰仟伍佰贰拾柒万元整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单位面积地价：4435元/平方米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楼面地价：1478元/平方米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抵押价格：32527万元</v>
      </c>
      <c r="L29" s="1252"/>
      <c r="M29" s="1252"/>
      <c r="N29" s="1252"/>
      <c r="O29" s="1251"/>
      <c r="P29" s="2030"/>
      <c r="V29" s="2030"/>
    </row>
    <row r="30" spans="1:26" ht="18.75" thickBot="1">
      <c r="A30" s="3131" t="s">
        <v>336</v>
      </c>
      <c r="B30" s="309"/>
      <c r="C30" s="309"/>
      <c r="D30" s="310"/>
      <c r="E30" s="3132" t="s">
        <v>2972</v>
      </c>
      <c r="F30" s="311"/>
      <c r="G30" s="311"/>
      <c r="H30" s="311"/>
      <c r="I30" s="311"/>
      <c r="J30" s="2030"/>
      <c r="K30" s="1258" t="str">
        <f ca="1">IF(K29="——","——","大写金额：人民币"&amp;NUMBERSTRING(INT(O39*10000),2)&amp;"元整")</f>
        <v>大写金额：人民币叁亿贰仟伍佰贰拾柒万元整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1688</v>
      </c>
      <c r="C32" s="1383">
        <f ca="1">G19-C24</f>
        <v>32527</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1690</v>
      </c>
      <c r="C33" s="264">
        <f ca="1">ROUND(C32*10000/'数据-汇总表'!E3,0)</f>
        <v>1478</v>
      </c>
      <c r="D33" s="1386" t="s">
        <v>1691</v>
      </c>
      <c r="E33" s="329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4435</v>
      </c>
      <c r="D34" s="1388" t="s">
        <v>1691</v>
      </c>
      <c r="E34" s="333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296</v>
      </c>
      <c r="D35" s="1391" t="s">
        <v>1693</v>
      </c>
      <c r="E35" s="3333"/>
      <c r="F35" s="301" t="s">
        <v>342</v>
      </c>
      <c r="G35" s="982"/>
      <c r="H35" s="981" t="s">
        <v>343</v>
      </c>
      <c r="I35" s="311"/>
      <c r="J35" s="2030"/>
      <c r="K35" s="3306" t="s">
        <v>350</v>
      </c>
      <c r="L35" s="3306" t="s">
        <v>351</v>
      </c>
      <c r="M35" s="1264" t="s">
        <v>352</v>
      </c>
      <c r="N35" s="3306" t="s">
        <v>353</v>
      </c>
      <c r="O35" s="3306" t="s">
        <v>354</v>
      </c>
      <c r="P35" s="2030"/>
      <c r="V35" s="2030"/>
    </row>
    <row r="36" spans="1:26" ht="16.5" customHeight="1">
      <c r="A36" s="303" t="s">
        <v>344</v>
      </c>
      <c r="B36" s="304" t="s">
        <v>333</v>
      </c>
      <c r="C36" s="305" t="s">
        <v>345</v>
      </c>
      <c r="D36" s="305" t="s">
        <v>346</v>
      </c>
      <c r="E36" s="306" t="s">
        <v>347</v>
      </c>
      <c r="F36" s="311"/>
      <c r="G36" s="311"/>
      <c r="H36" s="311"/>
      <c r="I36" s="311"/>
      <c r="J36" s="2032"/>
      <c r="K36" s="3307"/>
      <c r="L36" s="3307"/>
      <c r="M36" s="1266" t="s">
        <v>355</v>
      </c>
      <c r="N36" s="3307"/>
      <c r="O36" s="3307"/>
      <c r="P36" s="2030"/>
      <c r="V36" s="2030"/>
    </row>
    <row r="37" spans="1:26" ht="16.5" customHeight="1" thickBot="1">
      <c r="A37" s="1260" t="s">
        <v>348</v>
      </c>
      <c r="B37" s="307"/>
      <c r="C37" s="294"/>
      <c r="D37" s="294"/>
      <c r="E37" s="295"/>
      <c r="F37" s="311"/>
      <c r="G37" s="311"/>
      <c r="H37" s="311"/>
      <c r="I37" s="311"/>
      <c r="J37" s="2032"/>
      <c r="K37" s="3308"/>
      <c r="L37" s="3308"/>
      <c r="M37" s="1267"/>
      <c r="N37" s="3308"/>
      <c r="O37" s="3308"/>
      <c r="P37" s="2030"/>
      <c r="V37" s="2030"/>
    </row>
    <row r="38" spans="1:26" ht="16.5" customHeight="1" thickBot="1">
      <c r="A38" s="1260" t="s">
        <v>349</v>
      </c>
      <c r="B38" s="307"/>
      <c r="C38" s="294"/>
      <c r="D38" s="294"/>
      <c r="E38" s="295"/>
      <c r="F38" s="311"/>
      <c r="G38" s="311"/>
      <c r="H38" s="311"/>
      <c r="I38" s="311"/>
      <c r="J38" s="2032"/>
      <c r="K38" s="1268">
        <f>'数据-汇总表'!D3</f>
        <v>73340</v>
      </c>
      <c r="L38" s="1269">
        <f>'数据-汇总表'!E3</f>
        <v>220020</v>
      </c>
      <c r="M38" s="1269">
        <f ca="1">C34</f>
        <v>4435</v>
      </c>
      <c r="N38" s="1269">
        <f ca="1">C33</f>
        <v>1478</v>
      </c>
      <c r="O38" s="1270">
        <f ca="1">C32</f>
        <v>32527</v>
      </c>
      <c r="P38" s="2030"/>
      <c r="V38" s="2030"/>
    </row>
    <row r="39" spans="1:26" ht="16.5" customHeight="1" thickBot="1">
      <c r="A39" s="1265"/>
      <c r="B39" s="308"/>
      <c r="C39" s="309"/>
      <c r="D39" s="309"/>
      <c r="E39" s="310"/>
      <c r="F39" s="311"/>
      <c r="G39" s="311"/>
      <c r="H39" s="311"/>
      <c r="I39" s="311"/>
      <c r="J39" s="2032"/>
      <c r="K39" s="3351" t="str">
        <f>MID(A44,3,LEN(A44)-2)</f>
        <v>抵押价格</v>
      </c>
      <c r="L39" s="3352"/>
      <c r="M39" s="3352"/>
      <c r="N39" s="3353"/>
      <c r="O39" s="1393">
        <f ca="1">C44</f>
        <v>32527</v>
      </c>
      <c r="P39" s="2030"/>
      <c r="V39" s="2030"/>
    </row>
    <row r="40" spans="1:26" ht="19.5" thickBot="1">
      <c r="A40" s="104" t="s">
        <v>872</v>
      </c>
      <c r="B40" s="311"/>
      <c r="C40" s="311"/>
      <c r="D40" s="311"/>
      <c r="E40" s="311"/>
      <c r="F40" s="311"/>
      <c r="G40" s="311"/>
      <c r="H40" s="311"/>
      <c r="I40" s="311"/>
      <c r="J40" s="2032"/>
      <c r="K40" s="3351" t="str">
        <f t="shared" ref="K40:K41" si="0">MID(A45,3,LEN(A45)-2)</f>
        <v/>
      </c>
      <c r="L40" s="3352"/>
      <c r="M40" s="3352"/>
      <c r="N40" s="3353"/>
      <c r="O40" s="1393" t="str">
        <f>C45</f>
        <v>——</v>
      </c>
      <c r="P40" s="2030"/>
      <c r="V40" s="2030"/>
    </row>
    <row r="41" spans="1:26" ht="16.5" thickBot="1">
      <c r="A41" s="312" t="s">
        <v>356</v>
      </c>
      <c r="B41" s="313"/>
      <c r="C41" s="314" t="s">
        <v>357</v>
      </c>
      <c r="D41" s="315" t="s">
        <v>358</v>
      </c>
      <c r="E41" s="315" t="s">
        <v>359</v>
      </c>
      <c r="F41" s="316" t="s">
        <v>360</v>
      </c>
      <c r="G41" s="311"/>
      <c r="H41" s="311"/>
      <c r="I41" s="311"/>
      <c r="J41" s="2032"/>
      <c r="K41" s="3351" t="str">
        <f t="shared" si="0"/>
        <v/>
      </c>
      <c r="L41" s="3352"/>
      <c r="M41" s="3352"/>
      <c r="N41" s="3353"/>
      <c r="O41" s="1393" t="str">
        <f>C46</f>
        <v>——</v>
      </c>
      <c r="P41" s="2030"/>
      <c r="V41" s="2030"/>
    </row>
    <row r="42" spans="1:26" ht="29.25">
      <c r="A42" s="3293" t="s">
        <v>2069</v>
      </c>
      <c r="B42" s="3294"/>
      <c r="C42" s="264">
        <f ca="1">C32</f>
        <v>32527</v>
      </c>
      <c r="D42" s="317">
        <f ca="1">C33</f>
        <v>1478</v>
      </c>
      <c r="E42" s="317">
        <f ca="1">C34</f>
        <v>4435</v>
      </c>
      <c r="F42" s="318">
        <f ca="1">C35</f>
        <v>296</v>
      </c>
      <c r="G42" s="311"/>
      <c r="H42" s="311"/>
      <c r="I42" s="319"/>
      <c r="J42" s="2032"/>
      <c r="K42" s="1271" t="s">
        <v>361</v>
      </c>
      <c r="L42" s="2049" t="s">
        <v>362</v>
      </c>
      <c r="M42" s="1272" t="s">
        <v>363</v>
      </c>
      <c r="N42" s="2050" t="s">
        <v>364</v>
      </c>
      <c r="O42" s="2051" t="s">
        <v>365</v>
      </c>
      <c r="P42" s="2030"/>
      <c r="V42" s="2030"/>
    </row>
    <row r="43" spans="1:26" ht="30">
      <c r="A43" s="3304" t="s">
        <v>2732</v>
      </c>
      <c r="B43" s="3305"/>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24004</v>
      </c>
      <c r="M43" s="1275">
        <f>C18</f>
        <v>0.4</v>
      </c>
      <c r="N43" s="1276">
        <f ca="1">IF(N42="测算结果/万元",G19,G20)</f>
        <v>32527</v>
      </c>
      <c r="O43" s="1277">
        <f ca="1">IF(O42="最终结果/万元",C32,C33)</f>
        <v>32527</v>
      </c>
      <c r="P43" s="2030"/>
      <c r="V43" s="2030"/>
    </row>
    <row r="44" spans="1:26" ht="30.75" thickBot="1">
      <c r="A44" s="3293" t="str">
        <f>IF(OR(项目基本情况!E8="抵押价格",项目基本情况!E8="已注销及未注销"),"3.抵押价格","——")</f>
        <v>3.抵押价格</v>
      </c>
      <c r="B44" s="3294"/>
      <c r="C44" s="264">
        <f ca="1">IF(A44="——","——",C42-C43)</f>
        <v>32527</v>
      </c>
      <c r="D44" s="317">
        <f ca="1">ROUND(C44*10000/'数据-汇总表'!E3,0)</f>
        <v>1478</v>
      </c>
      <c r="E44" s="317">
        <f ca="1">ROUND(C44*10000/'数据-汇总表'!D3,0)</f>
        <v>4435</v>
      </c>
      <c r="F44" s="318">
        <f ca="1">ROUND(C44/('数据-汇总表'!D3/666.67),0)</f>
        <v>296</v>
      </c>
      <c r="G44" s="311"/>
      <c r="H44" s="311"/>
      <c r="I44" s="319"/>
      <c r="J44" s="2032"/>
      <c r="K44" s="1278" t="str">
        <f>D4</f>
        <v>剩余法-待开发</v>
      </c>
      <c r="L44" s="1279">
        <f ca="1">IF(L42="估价结果/万元",D19,D20)</f>
        <v>38209</v>
      </c>
      <c r="M44" s="1280">
        <f>D18</f>
        <v>0.6</v>
      </c>
      <c r="N44" s="1281"/>
      <c r="O44" s="1282"/>
      <c r="P44" s="2030"/>
      <c r="V44" s="2030"/>
    </row>
    <row r="45" spans="1:26" ht="15">
      <c r="A45" s="3299" t="str">
        <f>IF(项目基本情况!E8="已注销及未注销","4.抵押担保权已注销时的抵押价格",IF(项目基本情况!E8="已注销","3.抵押担保权已注销时的抵押价格","——"))</f>
        <v>——</v>
      </c>
      <c r="B45" s="330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0" t="s">
        <v>374</v>
      </c>
      <c r="B63" s="3341"/>
      <c r="C63" s="3342"/>
      <c r="D63" s="341">
        <f ca="1">ROUND(C42*F63,0)</f>
        <v>19516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01" t="s">
        <v>378</v>
      </c>
      <c r="B64" s="3302"/>
      <c r="C64" s="3302"/>
      <c r="D64" s="3302"/>
      <c r="E64" s="3302"/>
      <c r="F64" s="3302"/>
      <c r="G64" s="330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7" t="s">
        <v>386</v>
      </c>
      <c r="B66" s="3298"/>
      <c r="C66" s="3298"/>
      <c r="D66" s="261">
        <f ca="1">IF(H66="情况1",0,IF(H66="情况2",D70,IF(H66="情况3",D71,IF(H66="情况4",D72))))</f>
        <v>1041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5" t="s">
        <v>385</v>
      </c>
      <c r="M66" s="3356"/>
      <c r="N66" s="2460"/>
      <c r="O66" s="2461"/>
      <c r="P66" s="2462"/>
      <c r="Q66" s="2030"/>
      <c r="R66" s="2030"/>
      <c r="S66" s="2030"/>
      <c r="T66" s="2030"/>
      <c r="U66" s="2030"/>
      <c r="V66" s="2030"/>
    </row>
    <row r="67" spans="1:22" ht="25.5" customHeight="1">
      <c r="A67" s="352" t="s">
        <v>390</v>
      </c>
      <c r="B67" s="3288" t="s">
        <v>391</v>
      </c>
      <c r="C67" s="3288"/>
      <c r="D67" s="353">
        <v>0</v>
      </c>
      <c r="E67" s="41" t="s">
        <v>392</v>
      </c>
      <c r="F67" s="62" t="s">
        <v>21</v>
      </c>
      <c r="G67" s="3343"/>
      <c r="H67" s="311"/>
      <c r="I67" s="1292"/>
      <c r="J67" s="2037"/>
      <c r="K67" s="1978">
        <v>2</v>
      </c>
      <c r="L67" s="3354" t="s">
        <v>389</v>
      </c>
      <c r="M67" s="3354"/>
      <c r="N67" s="1325">
        <f>'数据-取费表'!B2</f>
        <v>43439</v>
      </c>
      <c r="O67" s="1325"/>
      <c r="P67" s="1325"/>
      <c r="Q67" s="2030"/>
      <c r="R67" s="2030"/>
      <c r="S67" s="2030"/>
      <c r="T67" s="2030"/>
      <c r="U67" s="2030"/>
      <c r="V67" s="2030"/>
    </row>
    <row r="68" spans="1:22" ht="25.5" customHeight="1">
      <c r="A68" s="354"/>
      <c r="B68" s="3288" t="s">
        <v>394</v>
      </c>
      <c r="C68" s="3288"/>
      <c r="D68" s="355"/>
      <c r="E68" s="77"/>
      <c r="F68" s="356"/>
      <c r="G68" s="3344"/>
      <c r="H68" s="311"/>
      <c r="I68" s="1292"/>
      <c r="J68" s="2037"/>
      <c r="K68" s="1978">
        <v>3</v>
      </c>
      <c r="L68" s="3354" t="s">
        <v>393</v>
      </c>
      <c r="M68" s="3354"/>
      <c r="N68" s="1293">
        <f ca="1">C42</f>
        <v>32527</v>
      </c>
      <c r="O68" s="1293"/>
      <c r="P68" s="1293"/>
      <c r="Q68" s="2030"/>
      <c r="R68" s="2030"/>
      <c r="S68" s="2030"/>
      <c r="T68" s="2030"/>
      <c r="U68" s="2030"/>
      <c r="V68" s="2030"/>
    </row>
    <row r="69" spans="1:22" ht="12" customHeight="1">
      <c r="A69" s="357"/>
      <c r="B69" s="3288" t="s">
        <v>395</v>
      </c>
      <c r="C69" s="3288"/>
      <c r="D69" s="358"/>
      <c r="E69" s="73"/>
      <c r="F69" s="356"/>
      <c r="G69" s="3345"/>
      <c r="H69" s="311"/>
      <c r="I69" s="1292"/>
      <c r="J69" s="2037"/>
      <c r="K69" s="1294">
        <v>4</v>
      </c>
      <c r="L69" s="3359" t="s">
        <v>2885</v>
      </c>
      <c r="M69" s="3360"/>
      <c r="N69" s="1295">
        <f ca="1">C44</f>
        <v>32527</v>
      </c>
      <c r="O69" s="1295"/>
      <c r="P69" s="1295"/>
      <c r="Q69" s="2030"/>
      <c r="R69" s="2030"/>
      <c r="S69" s="2030"/>
      <c r="T69" s="2030"/>
      <c r="U69" s="2030"/>
      <c r="V69" s="2030"/>
    </row>
    <row r="70" spans="1:22" ht="24" customHeight="1">
      <c r="A70" s="359" t="s">
        <v>396</v>
      </c>
      <c r="B70" s="3288" t="s">
        <v>397</v>
      </c>
      <c r="C70" s="3288"/>
      <c r="D70" s="358">
        <f ca="1">ROUND(D63*'数据-取费表'!B41/(1+'数据-取费表'!C42),0)</f>
        <v>1041</v>
      </c>
      <c r="E70" s="17" t="s">
        <v>398</v>
      </c>
      <c r="F70" s="360">
        <f>'数据-取费表'!B41</f>
        <v>5.6000000000000001E-2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289" t="s">
        <v>405</v>
      </c>
      <c r="C71" s="3290"/>
      <c r="D71" s="358">
        <f ca="1">ROUND(D63*'数据-取费表'!B41/(1+'数据-取费表'!C42),0)</f>
        <v>1041</v>
      </c>
      <c r="E71" s="17" t="s">
        <v>398</v>
      </c>
      <c r="F71" s="360">
        <f>'数据-取费表'!B41</f>
        <v>5.6000000000000001E-2</v>
      </c>
      <c r="G71" s="361"/>
      <c r="H71" s="311"/>
      <c r="I71" s="1292"/>
      <c r="J71" s="2037"/>
      <c r="K71" s="3062" t="s">
        <v>399</v>
      </c>
      <c r="L71" s="3361" t="s">
        <v>400</v>
      </c>
      <c r="M71" s="3361"/>
      <c r="N71" s="3062" t="s">
        <v>401</v>
      </c>
      <c r="O71" s="3062" t="s">
        <v>402</v>
      </c>
      <c r="P71" s="3062" t="s">
        <v>403</v>
      </c>
      <c r="Q71" s="2030"/>
      <c r="R71" s="2030"/>
      <c r="S71" s="2030"/>
      <c r="T71" s="2030"/>
      <c r="U71" s="2030"/>
      <c r="V71" s="2030"/>
    </row>
    <row r="72" spans="1:22" ht="12" customHeight="1">
      <c r="A72" s="359" t="s">
        <v>407</v>
      </c>
      <c r="B72" s="3289" t="s">
        <v>408</v>
      </c>
      <c r="C72" s="3290"/>
      <c r="D72" s="358">
        <f ca="1">C86</f>
        <v>929</v>
      </c>
      <c r="E72" s="73" t="s">
        <v>409</v>
      </c>
      <c r="F72" s="360">
        <f>'数据-取费表'!B41</f>
        <v>5.6000000000000001E-2</v>
      </c>
      <c r="G72" s="361"/>
      <c r="H72" s="1298"/>
      <c r="I72" s="1292"/>
      <c r="J72" s="2037"/>
      <c r="K72" s="1978">
        <v>1</v>
      </c>
      <c r="L72" s="3336" t="s">
        <v>406</v>
      </c>
      <c r="M72" s="3336"/>
      <c r="N72" s="1296">
        <f ca="1">D66</f>
        <v>1041</v>
      </c>
      <c r="O72" s="1861" t="str">
        <f>E66</f>
        <v>销售额×税（费）率</v>
      </c>
      <c r="P72" s="1297">
        <f>F66</f>
        <v>5.6000000000000001E-2</v>
      </c>
      <c r="Q72" s="2030"/>
      <c r="R72" s="2030"/>
      <c r="S72" s="2030"/>
      <c r="T72" s="2030"/>
      <c r="U72" s="2030"/>
      <c r="V72" s="2030"/>
    </row>
    <row r="73" spans="1:22" ht="24" customHeight="1">
      <c r="A73" s="3330" t="s">
        <v>411</v>
      </c>
      <c r="B73" s="3298"/>
      <c r="C73" s="3298"/>
      <c r="D73" s="362">
        <f>IF(H73="个人住宅",0,ROUND(D63*I73,0))</f>
        <v>0</v>
      </c>
      <c r="E73" s="17" t="s">
        <v>412</v>
      </c>
      <c r="F73" s="360" t="str">
        <f>IF(H73="正常",I73,"免征")</f>
        <v>免征</v>
      </c>
      <c r="G73" s="361"/>
      <c r="H73" s="191" t="s">
        <v>2457</v>
      </c>
      <c r="I73" s="360">
        <f>'数据-取费表'!B49</f>
        <v>5.0000000000000001E-4</v>
      </c>
      <c r="J73" s="2037"/>
      <c r="K73" s="1978">
        <v>2</v>
      </c>
      <c r="L73" s="3336" t="s">
        <v>410</v>
      </c>
      <c r="M73" s="3336"/>
      <c r="N73" s="1296">
        <f t="shared" ref="N73:P74" si="1">D73</f>
        <v>0</v>
      </c>
      <c r="O73" s="1861" t="str">
        <f t="shared" si="1"/>
        <v>销售额×税（费）率</v>
      </c>
      <c r="P73" s="1297" t="str">
        <f t="shared" si="1"/>
        <v>免征</v>
      </c>
      <c r="Q73" s="2030"/>
      <c r="R73" s="2030"/>
      <c r="S73" s="2030"/>
      <c r="T73" s="2030"/>
      <c r="U73" s="2030"/>
      <c r="V73" s="2030"/>
    </row>
    <row r="74" spans="1:22" ht="24.75">
      <c r="A74" s="3330" t="s">
        <v>415</v>
      </c>
      <c r="B74" s="3298"/>
      <c r="C74" s="3298"/>
      <c r="D74" s="362">
        <f ca="1">IF(H74="个人住宅",D75,D76)</f>
        <v>10390</v>
      </c>
      <c r="E74" s="17" t="s">
        <v>416</v>
      </c>
      <c r="F74" s="360" t="str">
        <f>IF(H74="正常",F76,"免征")</f>
        <v>——</v>
      </c>
      <c r="G74" s="983" t="s">
        <v>417</v>
      </c>
      <c r="H74" s="363" t="s">
        <v>413</v>
      </c>
      <c r="I74" s="42"/>
      <c r="J74" s="2037"/>
      <c r="K74" s="1978">
        <v>3</v>
      </c>
      <c r="L74" s="3336" t="s">
        <v>414</v>
      </c>
      <c r="M74" s="3336"/>
      <c r="N74" s="1296">
        <f t="shared" ca="1" si="1"/>
        <v>10390</v>
      </c>
      <c r="O74" s="1861" t="str">
        <f t="shared" si="1"/>
        <v>增值额×税（费）率</v>
      </c>
      <c r="P74" s="1299" t="str">
        <f t="shared" si="1"/>
        <v>——</v>
      </c>
      <c r="Q74" s="2030"/>
      <c r="R74" s="2030"/>
      <c r="S74" s="2030"/>
      <c r="T74" s="2030"/>
      <c r="U74" s="2030"/>
      <c r="V74" s="2030"/>
    </row>
    <row r="75" spans="1:22" ht="24">
      <c r="A75" s="359" t="s">
        <v>418</v>
      </c>
      <c r="B75" s="3286" t="s">
        <v>419</v>
      </c>
      <c r="C75" s="3316"/>
      <c r="D75" s="364">
        <v>0</v>
      </c>
      <c r="E75" s="41" t="s">
        <v>420</v>
      </c>
      <c r="F75" s="365"/>
      <c r="G75" s="361"/>
      <c r="H75" s="42"/>
      <c r="I75" s="42"/>
      <c r="J75" s="2037"/>
      <c r="K75" s="3055">
        <f>IF(H77="非个人房产","",4)</f>
        <v>4</v>
      </c>
      <c r="L75" s="3336" t="str">
        <f>IF(H77="非个人房产","——","个人所得税")</f>
        <v>个人所得税</v>
      </c>
      <c r="M75" s="3336"/>
      <c r="N75" s="1300">
        <f ca="1">D77</f>
        <v>195</v>
      </c>
      <c r="O75" s="1874" t="str">
        <f>E77</f>
        <v>销售额×税（费）率</v>
      </c>
      <c r="P75" s="1301">
        <f>F77</f>
        <v>0.01</v>
      </c>
      <c r="Q75" s="2030"/>
      <c r="R75" s="2030"/>
      <c r="S75" s="2030"/>
      <c r="T75" s="2030"/>
      <c r="U75" s="2030"/>
      <c r="V75" s="2030"/>
    </row>
    <row r="76" spans="1:22" ht="24.75">
      <c r="A76" s="359" t="s">
        <v>396</v>
      </c>
      <c r="B76" s="3286" t="s">
        <v>422</v>
      </c>
      <c r="C76" s="3287"/>
      <c r="D76" s="362">
        <f ca="1">IF(H76="转让取得",C99,C115)</f>
        <v>10390</v>
      </c>
      <c r="E76" s="17" t="s">
        <v>423</v>
      </c>
      <c r="F76" s="53" t="s">
        <v>21</v>
      </c>
      <c r="G76" s="361"/>
      <c r="H76" s="363" t="s">
        <v>424</v>
      </c>
      <c r="I76" s="42"/>
      <c r="J76" s="2037"/>
      <c r="K76" s="3055"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30"/>
      <c r="R76" s="2030"/>
      <c r="S76" s="2030"/>
      <c r="T76" s="2030"/>
      <c r="U76" s="2030"/>
      <c r="V76" s="2030"/>
    </row>
    <row r="77" spans="1:22" ht="26.25" thickBot="1">
      <c r="A77" s="3338" t="s">
        <v>426</v>
      </c>
      <c r="B77" s="3339"/>
      <c r="C77" s="3339"/>
      <c r="D77" s="366">
        <f ca="1">IF(H77="非个人房产","——",IF(H77="个人住宅",0,ROUND(D63*I77,0)))</f>
        <v>195</v>
      </c>
      <c r="E77" s="367" t="str">
        <f>IF(H77="非个人房产","——","销售额×税（费）率")</f>
        <v>销售额×税（费）率</v>
      </c>
      <c r="F77" s="368">
        <f>IF(H77="非个人房产","——",IF(H77="个人住宅","免征",I77))</f>
        <v>0.01</v>
      </c>
      <c r="G77" s="984" t="s">
        <v>417</v>
      </c>
      <c r="H77" s="363" t="s">
        <v>2886</v>
      </c>
      <c r="I77" s="369">
        <v>0.01</v>
      </c>
      <c r="J77" s="2037"/>
      <c r="K77" s="3337">
        <f>IF(AND(K75="",K76=""),4,IF(项目基本情况!K6="上海银行",K76+1,K75+1))</f>
        <v>5</v>
      </c>
      <c r="L77" s="3336" t="s">
        <v>2887</v>
      </c>
      <c r="M77" s="3061" t="s">
        <v>421</v>
      </c>
      <c r="N77" s="1302"/>
      <c r="O77" s="1303">
        <f ca="1">SUMIF(N72:N76,"&lt;9e307")</f>
        <v>11626</v>
      </c>
      <c r="P77" s="1304"/>
      <c r="Q77" s="3059">
        <f ca="1">O77/N69</f>
        <v>0.35742613828511699</v>
      </c>
      <c r="R77" s="2030"/>
      <c r="S77" s="2030"/>
      <c r="T77" s="2030"/>
      <c r="U77" s="2030"/>
      <c r="V77" s="2030"/>
    </row>
    <row r="78" spans="1:22" ht="12" customHeight="1">
      <c r="A78" s="1305"/>
      <c r="B78" s="311"/>
      <c r="C78" s="311"/>
      <c r="D78" s="311"/>
      <c r="E78" s="42"/>
      <c r="F78" s="42"/>
      <c r="G78" s="42"/>
      <c r="H78" s="1003"/>
      <c r="I78" s="311"/>
      <c r="J78" s="2037"/>
      <c r="K78" s="3337"/>
      <c r="L78" s="3336"/>
      <c r="M78" s="3061" t="s">
        <v>425</v>
      </c>
      <c r="N78" s="1302"/>
      <c r="O78" s="1303" t="str">
        <f ca="1">NUMBERSTRING(INT(O77*10000),2)&amp;"元整"</f>
        <v>壹亿壹仟陆佰贰拾陆万元整</v>
      </c>
      <c r="P78" s="1304"/>
      <c r="Q78" s="2030"/>
      <c r="R78" s="2030"/>
      <c r="S78" s="2030"/>
      <c r="T78" s="2030"/>
      <c r="U78" s="2030"/>
      <c r="V78" s="2030"/>
    </row>
    <row r="79" spans="1:22" ht="13.5" thickBot="1">
      <c r="A79" s="3331" t="s">
        <v>427</v>
      </c>
      <c r="B79" s="3331"/>
      <c r="C79" s="3331"/>
      <c r="D79" s="3331"/>
      <c r="E79" s="3331"/>
      <c r="F79" s="42"/>
      <c r="G79" s="42"/>
      <c r="H79" s="1003"/>
      <c r="I79" s="311"/>
      <c r="J79" s="2037"/>
      <c r="K79" s="3357">
        <f>K77+1</f>
        <v>6</v>
      </c>
      <c r="L79" s="3336" t="s">
        <v>2888</v>
      </c>
      <c r="M79" s="3061" t="s">
        <v>421</v>
      </c>
      <c r="N79" s="1302"/>
      <c r="O79" s="1303">
        <f ca="1">N69-O77</f>
        <v>20901</v>
      </c>
      <c r="P79" s="1304"/>
      <c r="Q79" s="2030"/>
      <c r="R79" s="2030"/>
      <c r="S79" s="2030"/>
      <c r="T79" s="2030"/>
      <c r="U79" s="2030"/>
      <c r="V79" s="2030"/>
    </row>
    <row r="80" spans="1:22" ht="25.5">
      <c r="A80" s="3326" t="s">
        <v>428</v>
      </c>
      <c r="B80" s="3327"/>
      <c r="C80" s="994"/>
      <c r="D80" s="994" t="s">
        <v>429</v>
      </c>
      <c r="E80" s="370" t="s">
        <v>430</v>
      </c>
      <c r="F80" s="42"/>
      <c r="G80" s="42"/>
      <c r="H80" s="1003"/>
      <c r="I80" s="311"/>
      <c r="J80" s="2030"/>
      <c r="K80" s="3358"/>
      <c r="L80" s="3336"/>
      <c r="M80" s="3061" t="s">
        <v>425</v>
      </c>
      <c r="N80" s="1302"/>
      <c r="O80" s="1303" t="str">
        <f ca="1">NUMBERSTRING(INT(O79*10000),2)&amp;"元整"</f>
        <v>贰亿零玖佰零壹万元整</v>
      </c>
      <c r="P80" s="1304"/>
      <c r="Q80" s="2030"/>
      <c r="R80" s="2030"/>
      <c r="S80" s="2030"/>
      <c r="T80" s="2030"/>
      <c r="U80" s="2030"/>
      <c r="V80" s="2030"/>
    </row>
    <row r="81" spans="1:26" ht="13.5" thickBot="1">
      <c r="A81" s="381" t="s">
        <v>1823</v>
      </c>
      <c r="B81" s="371" t="s">
        <v>431</v>
      </c>
      <c r="C81" s="372">
        <f ca="1">ROUND((C82+C83)/(1+'数据-取费表'!C42),0)</f>
        <v>18587</v>
      </c>
      <c r="D81" s="373"/>
      <c r="E81" s="374"/>
      <c r="F81" s="42"/>
      <c r="G81" s="42"/>
      <c r="H81" s="1003"/>
      <c r="I81" s="311"/>
      <c r="J81" s="2030"/>
      <c r="K81" s="3055">
        <f>K79+1</f>
        <v>7</v>
      </c>
      <c r="L81" s="3334" t="s">
        <v>2889</v>
      </c>
      <c r="M81" s="3335"/>
      <c r="N81" s="1306"/>
      <c r="O81" s="1307">
        <f ca="1">ROUND(O79*10000/'数据-汇总表'!E3,0)</f>
        <v>950</v>
      </c>
      <c r="P81" s="1308"/>
      <c r="Q81" s="2030"/>
      <c r="R81" s="2030"/>
      <c r="S81" s="2030"/>
      <c r="T81" s="2030"/>
      <c r="U81" s="2030"/>
      <c r="V81" s="2030"/>
    </row>
    <row r="82" spans="1:26" ht="13.5" thickTop="1">
      <c r="A82" s="375" t="s">
        <v>1824</v>
      </c>
      <c r="B82" s="376" t="s">
        <v>432</v>
      </c>
      <c r="C82" s="377">
        <f ca="1">D63</f>
        <v>19516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346" t="s">
        <v>2876</v>
      </c>
      <c r="L83" s="3067" t="s">
        <v>2877</v>
      </c>
      <c r="M83" s="3057">
        <f ca="1">IF(N69&gt;10000,N69*0.5%,IF(AND(N69&gt;1000,N69&lt;=10000),N69*1%,IF(AND(N69&gt;100,N69&lt;=1000),N69*3%,IF(AND(N69&gt;10,N69&lt;=100),N69*5%,N69*8%))))</f>
        <v>162.63499999999999</v>
      </c>
      <c r="N83" s="53">
        <f ca="1">ROUND(M83,1)</f>
        <v>162.6</v>
      </c>
      <c r="O83" s="3060"/>
      <c r="P83" s="2030"/>
      <c r="Q83" s="2030"/>
      <c r="R83" s="2030"/>
      <c r="S83" s="2030"/>
      <c r="T83" s="2030"/>
      <c r="U83" s="2030"/>
      <c r="V83" s="2030"/>
    </row>
    <row r="84" spans="1:26" ht="12.75">
      <c r="A84" s="381" t="s">
        <v>1826</v>
      </c>
      <c r="B84" s="382" t="s">
        <v>434</v>
      </c>
      <c r="C84" s="383">
        <v>2000</v>
      </c>
      <c r="D84" s="384" t="s">
        <v>19</v>
      </c>
      <c r="E84" s="3102" t="s">
        <v>2944</v>
      </c>
      <c r="F84" s="42"/>
      <c r="G84" s="42"/>
      <c r="H84" s="1003"/>
      <c r="I84" s="311"/>
      <c r="J84" s="2030"/>
      <c r="K84" s="3346"/>
      <c r="L84" s="3067" t="s">
        <v>2878</v>
      </c>
      <c r="M84" s="3057">
        <f ca="1">IF(N69&gt;2000,N69*0.5%,IF(AND(N69&gt;1000,N69&lt;=2000),N69*0.6%,IF(AND(N69&gt;500,N69&lt;=1000),N69*0.7%,IF(AND(N69&gt;200,N69&lt;=500),N69*0.8%,IF(AND(N69&gt;100,N69&lt;=200),N69*0.9%,IF(AND(N69&gt;50,N69&lt;=100),N69*1%,IF(AND(N69&gt;20,N69&lt;=50),N69*1.5%,IF(AND(N69&gt;10,N69&lt;=20),N69*2%,IF(AND(N69&gt;1,N69&lt;=10),N69*2.5%)))))))))</f>
        <v>162.63499999999999</v>
      </c>
      <c r="N84" s="53">
        <f t="shared" ref="N84:N85" ca="1" si="2">ROUND(M84,1)</f>
        <v>162.6</v>
      </c>
      <c r="O84" s="2030" t="s">
        <v>2879</v>
      </c>
      <c r="P84" s="2030"/>
      <c r="Q84" s="2030"/>
      <c r="R84" s="2030"/>
      <c r="S84" s="2030"/>
      <c r="T84" s="2030"/>
      <c r="U84" s="2030"/>
      <c r="V84" s="2030"/>
    </row>
    <row r="85" spans="1:26" ht="12.75">
      <c r="A85" s="381" t="s">
        <v>1827</v>
      </c>
      <c r="B85" s="382" t="s">
        <v>435</v>
      </c>
      <c r="C85" s="385">
        <f ca="1">C81-C84</f>
        <v>16587</v>
      </c>
      <c r="D85" s="378" t="s">
        <v>19</v>
      </c>
      <c r="E85" s="379"/>
      <c r="F85" s="42"/>
      <c r="G85" s="42"/>
      <c r="H85" s="1003"/>
      <c r="I85" s="311"/>
      <c r="J85" s="2030"/>
      <c r="K85" s="3346"/>
      <c r="L85" s="3067" t="s">
        <v>2880</v>
      </c>
      <c r="M85" s="3057">
        <f ca="1">IF(N69&gt;1000,N69*0.1%,IF(AND(N69&gt;500,N69&lt;=1000),N69*0.5%,IF(AND(N69&gt;50,N69&lt;=500),N69*1%,IF(AND(N69&gt;1,N69&lt;=50),N69*1.5%))))</f>
        <v>32.527000000000001</v>
      </c>
      <c r="N85" s="53">
        <f t="shared" ca="1" si="2"/>
        <v>32.5</v>
      </c>
      <c r="O85" s="2030" t="s">
        <v>2879</v>
      </c>
      <c r="P85" s="2030"/>
      <c r="Q85" s="2030"/>
      <c r="R85" s="2030"/>
      <c r="S85" s="2030"/>
      <c r="T85" s="2030"/>
      <c r="U85" s="2030"/>
      <c r="V85" s="2030"/>
    </row>
    <row r="86" spans="1:26" ht="13.5" thickBot="1">
      <c r="A86" s="386" t="s">
        <v>1828</v>
      </c>
      <c r="B86" s="387" t="s">
        <v>436</v>
      </c>
      <c r="C86" s="388">
        <f ca="1">IF(C85&lt;=0,0,ROUND(C85*D86,0))</f>
        <v>929</v>
      </c>
      <c r="D86" s="389">
        <f>'数据-取费表'!B41</f>
        <v>5.6000000000000001E-2</v>
      </c>
      <c r="E86" s="390"/>
      <c r="F86" s="42"/>
      <c r="G86" s="42"/>
      <c r="H86" s="1003"/>
      <c r="I86" s="311"/>
      <c r="J86" s="2030"/>
      <c r="K86" s="3346"/>
      <c r="L86" s="3067" t="s">
        <v>2881</v>
      </c>
      <c r="M86" s="3057">
        <f ca="1">N69*0.5%</f>
        <v>162.63499999999999</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6"/>
      <c r="L87" s="3067" t="s">
        <v>2883</v>
      </c>
      <c r="M87" s="3057">
        <f ca="1">IF(N69&gt;=10000,(8.25+(N69-10000)*0.01%),IF(AND(N69&gt;=8000,N69&lt;10000),(7.85+(N69-8000)*0.02%),IF(AND(N69&gt;=5000,N69&lt;8000),(6.65+(N69-5000)*0.04%),IF(AND(N69&gt;=2000,N69&lt;5000),(4.25+(PN69-2000)*0.08%),IF(AND(N69&gt;=1000,N69&lt;2000),(2.75+(N69-1000)*0.15%),IF(AND(N69&gt;=100,N69&lt;1000),(0.5+(N69-100)*0.25%),IF(AND(N69&gt;0,N69&lt;100),N69*0.5%)))))))</f>
        <v>10.502700000000001</v>
      </c>
      <c r="N87" s="53">
        <f ca="1">ROUND(M87*0.9,1)</f>
        <v>9.5</v>
      </c>
      <c r="O87" s="3060"/>
      <c r="P87" s="311"/>
      <c r="Q87" s="2030"/>
      <c r="R87" s="2030"/>
      <c r="S87" s="2030"/>
      <c r="T87" s="2030"/>
      <c r="U87" s="2030"/>
      <c r="V87" s="2030"/>
      <c r="W87" s="292"/>
      <c r="X87" s="292"/>
      <c r="Y87" s="292"/>
      <c r="Z87" s="292"/>
    </row>
    <row r="88" spans="1:26" s="1314" customFormat="1" ht="15" thickBot="1">
      <c r="A88" s="3328" t="s">
        <v>437</v>
      </c>
      <c r="B88" s="3329"/>
      <c r="C88" s="3329"/>
      <c r="D88" s="3329"/>
      <c r="E88" s="3329"/>
      <c r="F88" s="3329"/>
      <c r="G88" s="3329"/>
      <c r="H88" s="3329"/>
      <c r="I88" s="1315"/>
      <c r="J88" s="2038"/>
      <c r="K88" s="3346"/>
      <c r="L88" s="3067" t="s">
        <v>2884</v>
      </c>
      <c r="M88" s="3057">
        <f ca="1">IF(N69&gt;10000,N69*0.5%,IF(AND(N69&gt;5000,N69&lt;=10000),N69*1%,IF(AND(N69&gt;1000,N69&lt;=5000),N69*2%,IF(AND(N69&gt;200,N69&lt;=1000),N69*3%,N69*5%))))</f>
        <v>162.63499999999999</v>
      </c>
      <c r="N88" s="53">
        <f ca="1">ROUND(M88,1)</f>
        <v>162.6</v>
      </c>
      <c r="O88" s="3060"/>
      <c r="P88" s="11"/>
      <c r="Q88" s="2035"/>
      <c r="R88" s="2035"/>
      <c r="S88" s="2035"/>
      <c r="T88" s="2035"/>
      <c r="U88" s="2035"/>
      <c r="V88" s="2035"/>
      <c r="W88" s="2039"/>
      <c r="X88" s="2039"/>
      <c r="Y88" s="2039"/>
      <c r="Z88" s="2039"/>
    </row>
    <row r="89" spans="1:26" s="1314" customFormat="1" ht="14.25">
      <c r="A89" s="3326" t="s">
        <v>428</v>
      </c>
      <c r="B89" s="3327"/>
      <c r="C89" s="994"/>
      <c r="D89" s="994" t="s">
        <v>429</v>
      </c>
      <c r="E89" s="391" t="s">
        <v>438</v>
      </c>
      <c r="F89" s="392"/>
      <c r="G89" s="392"/>
      <c r="H89" s="393"/>
      <c r="I89" s="1316"/>
      <c r="J89" s="2040"/>
      <c r="K89" s="3346"/>
      <c r="L89" s="3067" t="s">
        <v>27</v>
      </c>
      <c r="M89" s="3058"/>
      <c r="N89" s="53">
        <f ca="1">ROUND(SUM(N83:N88),0)</f>
        <v>530</v>
      </c>
      <c r="O89" s="3068">
        <f ca="1">N89/N69</f>
        <v>1.6294155624558059E-2</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18587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2673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289" t="s">
        <v>447</v>
      </c>
      <c r="F94" s="3288"/>
      <c r="G94" s="3288"/>
      <c r="H94" s="332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112</v>
      </c>
      <c r="D96" s="406">
        <f>'数据-取费表'!B43</f>
        <v>6.000000000000001E-3</v>
      </c>
      <c r="E96" s="3317" t="s">
        <v>2430</v>
      </c>
      <c r="F96" s="3318"/>
      <c r="G96" s="3318"/>
      <c r="H96" s="331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15914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5.9536101758323978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8613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8" t="s">
        <v>454</v>
      </c>
      <c r="B101" s="3329"/>
      <c r="C101" s="3329"/>
      <c r="D101" s="3329"/>
      <c r="E101" s="3329"/>
      <c r="F101" s="3329"/>
      <c r="G101" s="3329"/>
      <c r="H101" s="332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6" t="s">
        <v>428</v>
      </c>
      <c r="B102" s="3327"/>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18587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802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20" t="s">
        <v>462</v>
      </c>
      <c r="F109" s="3318"/>
      <c r="G109" s="3318"/>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20" t="s">
        <v>464</v>
      </c>
      <c r="F110" s="3318"/>
      <c r="G110" s="3318"/>
      <c r="H110" s="331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112</v>
      </c>
      <c r="D111" s="406">
        <f>'数据-取费表'!B43</f>
        <v>6.000000000000001E-3</v>
      </c>
      <c r="E111" s="3317" t="s">
        <v>2430</v>
      </c>
      <c r="F111" s="3318"/>
      <c r="G111" s="3318"/>
      <c r="H111" s="331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20" t="s">
        <v>2455</v>
      </c>
      <c r="F112" s="3318"/>
      <c r="G112" s="3318"/>
      <c r="H112" s="331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17785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22.17581047381546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10390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39604</v>
      </c>
      <c r="D13" s="451"/>
      <c r="E13" s="365"/>
      <c r="F13" s="452"/>
      <c r="G13" s="444"/>
      <c r="H13" s="447"/>
      <c r="I13" s="447"/>
      <c r="J13" s="447"/>
      <c r="K13" s="448"/>
    </row>
    <row r="14" spans="1:41" s="2118" customFormat="1" ht="13.5" customHeight="1">
      <c r="A14" s="1634" t="s">
        <v>1849</v>
      </c>
      <c r="B14" s="449" t="s">
        <v>480</v>
      </c>
      <c r="C14" s="53">
        <f ca="1">ROUND(C13*F14,0)</f>
        <v>1188</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1851</v>
      </c>
      <c r="B16" s="449" t="s">
        <v>484</v>
      </c>
      <c r="C16" s="53">
        <f ca="1">ROUND(D16*E16/10000,0)</f>
        <v>4400</v>
      </c>
      <c r="D16" s="451">
        <f ca="1">IF(B1="",'数据-汇总表'!E3,INDIRECT("'数据-取费表'!K"&amp;$K$1)+INDIRECT("'数据-取费表'!S"&amp;$K$1))</f>
        <v>220020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594</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45786</v>
      </c>
      <c r="D18" s="461"/>
      <c r="E18" s="462"/>
      <c r="F18" s="462"/>
      <c r="G18" s="1327" t="s">
        <v>2434</v>
      </c>
      <c r="H18" s="447"/>
      <c r="I18" s="447"/>
      <c r="J18" s="447"/>
      <c r="K18" s="448"/>
    </row>
    <row r="19" spans="1:14" s="2121" customFormat="1" ht="13.5" customHeight="1">
      <c r="A19" s="1635" t="s">
        <v>1854</v>
      </c>
      <c r="B19" s="459" t="s">
        <v>493</v>
      </c>
      <c r="C19" s="460">
        <f ca="1">ROUND(C18*F19,0)</f>
        <v>916</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2218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2218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33" t="s">
        <v>2834</v>
      </c>
      <c r="C24" s="478">
        <f ca="1">C25</f>
        <v>7005</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1848</v>
      </c>
      <c r="B25" s="1328" t="s">
        <v>2438</v>
      </c>
      <c r="C25" s="490">
        <f ca="1">ROUND((C18+C19)*F24,0)</f>
        <v>7005</v>
      </c>
      <c r="D25" s="472"/>
      <c r="E25" s="473"/>
      <c r="F25" s="480"/>
      <c r="G25" s="1326" t="s">
        <v>2435</v>
      </c>
      <c r="H25" s="457"/>
      <c r="I25" s="457"/>
      <c r="J25" s="457"/>
      <c r="K25" s="458"/>
    </row>
    <row r="26" spans="1:14" s="2122" customFormat="1" ht="13.5" customHeight="1">
      <c r="A26" s="1634" t="s">
        <v>1849</v>
      </c>
      <c r="B26" s="1328" t="s">
        <v>509</v>
      </c>
      <c r="C26" s="491">
        <f ca="1">ROUND(F20*F24,4)</f>
        <v>3.0000000000000001E-3</v>
      </c>
      <c r="D26" s="472"/>
      <c r="E26" s="481"/>
      <c r="F26" s="480"/>
      <c r="G26" s="1326" t="s">
        <v>510</v>
      </c>
      <c r="H26" s="457"/>
      <c r="I26" s="457"/>
      <c r="J26" s="457"/>
      <c r="K26" s="458"/>
    </row>
    <row r="27" spans="1:14" s="2122" customFormat="1" ht="13.5" customHeight="1">
      <c r="A27" s="1638" t="s">
        <v>1867</v>
      </c>
      <c r="B27" s="459" t="s">
        <v>511</v>
      </c>
      <c r="C27" s="3032">
        <f>ROUND(F27/(1+'数据-取费表'!C42),4)</f>
        <v>5.33E-2</v>
      </c>
      <c r="D27" s="462" t="s">
        <v>2832</v>
      </c>
      <c r="E27" s="462"/>
      <c r="F27" s="466">
        <f>'数据-取费表'!B41</f>
        <v>5.6000000000000001E-2</v>
      </c>
      <c r="G27" s="1962" t="s">
        <v>2293</v>
      </c>
      <c r="H27" s="447"/>
      <c r="I27" s="447"/>
      <c r="J27" s="447"/>
      <c r="K27" s="448"/>
    </row>
    <row r="28" spans="1:14" s="2123" customFormat="1" ht="13.5" customHeight="1">
      <c r="A28" s="1638" t="s">
        <v>1868</v>
      </c>
      <c r="B28" s="476" t="s">
        <v>512</v>
      </c>
      <c r="C28" s="470">
        <f ca="1">ROUND((C18+C19+C21+C24)/(1-C20-D21-D24-C27),0)</f>
        <v>60610</v>
      </c>
      <c r="D28" s="477"/>
      <c r="E28" s="469"/>
      <c r="F28" s="471"/>
      <c r="G28" s="1327" t="s">
        <v>2436</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35" zoomScale="95" zoomScaleNormal="95" zoomScaleSheetLayoutView="80" workbookViewId="0">
      <selection activeCell="I43" sqref="I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24004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1091</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3273</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218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1" t="s">
        <v>522</v>
      </c>
      <c r="D6" s="3372"/>
      <c r="E6" s="3371" t="s">
        <v>523</v>
      </c>
      <c r="F6" s="3372"/>
      <c r="G6" s="3371" t="s">
        <v>524</v>
      </c>
      <c r="H6" s="3372"/>
      <c r="I6" s="3371" t="s">
        <v>525</v>
      </c>
      <c r="J6" s="3372"/>
      <c r="K6" s="514" t="s">
        <v>526</v>
      </c>
      <c r="L6" s="2135"/>
      <c r="M6" s="2134"/>
      <c r="N6" s="2134"/>
      <c r="O6" s="2136"/>
      <c r="P6" s="3373" t="s">
        <v>527</v>
      </c>
      <c r="Q6" s="3374"/>
      <c r="R6" s="3379" t="s">
        <v>523</v>
      </c>
      <c r="S6" s="3380"/>
      <c r="T6" s="3379" t="s">
        <v>524</v>
      </c>
      <c r="U6" s="3380"/>
      <c r="V6" s="3366" t="s">
        <v>525</v>
      </c>
      <c r="W6" s="3366"/>
      <c r="X6" s="1568"/>
      <c r="Y6" s="3379" t="s">
        <v>527</v>
      </c>
      <c r="Z6" s="3380"/>
      <c r="AA6" s="3368" t="s">
        <v>523</v>
      </c>
      <c r="AB6" s="3369" t="s">
        <v>524</v>
      </c>
      <c r="AC6" s="3368" t="s">
        <v>525</v>
      </c>
    </row>
    <row r="7" spans="1:30" ht="20.25" customHeight="1">
      <c r="A7" s="515"/>
      <c r="B7" s="516"/>
      <c r="C7" s="3387" t="s">
        <v>2931</v>
      </c>
      <c r="D7" s="3388"/>
      <c r="E7" s="3387" t="str">
        <f>Sheet1!A7</f>
        <v>新都路南、厚德路东侧地块</v>
      </c>
      <c r="F7" s="3388"/>
      <c r="G7" s="3387" t="str">
        <f>Sheet1!A8</f>
        <v>新兴镇开放大道东、新北路南侧地块</v>
      </c>
      <c r="H7" s="3388"/>
      <c r="I7" s="3387" t="str">
        <f>Sheet1!A9</f>
        <v>海洋路北、达信路西侧地块</v>
      </c>
      <c r="J7" s="3388"/>
      <c r="K7" s="514"/>
      <c r="L7" s="2135"/>
      <c r="M7" s="2134"/>
      <c r="N7" s="2134"/>
      <c r="O7" s="2136"/>
      <c r="P7" s="3375"/>
      <c r="Q7" s="3376"/>
      <c r="R7" s="3381"/>
      <c r="S7" s="3382"/>
      <c r="T7" s="3381"/>
      <c r="U7" s="3382"/>
      <c r="V7" s="3366"/>
      <c r="W7" s="3366"/>
      <c r="X7" s="1568"/>
      <c r="Y7" s="3381"/>
      <c r="Z7" s="3382"/>
      <c r="AA7" s="3369"/>
      <c r="AB7" s="3369"/>
      <c r="AC7" s="3369"/>
    </row>
    <row r="8" spans="1:30" ht="21" thickBot="1">
      <c r="A8" s="515"/>
      <c r="B8" s="516"/>
      <c r="C8" s="3389" t="s">
        <v>2935</v>
      </c>
      <c r="D8" s="3390"/>
      <c r="E8" s="3389" t="s">
        <v>2935</v>
      </c>
      <c r="F8" s="3390"/>
      <c r="G8" s="3385" t="s">
        <v>2935</v>
      </c>
      <c r="H8" s="3386"/>
      <c r="I8" s="3385" t="s">
        <v>2935</v>
      </c>
      <c r="J8" s="3386"/>
      <c r="K8" s="514" t="s">
        <v>528</v>
      </c>
      <c r="L8" s="2135"/>
      <c r="M8" s="2134"/>
      <c r="N8" s="2134"/>
      <c r="O8" s="2136"/>
      <c r="P8" s="3377"/>
      <c r="Q8" s="3378"/>
      <c r="R8" s="3381"/>
      <c r="S8" s="3382"/>
      <c r="T8" s="3383"/>
      <c r="U8" s="3384"/>
      <c r="V8" s="3366"/>
      <c r="W8" s="3366"/>
      <c r="X8" s="1568"/>
      <c r="Y8" s="3383"/>
      <c r="Z8" s="3384"/>
      <c r="AA8" s="3370"/>
      <c r="AB8" s="3370"/>
      <c r="AC8" s="3370"/>
    </row>
    <row r="9" spans="1:30" s="1220" customFormat="1" ht="21" thickBot="1">
      <c r="A9" s="2913"/>
      <c r="B9" s="2920" t="s">
        <v>529</v>
      </c>
      <c r="C9" s="2912">
        <f>'数据-取费表'!B2</f>
        <v>43439</v>
      </c>
      <c r="D9" s="520">
        <v>100</v>
      </c>
      <c r="E9" s="521" t="str">
        <f>Sheet1!K7</f>
        <v>2017-02-17</v>
      </c>
      <c r="F9" s="522">
        <f>SUMIF(72:72,YEAR(E9)&amp;"-"&amp;INT((MONTH(E9)+2)/3),73:73)</f>
        <v>93</v>
      </c>
      <c r="G9" s="521" t="str">
        <f>Sheet1!K8</f>
        <v>2016-12-12</v>
      </c>
      <c r="H9" s="520">
        <f>SUMIF(72:72,YEAR(G9)&amp;"-"&amp;INT((MONTH(G9)+2)/3),73:73)</f>
        <v>92</v>
      </c>
      <c r="I9" s="521" t="str">
        <f>Sheet1!K9</f>
        <v>2016-07-15</v>
      </c>
      <c r="J9" s="520">
        <f>SUMIF(72:72,YEAR(I9)&amp;"-"&amp;INT((MONTH(I9)+2)/3),73:73)</f>
        <v>91</v>
      </c>
      <c r="K9" s="524"/>
      <c r="L9" s="2137"/>
      <c r="M9" s="2134"/>
      <c r="N9" s="2134"/>
      <c r="O9" s="2138"/>
      <c r="P9" s="3396" t="s">
        <v>530</v>
      </c>
      <c r="Q9" s="3398"/>
      <c r="R9" s="1569" t="s">
        <v>8</v>
      </c>
      <c r="S9" s="1570">
        <f t="shared" ref="S9:S17" si="0">F9</f>
        <v>93</v>
      </c>
      <c r="T9" s="1569" t="s">
        <v>8</v>
      </c>
      <c r="U9" s="1570">
        <f t="shared" ref="U9:U17" si="1">H9</f>
        <v>92</v>
      </c>
      <c r="V9" s="1569" t="s">
        <v>8</v>
      </c>
      <c r="W9" s="1570">
        <f t="shared" ref="W9:W17" si="2">J9</f>
        <v>91</v>
      </c>
      <c r="X9" s="1571"/>
      <c r="Y9" s="3396" t="s">
        <v>530</v>
      </c>
      <c r="Z9" s="3397"/>
      <c r="AA9" s="1572">
        <f>D9/F9</f>
        <v>1.075268817204301</v>
      </c>
      <c r="AB9" s="1572">
        <f>D9/H9</f>
        <v>1.0869565217391304</v>
      </c>
      <c r="AC9" s="1572">
        <f>D9/J9</f>
        <v>1.098901098901099</v>
      </c>
    </row>
    <row r="10" spans="1:30" s="1220" customFormat="1" ht="21" thickBot="1">
      <c r="A10" s="2914"/>
      <c r="B10" s="2921"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7"/>
      <c r="M10" s="2134"/>
      <c r="N10" s="2134"/>
      <c r="O10" s="2138"/>
      <c r="P10" s="3396" t="s">
        <v>533</v>
      </c>
      <c r="Q10" s="3397"/>
      <c r="R10" s="1569" t="s">
        <v>8</v>
      </c>
      <c r="S10" s="1570">
        <f t="shared" si="0"/>
        <v>100</v>
      </c>
      <c r="T10" s="1569" t="s">
        <v>8</v>
      </c>
      <c r="U10" s="1570">
        <f t="shared" si="1"/>
        <v>100</v>
      </c>
      <c r="V10" s="1569" t="s">
        <v>8</v>
      </c>
      <c r="W10" s="1570">
        <f t="shared" si="2"/>
        <v>100</v>
      </c>
      <c r="X10" s="1571"/>
      <c r="Y10" s="3396" t="s">
        <v>533</v>
      </c>
      <c r="Z10" s="3397"/>
      <c r="AA10" s="1572">
        <f t="shared" ref="AA10:AA47" si="3">D10/F10</f>
        <v>1</v>
      </c>
      <c r="AB10" s="1572">
        <f t="shared" ref="AB10:AB47" si="4">D10/H10</f>
        <v>1</v>
      </c>
      <c r="AC10" s="1572">
        <f t="shared" ref="AC10:AC47" si="5">D10/J10</f>
        <v>1</v>
      </c>
    </row>
    <row r="11" spans="1:30" s="1220" customFormat="1" ht="20.25">
      <c r="A11" s="2915"/>
      <c r="B11" s="2922" t="s">
        <v>2758</v>
      </c>
      <c r="C11" s="3180" t="s">
        <v>3024</v>
      </c>
      <c r="D11" s="254">
        <v>100</v>
      </c>
      <c r="E11" s="526" t="s">
        <v>3024</v>
      </c>
      <c r="F11" s="254">
        <f>SUMIF(77:77,E11,78:78)-SUMIF(77:77,C11,78:78)+100</f>
        <v>100</v>
      </c>
      <c r="G11" s="526" t="s">
        <v>3024</v>
      </c>
      <c r="H11" s="254">
        <f>SUMIF(77:77,G11,78:78)-SUMIF(77:77,C11,78:78)+100</f>
        <v>100</v>
      </c>
      <c r="I11" s="526" t="s">
        <v>3024</v>
      </c>
      <c r="J11" s="254">
        <f>SUMIF(77:77,I11,78:78)-SUMIF(77:77,C11,78:78)+100</f>
        <v>100</v>
      </c>
      <c r="K11" s="524"/>
      <c r="L11" s="2137"/>
      <c r="M11" s="2134"/>
      <c r="N11" s="2134"/>
      <c r="O11" s="2139"/>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30" s="1338" customFormat="1" ht="27">
      <c r="A12" s="2916"/>
      <c r="B12" s="2921" t="s">
        <v>2759</v>
      </c>
      <c r="C12" s="910"/>
      <c r="D12" s="255">
        <v>100</v>
      </c>
      <c r="E12" s="529"/>
      <c r="F12" s="255">
        <f>ROUND(100/'数据-取费表'!G16,0)</f>
        <v>106</v>
      </c>
      <c r="G12" s="530"/>
      <c r="H12" s="255">
        <f>ROUND(100/'数据-取费表'!G16,0)</f>
        <v>106</v>
      </c>
      <c r="I12" s="530"/>
      <c r="J12" s="255">
        <f>ROUND(100/'数据-取费表'!G16,0)</f>
        <v>106</v>
      </c>
      <c r="K12" s="531"/>
      <c r="L12" s="2140"/>
      <c r="M12" s="2134"/>
      <c r="N12" s="2134"/>
      <c r="O12" s="2141"/>
      <c r="P12" s="3365"/>
      <c r="Q12" s="1151" t="str">
        <f t="shared" si="6"/>
        <v>土地使用年限（年）</v>
      </c>
      <c r="R12" s="1569" t="s">
        <v>8</v>
      </c>
      <c r="S12" s="1570">
        <f t="shared" si="0"/>
        <v>106</v>
      </c>
      <c r="T12" s="1569" t="s">
        <v>8</v>
      </c>
      <c r="U12" s="1570">
        <f t="shared" si="1"/>
        <v>106</v>
      </c>
      <c r="V12" s="1569" t="s">
        <v>8</v>
      </c>
      <c r="W12" s="1570">
        <f t="shared" si="2"/>
        <v>106</v>
      </c>
      <c r="X12" s="1571"/>
      <c r="Y12" s="3311"/>
      <c r="Z12" s="1150" t="str">
        <f t="shared" si="7"/>
        <v>土地使用年限（年）</v>
      </c>
      <c r="AA12" s="1572">
        <f t="shared" si="3"/>
        <v>0.94339622641509435</v>
      </c>
      <c r="AB12" s="1572">
        <f t="shared" si="4"/>
        <v>0.94339622641509435</v>
      </c>
      <c r="AC12" s="1572">
        <f t="shared" si="5"/>
        <v>0.94339622641509435</v>
      </c>
    </row>
    <row r="13" spans="1:30" ht="20.25">
      <c r="A13" s="2917"/>
      <c r="B13" s="2921" t="s">
        <v>2760</v>
      </c>
      <c r="C13" s="534">
        <v>3</v>
      </c>
      <c r="D13" s="255">
        <v>100</v>
      </c>
      <c r="E13" s="533">
        <v>2</v>
      </c>
      <c r="F13" s="255">
        <f>LOOKUP(E13,82:82,83:83)-LOOKUP(C13,82:82,83:83)+100</f>
        <v>106</v>
      </c>
      <c r="G13" s="534">
        <v>1.6</v>
      </c>
      <c r="H13" s="255">
        <f>LOOKUP(G13,82:82,83:83)-LOOKUP(C13,82:82,83:83)+100</f>
        <v>109</v>
      </c>
      <c r="I13" s="533">
        <v>2.5</v>
      </c>
      <c r="J13" s="255">
        <f>LOOKUP(I13,82:82,83:83)-LOOKUP(C13,82:82,83:83)+100</f>
        <v>103</v>
      </c>
      <c r="K13" s="535">
        <v>3</v>
      </c>
      <c r="L13" s="2142"/>
      <c r="M13" s="2134"/>
      <c r="N13" s="2134"/>
      <c r="O13" s="2143"/>
      <c r="P13" s="3365"/>
      <c r="Q13" s="1151" t="str">
        <f t="shared" si="6"/>
        <v>容积率</v>
      </c>
      <c r="R13" s="1569" t="s">
        <v>8</v>
      </c>
      <c r="S13" s="1570">
        <f t="shared" si="0"/>
        <v>106</v>
      </c>
      <c r="T13" s="1569" t="s">
        <v>8</v>
      </c>
      <c r="U13" s="1570">
        <f t="shared" si="1"/>
        <v>109</v>
      </c>
      <c r="V13" s="1569" t="s">
        <v>8</v>
      </c>
      <c r="W13" s="1570">
        <f t="shared" si="2"/>
        <v>103</v>
      </c>
      <c r="X13" s="1571"/>
      <c r="Y13" s="3311"/>
      <c r="Z13" s="1150" t="str">
        <f t="shared" si="7"/>
        <v>容积率</v>
      </c>
      <c r="AA13" s="1572">
        <f t="shared" si="3"/>
        <v>0.94339622641509435</v>
      </c>
      <c r="AB13" s="1572">
        <f t="shared" si="4"/>
        <v>0.91743119266055051</v>
      </c>
      <c r="AC13" s="1572">
        <f t="shared" si="5"/>
        <v>0.970873786407767</v>
      </c>
    </row>
    <row r="14" spans="1:30" s="1220" customFormat="1" ht="20.25">
      <c r="A14" s="2914"/>
      <c r="B14" s="2923" t="s">
        <v>2761</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5"/>
      <c r="Q14" s="1151" t="str">
        <f t="shared" si="6"/>
        <v>配建</v>
      </c>
      <c r="R14" s="1569" t="s">
        <v>8</v>
      </c>
      <c r="S14" s="1570">
        <f t="shared" si="0"/>
        <v>100</v>
      </c>
      <c r="T14" s="1569" t="s">
        <v>8</v>
      </c>
      <c r="U14" s="1570">
        <f t="shared" si="1"/>
        <v>100</v>
      </c>
      <c r="V14" s="1569" t="s">
        <v>8</v>
      </c>
      <c r="W14" s="1570">
        <f t="shared" si="2"/>
        <v>100</v>
      </c>
      <c r="X14" s="1571"/>
      <c r="Y14" s="3311"/>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D16/F16</f>
        <v>1</v>
      </c>
      <c r="AB16" s="1572">
        <f>D16/H16</f>
        <v>1</v>
      </c>
      <c r="AC16" s="1572">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99" t="s">
        <v>540</v>
      </c>
      <c r="Q17" s="1573" t="str">
        <f t="shared" si="6"/>
        <v>居住社区成熟度</v>
      </c>
      <c r="R17" s="1574" t="s">
        <v>8</v>
      </c>
      <c r="S17" s="1575">
        <f t="shared" si="0"/>
        <v>100</v>
      </c>
      <c r="T17" s="1574" t="s">
        <v>8</v>
      </c>
      <c r="U17" s="1575">
        <f t="shared" si="1"/>
        <v>100</v>
      </c>
      <c r="V17" s="1574" t="s">
        <v>8</v>
      </c>
      <c r="W17" s="1575">
        <f t="shared" si="2"/>
        <v>100</v>
      </c>
      <c r="X17" s="1568"/>
      <c r="Y17" s="339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100</v>
      </c>
      <c r="K19" s="535">
        <v>2</v>
      </c>
      <c r="L19" s="2144"/>
      <c r="M19" s="2134"/>
      <c r="N19" s="2134"/>
      <c r="O19" s="2143"/>
      <c r="P19" s="3400"/>
      <c r="Q19" s="1573" t="str">
        <f>B19</f>
        <v>商业繁华度</v>
      </c>
      <c r="R19" s="1574" t="s">
        <v>8</v>
      </c>
      <c r="S19" s="1575">
        <f>F19</f>
        <v>102</v>
      </c>
      <c r="T19" s="1574" t="s">
        <v>8</v>
      </c>
      <c r="U19" s="1575">
        <f>H19</f>
        <v>102</v>
      </c>
      <c r="V19" s="1574" t="s">
        <v>8</v>
      </c>
      <c r="W19" s="1575">
        <f>J19</f>
        <v>100</v>
      </c>
      <c r="X19" s="1568"/>
      <c r="Y19" s="3400"/>
      <c r="Z19" s="1576" t="str">
        <f>Q19</f>
        <v>商业繁华度</v>
      </c>
      <c r="AA19" s="1577">
        <f t="shared" si="3"/>
        <v>0.98039215686274506</v>
      </c>
      <c r="AB19" s="1577">
        <f t="shared" si="4"/>
        <v>0.98039215686274506</v>
      </c>
      <c r="AC19" s="1577">
        <f t="shared" si="5"/>
        <v>1</v>
      </c>
    </row>
    <row r="20" spans="1:29" ht="20.25">
      <c r="A20" s="532"/>
      <c r="B20" s="566"/>
      <c r="C20" s="567" t="s">
        <v>3012</v>
      </c>
      <c r="D20" s="563"/>
      <c r="E20" s="569" t="s">
        <v>3009</v>
      </c>
      <c r="F20" s="559"/>
      <c r="G20" s="568" t="s">
        <v>3009</v>
      </c>
      <c r="H20" s="555"/>
      <c r="I20" s="569" t="s">
        <v>3012</v>
      </c>
      <c r="J20" s="555"/>
      <c r="K20" s="531"/>
      <c r="L20" s="2144"/>
      <c r="M20" s="2134"/>
      <c r="N20" s="2134"/>
      <c r="O20" s="2143"/>
      <c r="P20" s="3400"/>
      <c r="Q20" s="1573"/>
      <c r="R20" s="1574"/>
      <c r="S20" s="1575"/>
      <c r="T20" s="1574"/>
      <c r="U20" s="1575"/>
      <c r="V20" s="1574"/>
      <c r="W20" s="1575"/>
      <c r="X20" s="1568"/>
      <c r="Y20" s="340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4"/>
      <c r="M23" s="2134"/>
      <c r="N23" s="2134"/>
      <c r="O23" s="2143"/>
      <c r="P23" s="3400"/>
      <c r="Q23" s="1573" t="str">
        <f>B23</f>
        <v>交通便捷度</v>
      </c>
      <c r="R23" s="1574" t="s">
        <v>8</v>
      </c>
      <c r="S23" s="1575">
        <f>F23</f>
        <v>102</v>
      </c>
      <c r="T23" s="1574" t="s">
        <v>8</v>
      </c>
      <c r="U23" s="1575">
        <f>H23</f>
        <v>102</v>
      </c>
      <c r="V23" s="1574" t="s">
        <v>8</v>
      </c>
      <c r="W23" s="1575">
        <f>J23</f>
        <v>102</v>
      </c>
      <c r="X23" s="1568"/>
      <c r="Y23" s="3400"/>
      <c r="Z23" s="1576" t="str">
        <f>Q23</f>
        <v>交通便捷度</v>
      </c>
      <c r="AA23" s="1577">
        <f t="shared" si="3"/>
        <v>0.98039215686274506</v>
      </c>
      <c r="AB23" s="1577">
        <f t="shared" si="4"/>
        <v>0.98039215686274506</v>
      </c>
      <c r="AC23" s="1577">
        <f t="shared" si="5"/>
        <v>0.98039215686274506</v>
      </c>
    </row>
    <row r="24" spans="1:29" ht="20.25">
      <c r="A24" s="532"/>
      <c r="B24" s="578"/>
      <c r="C24" s="554" t="s">
        <v>3012</v>
      </c>
      <c r="D24" s="557"/>
      <c r="E24" s="558" t="s">
        <v>3009</v>
      </c>
      <c r="F24" s="555"/>
      <c r="G24" s="556" t="s">
        <v>3009</v>
      </c>
      <c r="H24" s="555"/>
      <c r="I24" s="558" t="s">
        <v>3009</v>
      </c>
      <c r="J24" s="555"/>
      <c r="K24" s="531"/>
      <c r="L24" s="2144"/>
      <c r="M24" s="2134"/>
      <c r="N24" s="2134"/>
      <c r="O24" s="2143"/>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6" t="s">
        <v>3009</v>
      </c>
      <c r="H26" s="555"/>
      <c r="I26" s="558" t="s">
        <v>3009</v>
      </c>
      <c r="J26" s="555"/>
      <c r="K26" s="531"/>
      <c r="L26" s="2144"/>
      <c r="M26" s="2134"/>
      <c r="N26" s="2134"/>
      <c r="O26" s="2143"/>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44"/>
      <c r="M27" s="2134"/>
      <c r="N27" s="2134"/>
      <c r="O27" s="2143"/>
      <c r="P27" s="3400"/>
      <c r="Q27" s="1573" t="str">
        <f t="shared" si="8"/>
        <v>自然及人文环境状况</v>
      </c>
      <c r="R27" s="1574" t="s">
        <v>8</v>
      </c>
      <c r="S27" s="1575">
        <f>F27</f>
        <v>100</v>
      </c>
      <c r="T27" s="1574" t="s">
        <v>8</v>
      </c>
      <c r="U27" s="1575">
        <f>H27</f>
        <v>100</v>
      </c>
      <c r="V27" s="1574" t="s">
        <v>8</v>
      </c>
      <c r="W27" s="1575">
        <f>J27</f>
        <v>98</v>
      </c>
      <c r="X27" s="1568"/>
      <c r="Y27" s="3400"/>
      <c r="Z27" s="1576" t="str">
        <f>Q27</f>
        <v>自然及人文环境状况</v>
      </c>
      <c r="AA27" s="1577">
        <f t="shared" si="3"/>
        <v>1</v>
      </c>
      <c r="AB27" s="1577">
        <f t="shared" si="4"/>
        <v>1</v>
      </c>
      <c r="AC27" s="1577">
        <f t="shared" si="5"/>
        <v>1.0204081632653061</v>
      </c>
    </row>
    <row r="28" spans="1:29" ht="20.25">
      <c r="A28" s="515"/>
      <c r="B28" s="566"/>
      <c r="C28" s="554" t="s">
        <v>3009</v>
      </c>
      <c r="D28" s="557"/>
      <c r="E28" s="576" t="s">
        <v>3009</v>
      </c>
      <c r="F28" s="555"/>
      <c r="G28" s="554" t="s">
        <v>3009</v>
      </c>
      <c r="H28" s="555"/>
      <c r="I28" s="576" t="s">
        <v>3012</v>
      </c>
      <c r="J28" s="555"/>
      <c r="K28" s="531"/>
      <c r="L28" s="2144"/>
      <c r="M28" s="2134"/>
      <c r="N28" s="2134"/>
      <c r="O28" s="2143"/>
      <c r="P28" s="3400"/>
      <c r="Q28" s="1573"/>
      <c r="R28" s="1574"/>
      <c r="S28" s="1575"/>
      <c r="T28" s="1574"/>
      <c r="U28" s="1575"/>
      <c r="V28" s="1574"/>
      <c r="W28" s="1575"/>
      <c r="X28" s="1568"/>
      <c r="Y28" s="3400"/>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7"/>
      <c r="M29" s="2134"/>
      <c r="N29" s="2134"/>
      <c r="O29" s="2139"/>
      <c r="P29" s="3400"/>
      <c r="Q29" s="1151" t="str">
        <f t="shared" si="8"/>
        <v>公共配套设施</v>
      </c>
      <c r="R29" s="1569" t="s">
        <v>8</v>
      </c>
      <c r="S29" s="1570">
        <f>F29</f>
        <v>102</v>
      </c>
      <c r="T29" s="1569" t="s">
        <v>8</v>
      </c>
      <c r="U29" s="1570">
        <f>H29</f>
        <v>102</v>
      </c>
      <c r="V29" s="1569" t="s">
        <v>8</v>
      </c>
      <c r="W29" s="1570">
        <f>J29</f>
        <v>100</v>
      </c>
      <c r="X29" s="1571"/>
      <c r="Y29" s="3400"/>
      <c r="Z29" s="1150" t="str">
        <f>Q29</f>
        <v>公共配套设施</v>
      </c>
      <c r="AA29" s="1577">
        <f>D29/F29</f>
        <v>0.98039215686274506</v>
      </c>
      <c r="AB29" s="1577">
        <f>D29/H29</f>
        <v>0.98039215686274506</v>
      </c>
      <c r="AC29" s="1577">
        <f>D29/J29</f>
        <v>1</v>
      </c>
    </row>
    <row r="30" spans="1:29" s="1220" customFormat="1" ht="20.25">
      <c r="A30" s="577"/>
      <c r="B30" s="566"/>
      <c r="C30" s="579" t="s">
        <v>3012</v>
      </c>
      <c r="D30" s="557"/>
      <c r="E30" s="576" t="s">
        <v>3009</v>
      </c>
      <c r="F30" s="555"/>
      <c r="G30" s="554" t="s">
        <v>3009</v>
      </c>
      <c r="H30" s="555"/>
      <c r="I30" s="576" t="s">
        <v>3012</v>
      </c>
      <c r="J30" s="555"/>
      <c r="K30" s="531"/>
      <c r="L30" s="2137"/>
      <c r="M30" s="2134"/>
      <c r="N30" s="2134"/>
      <c r="O30" s="2139"/>
      <c r="P30" s="3400"/>
      <c r="Q30" s="1151"/>
      <c r="R30" s="1569"/>
      <c r="S30" s="1570"/>
      <c r="T30" s="1569"/>
      <c r="U30" s="1570"/>
      <c r="V30" s="1569"/>
      <c r="W30" s="1570"/>
      <c r="X30" s="1571"/>
      <c r="Y30" s="3400"/>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00"/>
      <c r="Q31" s="2580" t="str">
        <f t="shared" ref="Q31" si="9">B31</f>
        <v>基础设施水平</v>
      </c>
      <c r="R31" s="1569" t="s">
        <v>8</v>
      </c>
      <c r="S31" s="1570">
        <f>F31</f>
        <v>100</v>
      </c>
      <c r="T31" s="1569" t="s">
        <v>8</v>
      </c>
      <c r="U31" s="1570">
        <f>H31</f>
        <v>100</v>
      </c>
      <c r="V31" s="1569" t="s">
        <v>8</v>
      </c>
      <c r="W31" s="1570">
        <f>J31</f>
        <v>100</v>
      </c>
      <c r="X31" s="1571"/>
      <c r="Y31" s="3400"/>
      <c r="Z31" s="2577" t="str">
        <f>Q31</f>
        <v>基础设施水平</v>
      </c>
      <c r="AA31" s="1577">
        <f>D31/F31</f>
        <v>1</v>
      </c>
      <c r="AB31" s="1577">
        <f>D31/H31</f>
        <v>1</v>
      </c>
      <c r="AC31" s="1577">
        <f>D31/J31</f>
        <v>1</v>
      </c>
    </row>
    <row r="32" spans="1:29" s="1220" customFormat="1" ht="20.25">
      <c r="A32" s="577"/>
      <c r="B32" s="566"/>
      <c r="C32" s="579" t="s">
        <v>3126</v>
      </c>
      <c r="D32" s="557"/>
      <c r="E32" s="2594" t="s">
        <v>3126</v>
      </c>
      <c r="F32" s="555"/>
      <c r="G32" s="579" t="s">
        <v>3126</v>
      </c>
      <c r="H32" s="555"/>
      <c r="I32" s="579" t="s">
        <v>3126</v>
      </c>
      <c r="J32" s="555"/>
      <c r="K32" s="531"/>
      <c r="L32" s="2137"/>
      <c r="M32" s="2134"/>
      <c r="N32" s="2134"/>
      <c r="O32" s="2139"/>
      <c r="P32" s="3400"/>
      <c r="Q32" s="2580"/>
      <c r="R32" s="1569"/>
      <c r="S32" s="1570"/>
      <c r="T32" s="1569"/>
      <c r="U32" s="1570"/>
      <c r="V32" s="1569"/>
      <c r="W32" s="1570"/>
      <c r="X32" s="1571"/>
      <c r="Y32" s="3400"/>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4"/>
      <c r="M33" s="2134"/>
      <c r="N33" s="2134"/>
      <c r="O33" s="2143"/>
      <c r="P33" s="340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00"/>
      <c r="Q34" s="1573" t="str">
        <f t="shared" si="8"/>
        <v>毗邻道路的类型与等级</v>
      </c>
      <c r="R34" s="1574" t="s">
        <v>8</v>
      </c>
      <c r="S34" s="1575">
        <f t="shared" si="10"/>
        <v>100</v>
      </c>
      <c r="T34" s="1574" t="s">
        <v>8</v>
      </c>
      <c r="U34" s="1575">
        <f t="shared" si="11"/>
        <v>100</v>
      </c>
      <c r="V34" s="1574" t="s">
        <v>8</v>
      </c>
      <c r="W34" s="1575">
        <f t="shared" si="12"/>
        <v>100</v>
      </c>
      <c r="X34" s="1568"/>
      <c r="Y34" s="340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909" t="s">
        <v>2757</v>
      </c>
      <c r="B40" s="595" t="s">
        <v>552</v>
      </c>
      <c r="C40" s="596">
        <f>'数据-基础表'!A3</f>
        <v>73340</v>
      </c>
      <c r="D40" s="597">
        <v>100</v>
      </c>
      <c r="E40" s="596">
        <f>Sheet1!H7</f>
        <v>12008</v>
      </c>
      <c r="F40" s="597">
        <f>LOOKUP(E40,119:119,120:120)-LOOKUP(C40,119:119,120:120)+100</f>
        <v>98</v>
      </c>
      <c r="G40" s="596">
        <f>Sheet1!H8</f>
        <v>6325</v>
      </c>
      <c r="H40" s="597">
        <f>LOOKUP(G40,119:119,120:120)-LOOKUP(C40,119:119,120:120)+100</f>
        <v>98</v>
      </c>
      <c r="I40" s="598">
        <f>Sheet1!H9</f>
        <v>103445</v>
      </c>
      <c r="J40" s="597">
        <f>LOOKUP(I40,119:119,120:120)-LOOKUP(C40,119:119,120:120)+100</f>
        <v>102</v>
      </c>
      <c r="K40" s="581"/>
      <c r="L40" s="2144"/>
      <c r="M40" s="2134"/>
      <c r="N40" s="2134"/>
      <c r="O40" s="2143"/>
      <c r="P40" s="3402"/>
      <c r="Q40" s="1573" t="str">
        <f>B40</f>
        <v>宗地面积</v>
      </c>
      <c r="R40" s="1574" t="s">
        <v>8</v>
      </c>
      <c r="S40" s="1575">
        <f t="shared" si="10"/>
        <v>98</v>
      </c>
      <c r="T40" s="1574" t="s">
        <v>8</v>
      </c>
      <c r="U40" s="1575">
        <f t="shared" si="11"/>
        <v>98</v>
      </c>
      <c r="V40" s="1574" t="s">
        <v>8</v>
      </c>
      <c r="W40" s="1575">
        <f t="shared" si="12"/>
        <v>102</v>
      </c>
      <c r="X40" s="1568"/>
      <c r="Y40" s="3402"/>
      <c r="Z40" s="1576" t="str">
        <f t="shared" si="13"/>
        <v>宗地面积</v>
      </c>
      <c r="AA40" s="1577">
        <f t="shared" si="3"/>
        <v>1.0204081632653061</v>
      </c>
      <c r="AB40" s="1577">
        <f t="shared" si="4"/>
        <v>1.0204081632653061</v>
      </c>
      <c r="AC40" s="1577">
        <f t="shared" si="5"/>
        <v>0.98039215686274506</v>
      </c>
    </row>
    <row r="41" spans="1:29" ht="20.25">
      <c r="A41" s="594"/>
      <c r="B41" s="527" t="s">
        <v>553</v>
      </c>
      <c r="C41" s="599" t="s">
        <v>3130</v>
      </c>
      <c r="D41" s="540">
        <v>100</v>
      </c>
      <c r="E41" s="599" t="s">
        <v>3130</v>
      </c>
      <c r="F41" s="540">
        <f>SUMIF(121:121,E41,122:122)-SUMIF(121:121,C41,122:122)+100</f>
        <v>100</v>
      </c>
      <c r="G41" s="599" t="s">
        <v>3130</v>
      </c>
      <c r="H41" s="540">
        <f>SUMIF(121:121,G41,122:122)-SUMIF(121:121,C41,122:122)+100</f>
        <v>100</v>
      </c>
      <c r="I41" s="599" t="s">
        <v>3130</v>
      </c>
      <c r="J41" s="540">
        <f>SUMIF(121:121,I41,122:122)-SUMIF(121:121,C41,122:122)+100</f>
        <v>100</v>
      </c>
      <c r="K41" s="584">
        <v>3</v>
      </c>
      <c r="L41" s="2144"/>
      <c r="M41" s="2134"/>
      <c r="N41" s="2134"/>
      <c r="O41" s="2143"/>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t="s">
        <v>3132</v>
      </c>
      <c r="D42" s="540">
        <v>100</v>
      </c>
      <c r="E42" s="599" t="s">
        <v>3132</v>
      </c>
      <c r="F42" s="540">
        <f>SUMIF(123:123,E42,124:124)-SUMIF(123:123,C42,124:124)+100</f>
        <v>100</v>
      </c>
      <c r="G42" s="599" t="s">
        <v>3132</v>
      </c>
      <c r="H42" s="540">
        <f>SUMIF(123:123,G42,124:124)-SUMIF(123:123,C42,124:124)+100</f>
        <v>100</v>
      </c>
      <c r="I42" s="599" t="s">
        <v>3132</v>
      </c>
      <c r="J42" s="540">
        <f>SUMIF(123:123,I42,124:124)-SUMIF(123:123,C42,124:124)+100</f>
        <v>100</v>
      </c>
      <c r="K42" s="584">
        <v>1</v>
      </c>
      <c r="L42" s="2144"/>
      <c r="M42" s="2134"/>
      <c r="N42" s="2134"/>
      <c r="O42" s="2143"/>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3196" t="s">
        <v>2426</v>
      </c>
      <c r="C43" s="601" t="s">
        <v>3136</v>
      </c>
      <c r="D43" s="255">
        <v>100</v>
      </c>
      <c r="E43" s="601" t="s">
        <v>3166</v>
      </c>
      <c r="F43" s="540">
        <f>SUMIF(125:125,E43,126:126)-SUMIF(125:125,C43,126:126)+100</f>
        <v>102</v>
      </c>
      <c r="G43" s="3195" t="s">
        <v>3166</v>
      </c>
      <c r="H43" s="540">
        <f>SUMIF(125:125,G43,126:126)-SUMIF(125:125,C43,126:126)+100</f>
        <v>102</v>
      </c>
      <c r="I43" s="601" t="s">
        <v>3166</v>
      </c>
      <c r="J43" s="540">
        <f>SUMIF(125:125,I43,126:126)-SUMIF(125:125,C43,126:126)+100</f>
        <v>102</v>
      </c>
      <c r="K43" s="584">
        <v>1</v>
      </c>
      <c r="L43" s="2137"/>
      <c r="M43" s="2134"/>
      <c r="N43" s="2134"/>
      <c r="O43" s="2139"/>
      <c r="P43" s="3402"/>
      <c r="Q43" s="1573" t="str">
        <f t="shared" si="14"/>
        <v>宗地开发程度</v>
      </c>
      <c r="R43" s="1569" t="s">
        <v>8</v>
      </c>
      <c r="S43" s="1570">
        <f t="shared" si="10"/>
        <v>102</v>
      </c>
      <c r="T43" s="1569" t="s">
        <v>8</v>
      </c>
      <c r="U43" s="1570">
        <f t="shared" si="11"/>
        <v>102</v>
      </c>
      <c r="V43" s="1569" t="s">
        <v>8</v>
      </c>
      <c r="W43" s="1570">
        <f t="shared" si="12"/>
        <v>102</v>
      </c>
      <c r="X43" s="1571"/>
      <c r="Y43" s="3402"/>
      <c r="Z43" s="1150" t="str">
        <f t="shared" si="13"/>
        <v>宗地开发程度</v>
      </c>
      <c r="AA43" s="1572">
        <f t="shared" si="3"/>
        <v>0.98039215686274506</v>
      </c>
      <c r="AB43" s="1572">
        <f t="shared" si="4"/>
        <v>0.98039215686274506</v>
      </c>
      <c r="AC43" s="1572">
        <f t="shared" si="5"/>
        <v>0.98039215686274506</v>
      </c>
    </row>
    <row r="44" spans="1:29" ht="20.25">
      <c r="A44" s="594"/>
      <c r="B44" s="527" t="s">
        <v>555</v>
      </c>
      <c r="C44" s="599" t="s">
        <v>3125</v>
      </c>
      <c r="D44" s="540">
        <v>100</v>
      </c>
      <c r="E44" s="599" t="s">
        <v>3125</v>
      </c>
      <c r="F44" s="540">
        <f>SUMIF(127:127,E44,128:128)-SUMIF(127:127,C44,128:128)+100</f>
        <v>100</v>
      </c>
      <c r="G44" s="599" t="s">
        <v>3125</v>
      </c>
      <c r="H44" s="540">
        <f>SUMIF(127:127,G44,128:128)-SUMIF(127:127,C44,128:128)+100</f>
        <v>100</v>
      </c>
      <c r="I44" s="599" t="s">
        <v>3125</v>
      </c>
      <c r="J44" s="540">
        <f>SUMIF(127:127,I44,128:128)-SUMIF(127:127,C44,128:128)+100</f>
        <v>100</v>
      </c>
      <c r="K44" s="584">
        <v>1</v>
      </c>
      <c r="L44" s="2144"/>
      <c r="M44" s="2134"/>
      <c r="N44" s="2134"/>
      <c r="O44" s="2143"/>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3120</v>
      </c>
      <c r="C48" s="609" t="s">
        <v>1</v>
      </c>
      <c r="D48" s="610"/>
      <c r="E48" s="611">
        <f>Sheet1!P7</f>
        <v>1200</v>
      </c>
      <c r="F48" s="612"/>
      <c r="G48" s="613">
        <f>Sheet1!P8</f>
        <v>1191.67</v>
      </c>
      <c r="H48" s="614"/>
      <c r="I48" s="611">
        <f>Sheet1!P9</f>
        <v>1170</v>
      </c>
      <c r="J48" s="614"/>
      <c r="K48" s="1340"/>
      <c r="L48" s="2146"/>
      <c r="M48" s="2134"/>
      <c r="N48" s="2134"/>
      <c r="O48" s="2147"/>
      <c r="P48" s="3365" t="str">
        <f>A48</f>
        <v>成交单价</v>
      </c>
      <c r="Q48" s="3365"/>
      <c r="R48" s="3366">
        <f>E48</f>
        <v>1200</v>
      </c>
      <c r="S48" s="3366"/>
      <c r="T48" s="3366">
        <f>G48</f>
        <v>1191.67</v>
      </c>
      <c r="U48" s="3366"/>
      <c r="V48" s="3366">
        <f>I48</f>
        <v>1170</v>
      </c>
      <c r="W48" s="3366"/>
      <c r="X48" s="1560"/>
      <c r="Y48" s="1582"/>
      <c r="Z48" s="1560"/>
      <c r="AA48" s="1560"/>
      <c r="AB48" s="1560"/>
      <c r="AC48" s="1560"/>
    </row>
    <row r="49" spans="1:29" ht="21" thickBot="1">
      <c r="A49" s="615" t="s">
        <v>2695</v>
      </c>
      <c r="B49" s="616"/>
      <c r="C49" s="617">
        <f>R50</f>
        <v>1091</v>
      </c>
      <c r="D49" s="618"/>
      <c r="E49" s="617">
        <f>R49</f>
        <v>1083</v>
      </c>
      <c r="F49" s="619"/>
      <c r="G49" s="620">
        <f>T49</f>
        <v>1057</v>
      </c>
      <c r="H49" s="618"/>
      <c r="I49" s="617">
        <f>V49</f>
        <v>1132</v>
      </c>
      <c r="J49" s="618"/>
      <c r="K49" s="1341"/>
      <c r="L49" s="2146"/>
      <c r="M49" s="2134"/>
      <c r="N49" s="2134"/>
      <c r="O49" s="2147"/>
      <c r="P49" s="3365" t="str">
        <f>A49</f>
        <v>比较价格（元/平方米）</v>
      </c>
      <c r="Q49" s="3365"/>
      <c r="R49" s="3367">
        <f>ROUND(PRODUCT(R48,AA9:AA47),0)</f>
        <v>1083</v>
      </c>
      <c r="S49" s="3367"/>
      <c r="T49" s="3367">
        <f>ROUND(PRODUCT(T48,AB9:AB47),0)</f>
        <v>1057</v>
      </c>
      <c r="U49" s="3367"/>
      <c r="V49" s="3367">
        <f>ROUND(PRODUCT(V48,AC9:AC47),0)</f>
        <v>1132</v>
      </c>
      <c r="W49" s="3367"/>
      <c r="X49" s="1560"/>
      <c r="Y49" s="1560"/>
      <c r="Z49" s="1560"/>
      <c r="AA49" s="1560"/>
      <c r="AB49" s="1560"/>
      <c r="AC49" s="1560"/>
    </row>
    <row r="50" spans="1:29" ht="21" thickBot="1">
      <c r="A50" s="621" t="s">
        <v>2937</v>
      </c>
      <c r="B50" s="622"/>
      <c r="C50" s="623">
        <f>R50</f>
        <v>1091</v>
      </c>
      <c r="D50" s="623"/>
      <c r="E50" s="623"/>
      <c r="F50" s="623"/>
      <c r="G50" s="623"/>
      <c r="H50" s="623"/>
      <c r="I50" s="623"/>
      <c r="J50" s="623"/>
      <c r="K50" s="1342"/>
      <c r="L50" s="2146"/>
      <c r="M50" s="2134"/>
      <c r="N50" s="2134"/>
      <c r="O50" s="2147"/>
      <c r="P50" s="3362" t="str">
        <f>A50</f>
        <v>估价对象XX用房的比较价格（楼面单价，元/平方米）</v>
      </c>
      <c r="Q50" s="3363"/>
      <c r="R50" s="3364">
        <f>ROUND(AVERAGE(R49:V49),0)</f>
        <v>1091</v>
      </c>
      <c r="S50" s="3364"/>
      <c r="T50" s="3364"/>
      <c r="U50" s="3364"/>
      <c r="V50" s="3364"/>
      <c r="W50" s="336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0.10803324099723</v>
      </c>
      <c r="F53" s="627" t="str">
        <f>IF(OR(E53&gt;=0.3,E53&lt;=-0.3),"超过30%","")</f>
        <v/>
      </c>
      <c r="G53" s="626">
        <f>IF(G48&lt;G49,G49/G48-1,G48/G49-1)</f>
        <v>0.12740775780510893</v>
      </c>
      <c r="H53" s="627" t="str">
        <f>IF(OR(G53&gt;=0.3,G53&lt;=-0.3),"超过30%","")</f>
        <v/>
      </c>
      <c r="I53" s="626">
        <f>IF(I48&lt;I49,I49/I48-1,I48/I49-1)</f>
        <v>3.3568904593639592E-2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2.4597918637653704E-2</v>
      </c>
      <c r="F54" s="627" t="str">
        <f>IF(OR(E54&gt;=0.2,E54&lt;=-0.2),"超过20%","")</f>
        <v/>
      </c>
      <c r="G54" s="626">
        <f>IF(G49&lt;I49,I49/G49-1,G49/I49-1)</f>
        <v>7.0955534531693454E-2</v>
      </c>
      <c r="H54" s="627" t="str">
        <f>IF(OR(G54&gt;=0.2,G54&lt;=-0.2),"超过20%","")</f>
        <v/>
      </c>
      <c r="I54" s="626">
        <f>IF(I49&lt;E49,E49/I49-1,I49/E49-1)</f>
        <v>4.5244690674053567E-2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6.9901902372300206E-3</v>
      </c>
      <c r="F55" s="627" t="str">
        <f>IF(OR(E55&gt;=0.3,E55&lt;=-0.3),"超过30%","")</f>
        <v/>
      </c>
      <c r="G55" s="626">
        <f>IF(G48&lt;I48,I48/G48-1,G48/I48-1)</f>
        <v>1.8521367521367571E-2</v>
      </c>
      <c r="H55" s="627" t="str">
        <f>IF(OR(G55&gt;=0.3,G55&lt;=-0.3),"超过30%","")</f>
        <v/>
      </c>
      <c r="I55" s="626">
        <f>IF(I48&lt;E48,E48/I48-1,I48/E48-1)</f>
        <v>2.564102564102555E-2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1724</v>
      </c>
      <c r="D57" s="2229" t="s">
        <v>2295</v>
      </c>
      <c r="E57" s="631" t="s">
        <v>562</v>
      </c>
      <c r="F57" s="632" t="s">
        <v>563</v>
      </c>
      <c r="G57" s="3391" t="s">
        <v>2283</v>
      </c>
      <c r="H57" s="3392"/>
      <c r="I57" s="1556" t="s">
        <v>1722</v>
      </c>
      <c r="J57" s="1556" t="str">
        <f>项目基本情况!F41</f>
        <v>江苏省盐城市</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1091</v>
      </c>
      <c r="C58" s="635">
        <v>1</v>
      </c>
      <c r="D58" s="2230">
        <v>1</v>
      </c>
      <c r="E58" s="635">
        <f>'数据-汇总表'!E8+'数据-汇总表'!E9</f>
        <v>220020</v>
      </c>
      <c r="F58" s="636">
        <f t="shared" ref="F58:F67" si="15">ROUND(B58*E58/10000,0)</f>
        <v>24004</v>
      </c>
      <c r="G58" s="3393"/>
      <c r="H58" s="339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95"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9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9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9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220020</v>
      </c>
      <c r="F68" s="644">
        <f>IF(B48="楼面地价",SUM(F58:F67),ROUND(C50*E68/10000,0))</f>
        <v>24004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2018-12-1</v>
      </c>
      <c r="D70" s="2801">
        <f>EDATE(C70,-3)</f>
        <v>43344</v>
      </c>
      <c r="E70" s="2801">
        <f t="shared" ref="E70:N70" si="18">EDATE(D70,-3)</f>
        <v>43252</v>
      </c>
      <c r="F70" s="2801">
        <f t="shared" si="18"/>
        <v>43160</v>
      </c>
      <c r="G70" s="2801">
        <f t="shared" si="18"/>
        <v>43070</v>
      </c>
      <c r="H70" s="2801">
        <f t="shared" si="18"/>
        <v>42979</v>
      </c>
      <c r="I70" s="2801">
        <f t="shared" si="18"/>
        <v>42887</v>
      </c>
      <c r="J70" s="2801">
        <f t="shared" si="18"/>
        <v>42795</v>
      </c>
      <c r="K70" s="2801">
        <f t="shared" si="18"/>
        <v>42705</v>
      </c>
      <c r="L70" s="2801">
        <f t="shared" si="18"/>
        <v>42614</v>
      </c>
      <c r="M70" s="2801">
        <f t="shared" si="18"/>
        <v>42522</v>
      </c>
      <c r="N70" s="2801">
        <f t="shared" si="18"/>
        <v>42430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3123</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5.5（含）-8</v>
      </c>
      <c r="M81" s="555" t="str">
        <f>M82&amp;"（含）"&amp;"-"&amp;P82</f>
        <v>8（含）-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1.5</v>
      </c>
      <c r="E82" s="541">
        <v>2</v>
      </c>
      <c r="F82" s="541">
        <v>2.5</v>
      </c>
      <c r="G82" s="541">
        <v>3</v>
      </c>
      <c r="H82" s="541">
        <v>3.5</v>
      </c>
      <c r="I82" s="541">
        <v>4</v>
      </c>
      <c r="J82" s="541">
        <v>4.5</v>
      </c>
      <c r="K82" s="541">
        <v>5</v>
      </c>
      <c r="L82" s="541">
        <v>5.5</v>
      </c>
      <c r="M82" s="541">
        <v>8</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8" t="s">
        <v>3131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4" t="s">
        <v>3133</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3134</v>
      </c>
      <c r="D125" s="1376" t="s">
        <v>3167</v>
      </c>
      <c r="E125" s="1376"/>
      <c r="F125" s="1376" t="s">
        <v>3137</v>
      </c>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4" t="s">
        <v>3135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7" t="str">
        <f>项目基本情况!B1</f>
        <v>江苏省盐城市出让国有建设用地使用权抵押价格预评估</v>
      </c>
      <c r="C37" s="3197"/>
      <c r="D37" s="3197"/>
      <c r="E37" s="3197"/>
      <c r="F37" s="3197"/>
      <c r="G37" s="3197"/>
      <c r="H37" s="3197"/>
      <c r="I37" s="3197"/>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1" t="s">
        <v>522</v>
      </c>
      <c r="D6" s="3372"/>
      <c r="E6" s="3405" t="s">
        <v>523</v>
      </c>
      <c r="F6" s="3406"/>
      <c r="G6" s="3371" t="s">
        <v>524</v>
      </c>
      <c r="H6" s="3372"/>
      <c r="I6" s="3371" t="s">
        <v>525</v>
      </c>
      <c r="J6" s="3372"/>
      <c r="K6" s="514" t="s">
        <v>526</v>
      </c>
      <c r="L6" s="2135"/>
      <c r="M6" s="2136"/>
      <c r="N6" s="2136"/>
      <c r="O6" s="2136"/>
      <c r="P6" s="3373" t="s">
        <v>527</v>
      </c>
      <c r="Q6" s="3374"/>
      <c r="R6" s="3379" t="s">
        <v>523</v>
      </c>
      <c r="S6" s="3380"/>
      <c r="T6" s="3379" t="s">
        <v>524</v>
      </c>
      <c r="U6" s="3380"/>
      <c r="V6" s="3366" t="s">
        <v>525</v>
      </c>
      <c r="W6" s="3366"/>
      <c r="X6" s="1568"/>
      <c r="Y6" s="3379" t="s">
        <v>527</v>
      </c>
      <c r="Z6" s="3380"/>
      <c r="AA6" s="3368" t="s">
        <v>523</v>
      </c>
      <c r="AB6" s="3369" t="s">
        <v>524</v>
      </c>
      <c r="AC6" s="3368" t="s">
        <v>525</v>
      </c>
    </row>
    <row r="7" spans="1:29" ht="15">
      <c r="A7" s="515"/>
      <c r="B7" s="516"/>
      <c r="C7" s="3387" t="s">
        <v>2931</v>
      </c>
      <c r="D7" s="3388"/>
      <c r="E7" s="3407" t="s">
        <v>2932</v>
      </c>
      <c r="F7" s="3408"/>
      <c r="G7" s="3387" t="s">
        <v>2933</v>
      </c>
      <c r="H7" s="3388"/>
      <c r="I7" s="3387" t="s">
        <v>2934</v>
      </c>
      <c r="J7" s="3388"/>
      <c r="K7" s="514"/>
      <c r="L7" s="2135"/>
      <c r="M7" s="2136"/>
      <c r="N7" s="2136"/>
      <c r="O7" s="2136"/>
      <c r="P7" s="3375"/>
      <c r="Q7" s="3376"/>
      <c r="R7" s="3381"/>
      <c r="S7" s="3382"/>
      <c r="T7" s="3381"/>
      <c r="U7" s="3382"/>
      <c r="V7" s="3366"/>
      <c r="W7" s="3366"/>
      <c r="X7" s="1568"/>
      <c r="Y7" s="3381"/>
      <c r="Z7" s="3382"/>
      <c r="AA7" s="3369"/>
      <c r="AB7" s="3369"/>
      <c r="AC7" s="3369"/>
    </row>
    <row r="8" spans="1:29" ht="15.75" thickBot="1">
      <c r="A8" s="517"/>
      <c r="B8" s="518"/>
      <c r="C8" s="3385" t="s">
        <v>2935</v>
      </c>
      <c r="D8" s="3386"/>
      <c r="E8" s="3403" t="s">
        <v>2935</v>
      </c>
      <c r="F8" s="3404"/>
      <c r="G8" s="3385" t="s">
        <v>2935</v>
      </c>
      <c r="H8" s="3386"/>
      <c r="I8" s="3385" t="s">
        <v>2935</v>
      </c>
      <c r="J8" s="3386"/>
      <c r="K8" s="514" t="s">
        <v>528</v>
      </c>
      <c r="L8" s="2135"/>
      <c r="M8" s="2136"/>
      <c r="N8" s="2136"/>
      <c r="O8" s="2136"/>
      <c r="P8" s="3377"/>
      <c r="Q8" s="3378"/>
      <c r="R8" s="3381"/>
      <c r="S8" s="3382"/>
      <c r="T8" s="3383"/>
      <c r="U8" s="3384"/>
      <c r="V8" s="3366"/>
      <c r="W8" s="3366"/>
      <c r="X8" s="1568"/>
      <c r="Y8" s="3383"/>
      <c r="Z8" s="3384"/>
      <c r="AA8" s="3370"/>
      <c r="AB8" s="3370"/>
      <c r="AC8" s="3370"/>
    </row>
    <row r="9" spans="1:29" s="1220" customFormat="1" ht="15.75" thickBot="1">
      <c r="A9" s="2913"/>
      <c r="B9" s="2920" t="s">
        <v>529</v>
      </c>
      <c r="C9" s="519">
        <f>'数据-取费表'!B2</f>
        <v>43439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6" t="s">
        <v>530</v>
      </c>
      <c r="Q9" s="3398"/>
      <c r="R9" s="1569" t="s">
        <v>8</v>
      </c>
      <c r="S9" s="1570">
        <f t="shared" ref="S9:S17" si="0">F9</f>
        <v>0</v>
      </c>
      <c r="T9" s="1569" t="s">
        <v>8</v>
      </c>
      <c r="U9" s="1570">
        <f t="shared" ref="U9:U17" si="1">H9</f>
        <v>0</v>
      </c>
      <c r="V9" s="1569" t="s">
        <v>8</v>
      </c>
      <c r="W9" s="1570">
        <f t="shared" ref="W9:W17" si="2">J9</f>
        <v>0</v>
      </c>
      <c r="X9" s="1571"/>
      <c r="Y9" s="3396" t="s">
        <v>530</v>
      </c>
      <c r="Z9" s="3397"/>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6" t="s">
        <v>533</v>
      </c>
      <c r="Q10" s="3397"/>
      <c r="R10" s="1569" t="s">
        <v>8</v>
      </c>
      <c r="S10" s="1570">
        <f t="shared" si="0"/>
        <v>0</v>
      </c>
      <c r="T10" s="1569" t="s">
        <v>8</v>
      </c>
      <c r="U10" s="1570">
        <f t="shared" si="1"/>
        <v>0</v>
      </c>
      <c r="V10" s="1569" t="s">
        <v>8</v>
      </c>
      <c r="W10" s="1570">
        <f t="shared" si="2"/>
        <v>0</v>
      </c>
      <c r="X10" s="1571"/>
      <c r="Y10" s="3396" t="s">
        <v>533</v>
      </c>
      <c r="Z10" s="3397"/>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106</v>
      </c>
      <c r="G12" s="528"/>
      <c r="H12" s="255">
        <f>ROUND(100/'数据-取费表'!G16,0)</f>
        <v>106</v>
      </c>
      <c r="I12" s="528"/>
      <c r="J12" s="255">
        <f>ROUND(100/'数据-取费表'!G16,0)</f>
        <v>106</v>
      </c>
      <c r="K12" s="531"/>
      <c r="L12" s="2140"/>
      <c r="M12" s="2180"/>
      <c r="N12" s="2180"/>
      <c r="O12" s="2141"/>
      <c r="P12" s="3365"/>
      <c r="Q12" s="1151" t="str">
        <f t="shared" si="6"/>
        <v>土地使用年限（年）</v>
      </c>
      <c r="R12" s="1569" t="s">
        <v>8</v>
      </c>
      <c r="S12" s="1570">
        <f t="shared" si="0"/>
        <v>106</v>
      </c>
      <c r="T12" s="1569" t="s">
        <v>8</v>
      </c>
      <c r="U12" s="1570">
        <f t="shared" si="1"/>
        <v>106</v>
      </c>
      <c r="V12" s="1569" t="s">
        <v>8</v>
      </c>
      <c r="W12" s="1570">
        <f t="shared" si="2"/>
        <v>106</v>
      </c>
      <c r="X12" s="1571"/>
      <c r="Y12" s="3311"/>
      <c r="Z12" s="1150" t="str">
        <f t="shared" si="7"/>
        <v>土地使用年限（年）</v>
      </c>
      <c r="AA12" s="1572">
        <f t="shared" si="3"/>
        <v>0.94339622641509435</v>
      </c>
      <c r="AB12" s="1572">
        <f t="shared" si="4"/>
        <v>0.94339622641509435</v>
      </c>
      <c r="AC12" s="1572">
        <f t="shared" si="5"/>
        <v>0.94339622641509435</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5"/>
      <c r="Q13" s="1151" t="str">
        <f t="shared" si="6"/>
        <v>容积率</v>
      </c>
      <c r="R13" s="1569" t="s">
        <v>8</v>
      </c>
      <c r="S13" s="1570" t="e">
        <f t="shared" si="0"/>
        <v>#N/A</v>
      </c>
      <c r="T13" s="1569" t="s">
        <v>8</v>
      </c>
      <c r="U13" s="1570" t="e">
        <f t="shared" si="1"/>
        <v>#N/A</v>
      </c>
      <c r="V13" s="1569" t="s">
        <v>8</v>
      </c>
      <c r="W13" s="1570" t="e">
        <f t="shared" si="2"/>
        <v>#N/A</v>
      </c>
      <c r="X13" s="1571"/>
      <c r="Y13" s="3311"/>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0"/>
      <c r="Q24" s="1573"/>
      <c r="R24" s="1574"/>
      <c r="S24" s="1575"/>
      <c r="T24" s="1574"/>
      <c r="U24" s="1575"/>
      <c r="V24" s="1574"/>
      <c r="W24" s="1575"/>
      <c r="X24" s="1568"/>
      <c r="Y24" s="3400"/>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0"/>
      <c r="Q26" s="1151"/>
      <c r="R26" s="1569"/>
      <c r="S26" s="1570"/>
      <c r="T26" s="1569"/>
      <c r="U26" s="1570"/>
      <c r="V26" s="1569"/>
      <c r="W26" s="1570"/>
      <c r="X26" s="1571"/>
      <c r="Y26" s="3400"/>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0"/>
      <c r="Q27" s="2580" t="str">
        <f t="shared" ref="Q27" si="9">B27</f>
        <v>基础设施水平</v>
      </c>
      <c r="R27" s="1569" t="s">
        <v>8</v>
      </c>
      <c r="S27" s="1570">
        <f>F27</f>
        <v>100</v>
      </c>
      <c r="T27" s="1569" t="s">
        <v>8</v>
      </c>
      <c r="U27" s="1570">
        <f>H27</f>
        <v>100</v>
      </c>
      <c r="V27" s="1569" t="s">
        <v>8</v>
      </c>
      <c r="W27" s="1570">
        <f>J27</f>
        <v>100</v>
      </c>
      <c r="X27" s="1571"/>
      <c r="Y27" s="340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0"/>
      <c r="Q28" s="2580"/>
      <c r="R28" s="1569"/>
      <c r="S28" s="1570"/>
      <c r="T28" s="1569"/>
      <c r="U28" s="1570"/>
      <c r="V28" s="1569"/>
      <c r="W28" s="1570"/>
      <c r="X28" s="1571"/>
      <c r="Y28" s="340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0"/>
      <c r="Q31" s="1573"/>
      <c r="R31" s="1574"/>
      <c r="S31" s="1575"/>
      <c r="T31" s="1574"/>
      <c r="U31" s="1575"/>
      <c r="V31" s="1574"/>
      <c r="W31" s="1575"/>
      <c r="X31" s="1568"/>
      <c r="Y31" s="340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6"/>
      <c r="M43" s="2136"/>
      <c r="N43" s="2136"/>
      <c r="O43" s="2147"/>
      <c r="P43" s="3365" t="str">
        <f>A43</f>
        <v>成交单价</v>
      </c>
      <c r="Q43" s="3365"/>
      <c r="R43" s="3366">
        <f>E43</f>
        <v>0</v>
      </c>
      <c r="S43" s="3366"/>
      <c r="T43" s="3366">
        <f>G43</f>
        <v>0</v>
      </c>
      <c r="U43" s="3366"/>
      <c r="V43" s="3366">
        <f>I43</f>
        <v>0</v>
      </c>
      <c r="W43" s="3366"/>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65" t="str">
        <f>A44</f>
        <v>比较价格（元/平方米）</v>
      </c>
      <c r="Q44" s="3365"/>
      <c r="R44" s="3367" t="e">
        <f>ROUND(PRODUCT(R43,AA9:AA42),0)</f>
        <v>#DIV/0!</v>
      </c>
      <c r="S44" s="3367"/>
      <c r="T44" s="3367" t="e">
        <f>ROUND(PRODUCT(T43,AB9:AB42),0)</f>
        <v>#DIV/0!</v>
      </c>
      <c r="U44" s="3367"/>
      <c r="V44" s="3367" t="e">
        <f>ROUND(PRODUCT(V43,AC9:AC42),0)</f>
        <v>#DIV/0!</v>
      </c>
      <c r="W44" s="336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6"/>
      <c r="M45" s="2136"/>
      <c r="N45" s="2136"/>
      <c r="O45" s="2147"/>
      <c r="P45" s="3362" t="str">
        <f>A45</f>
        <v>估价对象XX用房的比较价格（楼面单价，元/平方米）</v>
      </c>
      <c r="Q45" s="3363"/>
      <c r="R45" s="3364" t="e">
        <f>ROUND(AVERAGE(R44:V44),0)</f>
        <v>#DIV/0!</v>
      </c>
      <c r="S45" s="3364"/>
      <c r="T45" s="3364"/>
      <c r="U45" s="3364"/>
      <c r="V45" s="3364"/>
      <c r="W45" s="336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1724</v>
      </c>
      <c r="D52" s="2229" t="s">
        <v>2295</v>
      </c>
      <c r="E52" s="631" t="s">
        <v>562</v>
      </c>
      <c r="F52" s="1953" t="s">
        <v>563</v>
      </c>
      <c r="G52" s="3409" t="s">
        <v>2286</v>
      </c>
      <c r="H52" s="3410"/>
      <c r="I52" s="1954" t="s">
        <v>1947</v>
      </c>
      <c r="J52" s="1556" t="str">
        <f>项目基本情况!F41</f>
        <v>江苏省盐城市</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220020</v>
      </c>
      <c r="F53" s="1952" t="e">
        <f t="shared" ref="F53:F62" si="15">ROUND(B53*E53/10000,0)</f>
        <v>#DIV/0!</v>
      </c>
      <c r="G53" s="3411"/>
      <c r="H53" s="34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3"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73340</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2018-12-1</v>
      </c>
      <c r="D65" s="2801">
        <f>EDATE(C65,-3)</f>
        <v>43344</v>
      </c>
      <c r="E65" s="2801">
        <f t="shared" ref="E65:N65" si="18">EDATE(D65,-3)</f>
        <v>43252</v>
      </c>
      <c r="F65" s="2801">
        <f t="shared" si="18"/>
        <v>43160</v>
      </c>
      <c r="G65" s="2801">
        <f t="shared" si="18"/>
        <v>43070</v>
      </c>
      <c r="H65" s="2801">
        <f t="shared" si="18"/>
        <v>42979</v>
      </c>
      <c r="I65" s="2801">
        <f t="shared" si="18"/>
        <v>42887</v>
      </c>
      <c r="J65" s="2801">
        <f t="shared" si="18"/>
        <v>42795</v>
      </c>
      <c r="K65" s="2801">
        <f t="shared" si="18"/>
        <v>42705</v>
      </c>
      <c r="L65" s="2801">
        <f t="shared" si="18"/>
        <v>42614</v>
      </c>
      <c r="M65" s="2801">
        <f t="shared" si="18"/>
        <v>42522</v>
      </c>
      <c r="N65" s="2801">
        <f t="shared" si="18"/>
        <v>42430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北京市平均增长率0.00%</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2938</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23"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v>
      </c>
      <c r="AA7" s="2194"/>
      <c r="AB7" s="2194"/>
      <c r="AC7" s="2195"/>
      <c r="AD7" s="2930"/>
      <c r="AE7" s="2930"/>
      <c r="AF7" s="2930"/>
      <c r="AG7" s="2930"/>
      <c r="AH7" s="2930"/>
      <c r="AI7" s="2930"/>
      <c r="AJ7" s="2931"/>
    </row>
    <row r="8" spans="1:39" ht="15">
      <c r="A8" s="3424"/>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15" t="s">
        <v>2785</v>
      </c>
      <c r="X8" s="3416"/>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4"/>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14"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4"/>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1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4"/>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14"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3"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14"/>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5"/>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8">
        <v>12</v>
      </c>
      <c r="S13" s="2927"/>
      <c r="T13" s="2938" t="e">
        <f t="shared" si="0"/>
        <v>#DIV/0!</v>
      </c>
      <c r="U13" s="2927"/>
      <c r="V13" s="2938" t="e">
        <f t="shared" si="1"/>
        <v>#DIV/0!</v>
      </c>
      <c r="W13" s="3414"/>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25"/>
      <c r="B14" s="1452"/>
      <c r="C14" s="1453"/>
      <c r="D14" s="1454"/>
      <c r="E14" s="1454"/>
      <c r="F14" s="1455"/>
      <c r="G14" s="1456" t="s">
        <v>948</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8">
        <v>14</v>
      </c>
      <c r="S15" s="2927"/>
      <c r="T15" s="2938" t="e">
        <f t="shared" si="0"/>
        <v>#DIV/0!</v>
      </c>
      <c r="U15" s="2927"/>
      <c r="V15" s="2938" t="e">
        <f t="shared" si="1"/>
        <v>#DIV/0!</v>
      </c>
      <c r="W15" s="2191"/>
      <c r="X15" s="2191"/>
      <c r="Y15" s="2191"/>
      <c r="Z15" s="2191"/>
      <c r="AA15" s="2191"/>
      <c r="AB15" s="2191"/>
      <c r="AC15" s="2192"/>
    </row>
    <row r="16" spans="1:39" ht="24">
      <c r="A16" s="342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43439</v>
      </c>
      <c r="H19" s="1476" t="s">
        <v>2939</v>
      </c>
      <c r="I19" s="2786" t="str">
        <f>IF(H19="季度增幅（自定义）",SUMIF(N21:N24,E2,O21:O24),"")</f>
        <v/>
      </c>
      <c r="J19" s="1472"/>
      <c r="K19" s="1482"/>
      <c r="L19" s="3041" t="s">
        <v>2843</v>
      </c>
      <c r="M19" s="3042">
        <f>ROUND(SUMIF(地价!B2:F2,E2,地价!B23:F23),0)</f>
        <v>0</v>
      </c>
      <c r="N19" s="2788" t="s">
        <v>1676</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7">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3" t="s">
        <v>2844</v>
      </c>
      <c r="M20" s="3044">
        <f>ROUND(SUMPRODUCT((地价!A4:A23=YEAR(G19)&amp;"-"&amp;ROUNDUP(MONTH(G19)/3,0))*(地价!B2:F2=E2)*(地价!B4:F23)),0)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SUMPRODUCT((地价!A3:A23=YEAR(G19)&amp;"-"&amp;ROUNDUP(MONTH(G19)/3,0))*(地价!AD2:AH2=N21)*(地价!AD3:AH23))</f>
        <v>0</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SUMPRODUCT((地价!A3:A23=YEAR(G19)&amp;"-"&amp;ROUNDUP(MONTH(G19)/3,0))*(地价!AD2:AH2=N22)*(地价!AD3:AH23))</f>
        <v>0</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SUMPRODUCT((地价!A3:A23=YEAR(G19)&amp;"-"&amp;ROUNDUP(MONTH(G19)/3,0))*(地价!AD2:AH2=N23)*(地价!AD3:AH23))</f>
        <v>0</v>
      </c>
      <c r="R23" s="2926"/>
      <c r="S23" s="2926"/>
      <c r="T23" s="2926"/>
      <c r="U23" s="2926"/>
      <c r="V23" s="2926"/>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SUMPRODUCT((地价!A3:A23=YEAR(G19)&amp;"-"&amp;ROUNDUP(MONTH(G19)/3,0))*(地价!AD2:AH2=N25)*(地价!AD3:AH23))</f>
        <v>0</v>
      </c>
      <c r="R25" s="2926"/>
      <c r="S25" s="2926"/>
      <c r="T25" s="2926"/>
      <c r="U25" s="2926"/>
      <c r="V25" s="2926"/>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9" t="s">
        <v>2965</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0"/>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0"/>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1"/>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9"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8"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9" t="s">
        <v>2942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8" t="s">
        <v>2940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8"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8" t="s">
        <v>2940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7" t="s">
        <v>1633</v>
      </c>
      <c r="B90" s="3427"/>
      <c r="C90" s="3427"/>
      <c r="D90" s="3427"/>
      <c r="E90" s="3427"/>
      <c r="F90" s="3427"/>
      <c r="G90" s="3427"/>
      <c r="H90" s="3427"/>
      <c r="I90" s="3427"/>
      <c r="J90" s="3427"/>
      <c r="K90" s="2452"/>
      <c r="L90" s="2452"/>
      <c r="M90" s="2452"/>
      <c r="N90" s="2452"/>
    </row>
    <row r="91" spans="1:40">
      <c r="A91" s="3428" t="s">
        <v>1443</v>
      </c>
      <c r="B91" s="3428" t="s">
        <v>1634</v>
      </c>
      <c r="C91" s="1140" t="s">
        <v>1635</v>
      </c>
      <c r="D91" s="1141"/>
      <c r="E91" s="1141"/>
      <c r="F91" s="1141"/>
      <c r="G91" s="1141"/>
      <c r="H91" s="1141"/>
      <c r="I91" s="1141"/>
      <c r="J91" s="1142"/>
      <c r="K91" s="1134"/>
      <c r="L91" s="1134"/>
      <c r="M91" s="1134"/>
      <c r="N91" s="1134"/>
    </row>
    <row r="92" spans="1:40">
      <c r="A92" s="3428"/>
      <c r="B92" s="3428"/>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1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8"/>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8"/>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8"/>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8"/>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8"/>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8"/>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8"/>
      <c r="B108" s="342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2" t="s">
        <v>1639</v>
      </c>
      <c r="B110" s="3422"/>
      <c r="C110" s="3422"/>
      <c r="D110" s="3422"/>
      <c r="E110" s="3422"/>
      <c r="F110" s="3422"/>
      <c r="G110" s="3422"/>
      <c r="H110" s="3422"/>
      <c r="I110" s="3422"/>
      <c r="J110" s="3422"/>
      <c r="K110" s="2450"/>
      <c r="L110" s="2450"/>
      <c r="M110" s="2450"/>
      <c r="N110" s="2450"/>
    </row>
    <row r="112" spans="1:14" ht="12.75" thickBot="1"/>
    <row r="113" spans="1:13" ht="25.5" thickBot="1">
      <c r="A113" s="1016" t="s">
        <v>895</v>
      </c>
      <c r="B113" s="2453">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8" t="s">
        <v>1007</v>
      </c>
      <c r="B18" s="1154" t="s">
        <v>1446</v>
      </c>
      <c r="C18" s="1131" t="s">
        <v>1447</v>
      </c>
      <c r="D18" s="1132"/>
      <c r="E18" s="1154">
        <v>1</v>
      </c>
      <c r="F18" s="1133" t="s">
        <v>1448</v>
      </c>
      <c r="G18" s="1134"/>
      <c r="H18" s="1105"/>
      <c r="I18" s="1105"/>
    </row>
    <row r="19" spans="1:9" s="1600" customFormat="1" ht="19.5" customHeight="1">
      <c r="A19" s="3428"/>
      <c r="B19" s="3428" t="s">
        <v>1449</v>
      </c>
      <c r="C19" s="1131" t="s">
        <v>1450</v>
      </c>
      <c r="D19" s="1132"/>
      <c r="E19" s="1154">
        <v>0.9</v>
      </c>
      <c r="F19" s="1133" t="s">
        <v>1451</v>
      </c>
      <c r="G19" s="1134"/>
      <c r="H19" s="1105"/>
      <c r="I19" s="1105"/>
    </row>
    <row r="20" spans="1:9" s="1600" customFormat="1" ht="19.5" customHeight="1">
      <c r="A20" s="3428"/>
      <c r="B20" s="3428"/>
      <c r="C20" s="1131" t="s">
        <v>1452</v>
      </c>
      <c r="D20" s="1132"/>
      <c r="E20" s="1154">
        <v>1.1000000000000001</v>
      </c>
      <c r="F20" s="1133" t="s">
        <v>1453</v>
      </c>
      <c r="G20" s="1134"/>
      <c r="H20" s="1105"/>
      <c r="I20" s="1105"/>
    </row>
    <row r="21" spans="1:9" s="1600" customFormat="1" ht="19.5" customHeight="1">
      <c r="A21" s="3428"/>
      <c r="B21" s="3428"/>
      <c r="C21" s="1131" t="s">
        <v>1454</v>
      </c>
      <c r="D21" s="1132"/>
      <c r="E21" s="1154">
        <v>0.8</v>
      </c>
      <c r="F21" s="1133" t="s">
        <v>1455</v>
      </c>
      <c r="G21" s="1134"/>
      <c r="H21" s="1105"/>
      <c r="I21" s="1105"/>
    </row>
    <row r="22" spans="1:9" s="1600" customFormat="1" ht="19.5" customHeight="1">
      <c r="A22" s="3428"/>
      <c r="B22" s="3428"/>
      <c r="C22" s="1131" t="s">
        <v>1456</v>
      </c>
      <c r="D22" s="1132"/>
      <c r="E22" s="1154">
        <v>0.5</v>
      </c>
      <c r="F22" s="1133"/>
      <c r="G22" s="1134"/>
      <c r="H22" s="1105"/>
      <c r="I22" s="1105"/>
    </row>
    <row r="23" spans="1:9" s="1600" customFormat="1" ht="19.5" customHeight="1">
      <c r="A23" s="3428" t="s">
        <v>1029</v>
      </c>
      <c r="B23" s="1154" t="s">
        <v>1446</v>
      </c>
      <c r="C23" s="1131" t="s">
        <v>1457</v>
      </c>
      <c r="D23" s="1132"/>
      <c r="E23" s="1154">
        <v>1</v>
      </c>
      <c r="F23" s="1133" t="s">
        <v>1458</v>
      </c>
      <c r="G23" s="1134"/>
      <c r="H23" s="1105"/>
      <c r="I23" s="1105"/>
    </row>
    <row r="24" spans="1:9" s="1600" customFormat="1" ht="19.5" customHeight="1">
      <c r="A24" s="3428"/>
      <c r="B24" s="3428" t="s">
        <v>1449</v>
      </c>
      <c r="C24" s="1131" t="s">
        <v>1459</v>
      </c>
      <c r="D24" s="1132"/>
      <c r="E24" s="1154">
        <v>0.5</v>
      </c>
      <c r="F24" s="1133"/>
      <c r="G24" s="1134"/>
      <c r="H24" s="1105"/>
      <c r="I24" s="1105"/>
    </row>
    <row r="25" spans="1:9" s="1600" customFormat="1" ht="19.5" customHeight="1">
      <c r="A25" s="3428"/>
      <c r="B25" s="3428"/>
      <c r="C25" s="1131" t="s">
        <v>1460</v>
      </c>
      <c r="D25" s="1132"/>
      <c r="E25" s="1154">
        <v>1.1000000000000001</v>
      </c>
      <c r="F25" s="1133"/>
      <c r="G25" s="1134"/>
      <c r="H25" s="1105"/>
      <c r="I25" s="1105"/>
    </row>
    <row r="26" spans="1:9" s="1600" customFormat="1" ht="19.5" customHeight="1">
      <c r="A26" s="3428"/>
      <c r="B26" s="3428"/>
      <c r="C26" s="1131" t="s">
        <v>1461</v>
      </c>
      <c r="D26" s="1132"/>
      <c r="E26" s="1154">
        <v>1.1000000000000001</v>
      </c>
      <c r="F26" s="1133"/>
      <c r="G26" s="1134"/>
      <c r="H26" s="1105"/>
      <c r="I26" s="1105"/>
    </row>
    <row r="27" spans="1:9" s="1600" customFormat="1" ht="19.5" customHeight="1">
      <c r="A27" s="3428"/>
      <c r="B27" s="3428"/>
      <c r="C27" s="1131" t="s">
        <v>1462</v>
      </c>
      <c r="D27" s="1132"/>
      <c r="E27" s="1154">
        <v>0.9</v>
      </c>
      <c r="F27" s="1133" t="s">
        <v>1463</v>
      </c>
      <c r="G27" s="1134"/>
      <c r="H27" s="1105"/>
      <c r="I27" s="1105"/>
    </row>
    <row r="28" spans="1:9" s="1600" customFormat="1" ht="19.5" customHeight="1">
      <c r="A28" s="3428"/>
      <c r="B28" s="3428"/>
      <c r="C28" s="1131" t="s">
        <v>1464</v>
      </c>
      <c r="D28" s="1132"/>
      <c r="E28" s="1154">
        <v>0.9</v>
      </c>
      <c r="F28" s="1133" t="s">
        <v>1465</v>
      </c>
      <c r="G28" s="1134"/>
      <c r="H28" s="1105"/>
      <c r="I28" s="1105"/>
    </row>
    <row r="29" spans="1:9" s="1600" customFormat="1" ht="19.5" customHeight="1">
      <c r="A29" s="3428"/>
      <c r="B29" s="3428"/>
      <c r="C29" s="1131" t="s">
        <v>1466</v>
      </c>
      <c r="D29" s="1132"/>
      <c r="E29" s="1154">
        <v>0.9</v>
      </c>
      <c r="F29" s="1133" t="s">
        <v>1467</v>
      </c>
      <c r="G29" s="1134"/>
      <c r="H29" s="1105"/>
      <c r="I29" s="1105"/>
    </row>
    <row r="30" spans="1:9" s="1600" customFormat="1" ht="19.5" customHeight="1">
      <c r="A30" s="3428"/>
      <c r="B30" s="3428"/>
      <c r="C30" s="1131" t="s">
        <v>1468</v>
      </c>
      <c r="D30" s="1132"/>
      <c r="E30" s="1154">
        <v>0.9</v>
      </c>
      <c r="F30" s="1133" t="s">
        <v>1469</v>
      </c>
      <c r="G30" s="1134"/>
      <c r="H30" s="1105"/>
      <c r="I30" s="1105"/>
    </row>
    <row r="31" spans="1:9" s="1600" customFormat="1" ht="19.5" customHeight="1">
      <c r="A31" s="3428"/>
      <c r="B31" s="3428"/>
      <c r="C31" s="1131" t="s">
        <v>1470</v>
      </c>
      <c r="D31" s="1132"/>
      <c r="E31" s="1154">
        <v>0.8</v>
      </c>
      <c r="F31" s="1133" t="s">
        <v>1471</v>
      </c>
      <c r="G31" s="1134"/>
      <c r="H31" s="1105"/>
      <c r="I31" s="1105"/>
    </row>
    <row r="32" spans="1:9" s="1600" customFormat="1" ht="19.5" customHeight="1">
      <c r="A32" s="3428"/>
      <c r="B32" s="3428"/>
      <c r="C32" s="1131" t="s">
        <v>1472</v>
      </c>
      <c r="D32" s="1132"/>
      <c r="E32" s="1154">
        <v>0.8</v>
      </c>
      <c r="F32" s="1133" t="s">
        <v>1473</v>
      </c>
      <c r="G32" s="1134"/>
      <c r="H32" s="1105"/>
      <c r="I32" s="1105"/>
    </row>
    <row r="33" spans="1:9" s="1600" customFormat="1" ht="19.5" customHeight="1">
      <c r="A33" s="3428" t="s">
        <v>1474</v>
      </c>
      <c r="B33" s="1154" t="s">
        <v>1446</v>
      </c>
      <c r="C33" s="1131" t="s">
        <v>1475</v>
      </c>
      <c r="D33" s="1132"/>
      <c r="E33" s="1154">
        <v>1</v>
      </c>
      <c r="F33" s="1133" t="s">
        <v>1476</v>
      </c>
      <c r="G33" s="1134"/>
      <c r="H33" s="1105"/>
      <c r="I33" s="1105"/>
    </row>
    <row r="34" spans="1:9" s="1600" customFormat="1" ht="19.5" customHeight="1">
      <c r="A34" s="3428"/>
      <c r="B34" s="1154" t="s">
        <v>1449</v>
      </c>
      <c r="C34" s="1131" t="s">
        <v>1477</v>
      </c>
      <c r="D34" s="1132"/>
      <c r="E34" s="1154">
        <v>1.5</v>
      </c>
      <c r="F34" s="1133" t="s">
        <v>1478</v>
      </c>
      <c r="G34" s="1134"/>
      <c r="H34" s="1105"/>
      <c r="I34" s="1105"/>
    </row>
    <row r="35" spans="1:9" s="1600" customFormat="1" ht="19.5" customHeight="1">
      <c r="A35" s="3428" t="s">
        <v>1432</v>
      </c>
      <c r="B35" s="1154" t="s">
        <v>1446</v>
      </c>
      <c r="C35" s="1131" t="s">
        <v>1479</v>
      </c>
      <c r="D35" s="1132"/>
      <c r="E35" s="1154">
        <v>1</v>
      </c>
      <c r="F35" s="1133" t="s">
        <v>1480</v>
      </c>
      <c r="G35" s="1134"/>
      <c r="H35" s="1105"/>
      <c r="I35" s="1105"/>
    </row>
    <row r="36" spans="1:9" s="1600" customFormat="1" ht="19.5" customHeight="1">
      <c r="A36" s="3428"/>
      <c r="B36" s="3428" t="s">
        <v>1449</v>
      </c>
      <c r="C36" s="1131" t="s">
        <v>1481</v>
      </c>
      <c r="D36" s="1132"/>
      <c r="E36" s="1154">
        <v>1</v>
      </c>
      <c r="F36" s="1133" t="s">
        <v>1482</v>
      </c>
      <c r="G36" s="1134"/>
      <c r="H36" s="1105"/>
      <c r="I36" s="1105"/>
    </row>
    <row r="37" spans="1:9" s="1600" customFormat="1" ht="19.5" customHeight="1">
      <c r="A37" s="3428"/>
      <c r="B37" s="3428"/>
      <c r="C37" s="1131" t="s">
        <v>1483</v>
      </c>
      <c r="D37" s="1132"/>
      <c r="E37" s="1154">
        <v>1.5</v>
      </c>
      <c r="F37" s="1133" t="s">
        <v>1484</v>
      </c>
      <c r="G37" s="1134"/>
      <c r="H37" s="1105"/>
      <c r="I37" s="1105"/>
    </row>
    <row r="38" spans="1:9" s="1600" customFormat="1" ht="19.5" customHeight="1">
      <c r="A38" s="3428"/>
      <c r="B38" s="3428"/>
      <c r="C38" s="1131" t="s">
        <v>1485</v>
      </c>
      <c r="D38" s="1132"/>
      <c r="E38" s="1154">
        <v>1</v>
      </c>
      <c r="F38" s="1133" t="s">
        <v>1486</v>
      </c>
      <c r="G38" s="1134"/>
      <c r="H38" s="1105"/>
      <c r="I38" s="1105"/>
    </row>
    <row r="39" spans="1:9" s="1600" customFormat="1" ht="19.5" customHeight="1">
      <c r="A39" s="3428"/>
      <c r="B39" s="342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8" t="s">
        <v>1501</v>
      </c>
      <c r="C61" s="1068" t="s">
        <v>1502</v>
      </c>
      <c r="D61" s="1068" t="s">
        <v>1503</v>
      </c>
      <c r="E61" s="1139">
        <v>0.5</v>
      </c>
      <c r="F61" s="1154">
        <v>80</v>
      </c>
      <c r="H61" s="1105">
        <f>SUMIF(C59:C119,基准地价!C8,E59:E119)</f>
        <v>0</v>
      </c>
    </row>
    <row r="62" spans="1:8" s="1105" customFormat="1" ht="24">
      <c r="A62" s="1154">
        <v>2</v>
      </c>
      <c r="B62" s="3428"/>
      <c r="C62" s="1068" t="s">
        <v>1504</v>
      </c>
      <c r="D62" s="1068" t="s">
        <v>1505</v>
      </c>
      <c r="E62" s="1139">
        <v>0.5</v>
      </c>
      <c r="F62" s="1154">
        <v>80</v>
      </c>
    </row>
    <row r="63" spans="1:8" s="1105" customFormat="1" ht="36">
      <c r="A63" s="1154">
        <v>3</v>
      </c>
      <c r="B63" s="3428"/>
      <c r="C63" s="1068" t="s">
        <v>1506</v>
      </c>
      <c r="D63" s="1068" t="s">
        <v>1507</v>
      </c>
      <c r="E63" s="1139">
        <v>0.5</v>
      </c>
      <c r="F63" s="1154">
        <v>80</v>
      </c>
    </row>
    <row r="64" spans="1:8" s="1105" customFormat="1" ht="36">
      <c r="A64" s="1154">
        <v>4</v>
      </c>
      <c r="B64" s="3428"/>
      <c r="C64" s="1068" t="s">
        <v>1508</v>
      </c>
      <c r="D64" s="1068" t="s">
        <v>1509</v>
      </c>
      <c r="E64" s="1139">
        <v>0.4</v>
      </c>
      <c r="F64" s="1154">
        <v>60</v>
      </c>
    </row>
    <row r="65" spans="1:6" s="1105" customFormat="1" ht="36">
      <c r="A65" s="1154">
        <v>5</v>
      </c>
      <c r="B65" s="3428"/>
      <c r="C65" s="1068" t="s">
        <v>1510</v>
      </c>
      <c r="D65" s="1068" t="s">
        <v>1511</v>
      </c>
      <c r="E65" s="1139">
        <v>0.2</v>
      </c>
      <c r="F65" s="1154">
        <v>30</v>
      </c>
    </row>
    <row r="66" spans="1:6" s="1105" customFormat="1" ht="36">
      <c r="A66" s="1154">
        <v>6</v>
      </c>
      <c r="B66" s="3428"/>
      <c r="C66" s="1068" t="s">
        <v>1512</v>
      </c>
      <c r="D66" s="1068" t="s">
        <v>1513</v>
      </c>
      <c r="E66" s="1139">
        <v>0.3</v>
      </c>
      <c r="F66" s="1154">
        <v>50</v>
      </c>
    </row>
    <row r="67" spans="1:6" s="1105" customFormat="1" ht="36">
      <c r="A67" s="1154">
        <v>7</v>
      </c>
      <c r="B67" s="3428"/>
      <c r="C67" s="1068" t="s">
        <v>1514</v>
      </c>
      <c r="D67" s="1068" t="s">
        <v>1515</v>
      </c>
      <c r="E67" s="1139">
        <v>0.2</v>
      </c>
      <c r="F67" s="1154">
        <v>30</v>
      </c>
    </row>
    <row r="68" spans="1:6" s="1105" customFormat="1" ht="36">
      <c r="A68" s="1154">
        <v>8</v>
      </c>
      <c r="B68" s="3428"/>
      <c r="C68" s="1068" t="s">
        <v>1516</v>
      </c>
      <c r="D68" s="1068" t="s">
        <v>1517</v>
      </c>
      <c r="E68" s="1139">
        <v>0.2</v>
      </c>
      <c r="F68" s="1154">
        <v>30</v>
      </c>
    </row>
    <row r="69" spans="1:6" s="1105" customFormat="1" ht="36">
      <c r="A69" s="1154">
        <v>9</v>
      </c>
      <c r="B69" s="3428"/>
      <c r="C69" s="1068" t="s">
        <v>1518</v>
      </c>
      <c r="D69" s="1068" t="s">
        <v>1519</v>
      </c>
      <c r="E69" s="1139">
        <v>0.2</v>
      </c>
      <c r="F69" s="1154">
        <v>30</v>
      </c>
    </row>
    <row r="70" spans="1:6" s="1105" customFormat="1" ht="48">
      <c r="A70" s="1154">
        <v>10</v>
      </c>
      <c r="B70" s="3428"/>
      <c r="C70" s="1068" t="s">
        <v>1520</v>
      </c>
      <c r="D70" s="1068" t="s">
        <v>1521</v>
      </c>
      <c r="E70" s="1139">
        <v>0.2</v>
      </c>
      <c r="F70" s="1154">
        <v>30</v>
      </c>
    </row>
    <row r="71" spans="1:6" s="1105" customFormat="1" ht="48">
      <c r="A71" s="1154">
        <v>11</v>
      </c>
      <c r="B71" s="3428"/>
      <c r="C71" s="1068" t="s">
        <v>1522</v>
      </c>
      <c r="D71" s="1068" t="s">
        <v>1523</v>
      </c>
      <c r="E71" s="1139">
        <v>0.2</v>
      </c>
      <c r="F71" s="1154">
        <v>30</v>
      </c>
    </row>
    <row r="72" spans="1:6" s="1105" customFormat="1" ht="36">
      <c r="A72" s="1154">
        <v>12</v>
      </c>
      <c r="B72" s="3428"/>
      <c r="C72" s="1068" t="s">
        <v>1524</v>
      </c>
      <c r="D72" s="1068" t="s">
        <v>1525</v>
      </c>
      <c r="E72" s="1139">
        <v>0.5</v>
      </c>
      <c r="F72" s="1154">
        <v>80</v>
      </c>
    </row>
    <row r="73" spans="1:6" s="1105" customFormat="1" ht="24">
      <c r="A73" s="1154">
        <v>13</v>
      </c>
      <c r="B73" s="3428"/>
      <c r="C73" s="1068" t="s">
        <v>1526</v>
      </c>
      <c r="D73" s="1068" t="s">
        <v>1527</v>
      </c>
      <c r="E73" s="1139">
        <v>0.4</v>
      </c>
      <c r="F73" s="1154">
        <v>60</v>
      </c>
    </row>
    <row r="74" spans="1:6" s="1105" customFormat="1" ht="24">
      <c r="A74" s="1154">
        <v>14</v>
      </c>
      <c r="B74" s="3428"/>
      <c r="C74" s="1068" t="s">
        <v>1528</v>
      </c>
      <c r="D74" s="1068" t="s">
        <v>1529</v>
      </c>
      <c r="E74" s="1139">
        <v>0.2</v>
      </c>
      <c r="F74" s="1154">
        <v>30</v>
      </c>
    </row>
    <row r="75" spans="1:6" s="1105" customFormat="1" ht="24">
      <c r="A75" s="1154">
        <v>15</v>
      </c>
      <c r="B75" s="3428"/>
      <c r="C75" s="1068" t="s">
        <v>1530</v>
      </c>
      <c r="D75" s="1068" t="s">
        <v>1531</v>
      </c>
      <c r="E75" s="1139">
        <v>0.2</v>
      </c>
      <c r="F75" s="1154">
        <v>30</v>
      </c>
    </row>
    <row r="76" spans="1:6" s="1105" customFormat="1" ht="24">
      <c r="A76" s="1154">
        <v>16</v>
      </c>
      <c r="B76" s="3428" t="s">
        <v>1532</v>
      </c>
      <c r="C76" s="1068" t="s">
        <v>1533</v>
      </c>
      <c r="D76" s="1068" t="s">
        <v>1534</v>
      </c>
      <c r="E76" s="1139">
        <v>0.5</v>
      </c>
      <c r="F76" s="1154">
        <v>80</v>
      </c>
    </row>
    <row r="77" spans="1:6" s="1105" customFormat="1" ht="24">
      <c r="A77" s="1154">
        <v>17</v>
      </c>
      <c r="B77" s="3428"/>
      <c r="C77" s="1068" t="s">
        <v>1535</v>
      </c>
      <c r="D77" s="1068" t="s">
        <v>1536</v>
      </c>
      <c r="E77" s="1139">
        <v>0.5</v>
      </c>
      <c r="F77" s="1154">
        <v>80</v>
      </c>
    </row>
    <row r="78" spans="1:6" s="1105" customFormat="1" ht="24">
      <c r="A78" s="1154">
        <v>18</v>
      </c>
      <c r="B78" s="3428"/>
      <c r="C78" s="1068" t="s">
        <v>1537</v>
      </c>
      <c r="D78" s="1068" t="s">
        <v>1538</v>
      </c>
      <c r="E78" s="1139">
        <v>0.2</v>
      </c>
      <c r="F78" s="1154">
        <v>30</v>
      </c>
    </row>
    <row r="79" spans="1:6" s="1105" customFormat="1" ht="24">
      <c r="A79" s="1154">
        <v>19</v>
      </c>
      <c r="B79" s="3428"/>
      <c r="C79" s="1068" t="s">
        <v>1539</v>
      </c>
      <c r="D79" s="1068" t="s">
        <v>1540</v>
      </c>
      <c r="E79" s="1139">
        <v>0.5</v>
      </c>
      <c r="F79" s="1154">
        <v>80</v>
      </c>
    </row>
    <row r="80" spans="1:6" s="1105" customFormat="1" ht="36">
      <c r="A80" s="1154">
        <v>20</v>
      </c>
      <c r="B80" s="3428"/>
      <c r="C80" s="1068" t="s">
        <v>1541</v>
      </c>
      <c r="D80" s="1068" t="s">
        <v>1542</v>
      </c>
      <c r="E80" s="1139">
        <v>0.2</v>
      </c>
      <c r="F80" s="1154">
        <v>30</v>
      </c>
    </row>
    <row r="81" spans="1:6" s="1105" customFormat="1" ht="36">
      <c r="A81" s="1154">
        <v>21</v>
      </c>
      <c r="B81" s="3428"/>
      <c r="C81" s="1068" t="s">
        <v>1543</v>
      </c>
      <c r="D81" s="1068" t="s">
        <v>1544</v>
      </c>
      <c r="E81" s="1139">
        <v>0.2</v>
      </c>
      <c r="F81" s="1154">
        <v>30</v>
      </c>
    </row>
    <row r="82" spans="1:6" s="1105" customFormat="1" ht="48">
      <c r="A82" s="1154">
        <v>22</v>
      </c>
      <c r="B82" s="3428"/>
      <c r="C82" s="1068" t="s">
        <v>1545</v>
      </c>
      <c r="D82" s="1068" t="s">
        <v>1546</v>
      </c>
      <c r="E82" s="1139">
        <v>0.2</v>
      </c>
      <c r="F82" s="1154">
        <v>30</v>
      </c>
    </row>
    <row r="83" spans="1:6" s="1105" customFormat="1" ht="48">
      <c r="A83" s="1154">
        <v>23</v>
      </c>
      <c r="B83" s="3428"/>
      <c r="C83" s="1068" t="s">
        <v>1547</v>
      </c>
      <c r="D83" s="1068" t="s">
        <v>1548</v>
      </c>
      <c r="E83" s="1139">
        <v>0.2</v>
      </c>
      <c r="F83" s="1154">
        <v>30</v>
      </c>
    </row>
    <row r="84" spans="1:6" s="1105" customFormat="1" ht="36">
      <c r="A84" s="1154">
        <v>24</v>
      </c>
      <c r="B84" s="3428"/>
      <c r="C84" s="1068" t="s">
        <v>1549</v>
      </c>
      <c r="D84" s="1068" t="s">
        <v>1550</v>
      </c>
      <c r="E84" s="1139">
        <v>0.2</v>
      </c>
      <c r="F84" s="1154">
        <v>30</v>
      </c>
    </row>
    <row r="85" spans="1:6" s="1105" customFormat="1" ht="36">
      <c r="A85" s="1154">
        <v>25</v>
      </c>
      <c r="B85" s="3428"/>
      <c r="C85" s="1068" t="s">
        <v>1551</v>
      </c>
      <c r="D85" s="1068" t="s">
        <v>1552</v>
      </c>
      <c r="E85" s="1139">
        <v>0.5</v>
      </c>
      <c r="F85" s="1154">
        <v>80</v>
      </c>
    </row>
    <row r="86" spans="1:6" s="1105" customFormat="1" ht="36">
      <c r="A86" s="1154">
        <v>26</v>
      </c>
      <c r="B86" s="3428"/>
      <c r="C86" s="1068" t="s">
        <v>1553</v>
      </c>
      <c r="D86" s="1068" t="s">
        <v>1554</v>
      </c>
      <c r="E86" s="1139">
        <v>0.2</v>
      </c>
      <c r="F86" s="1154">
        <v>30</v>
      </c>
    </row>
    <row r="87" spans="1:6" s="1105" customFormat="1" ht="36">
      <c r="A87" s="1154">
        <v>27</v>
      </c>
      <c r="B87" s="3428"/>
      <c r="C87" s="1068" t="s">
        <v>1555</v>
      </c>
      <c r="D87" s="1068" t="s">
        <v>1556</v>
      </c>
      <c r="E87" s="1139">
        <v>0.2</v>
      </c>
      <c r="F87" s="1154">
        <v>30</v>
      </c>
    </row>
    <row r="88" spans="1:6" s="1105" customFormat="1" ht="36">
      <c r="A88" s="1154">
        <v>28</v>
      </c>
      <c r="B88" s="3428"/>
      <c r="C88" s="1068" t="s">
        <v>1557</v>
      </c>
      <c r="D88" s="1068" t="s">
        <v>1558</v>
      </c>
      <c r="E88" s="1139">
        <v>0.2</v>
      </c>
      <c r="F88" s="1154">
        <v>30</v>
      </c>
    </row>
    <row r="89" spans="1:6" s="1105" customFormat="1" ht="24">
      <c r="A89" s="1154">
        <v>29</v>
      </c>
      <c r="B89" s="3428"/>
      <c r="C89" s="1068" t="s">
        <v>1559</v>
      </c>
      <c r="D89" s="1068" t="s">
        <v>1560</v>
      </c>
      <c r="E89" s="1139">
        <v>0.2</v>
      </c>
      <c r="F89" s="1154">
        <v>30</v>
      </c>
    </row>
    <row r="90" spans="1:6" s="1105" customFormat="1" ht="24">
      <c r="A90" s="1154">
        <v>30</v>
      </c>
      <c r="B90" s="3428"/>
      <c r="C90" s="1068" t="s">
        <v>1561</v>
      </c>
      <c r="D90" s="1068" t="s">
        <v>1562</v>
      </c>
      <c r="E90" s="1139">
        <v>0.2</v>
      </c>
      <c r="F90" s="1154">
        <v>30</v>
      </c>
    </row>
    <row r="91" spans="1:6" s="1105" customFormat="1" ht="36">
      <c r="A91" s="1154">
        <v>31</v>
      </c>
      <c r="B91" s="3428"/>
      <c r="C91" s="1068" t="s">
        <v>1563</v>
      </c>
      <c r="D91" s="1068" t="s">
        <v>1564</v>
      </c>
      <c r="E91" s="1139">
        <v>0.2</v>
      </c>
      <c r="F91" s="1154">
        <v>30</v>
      </c>
    </row>
    <row r="92" spans="1:6" s="1105" customFormat="1" ht="24">
      <c r="A92" s="1154">
        <v>32</v>
      </c>
      <c r="B92" s="3428" t="s">
        <v>1565</v>
      </c>
      <c r="C92" s="1154" t="s">
        <v>1566</v>
      </c>
      <c r="D92" s="1068" t="s">
        <v>1567</v>
      </c>
      <c r="E92" s="1139">
        <v>0.2</v>
      </c>
      <c r="F92" s="1154">
        <v>30</v>
      </c>
    </row>
    <row r="93" spans="1:6" s="1105" customFormat="1" ht="36">
      <c r="A93" s="1154">
        <v>33</v>
      </c>
      <c r="B93" s="3428"/>
      <c r="C93" s="1154" t="s">
        <v>1568</v>
      </c>
      <c r="D93" s="1068" t="s">
        <v>1569</v>
      </c>
      <c r="E93" s="1139">
        <v>0.2</v>
      </c>
      <c r="F93" s="1154">
        <v>30</v>
      </c>
    </row>
    <row r="94" spans="1:6" s="1105" customFormat="1" ht="48">
      <c r="A94" s="1154">
        <v>34</v>
      </c>
      <c r="B94" s="3428"/>
      <c r="C94" s="1154" t="s">
        <v>1570</v>
      </c>
      <c r="D94" s="1068" t="s">
        <v>1571</v>
      </c>
      <c r="E94" s="1139">
        <v>0.2</v>
      </c>
      <c r="F94" s="1154">
        <v>30</v>
      </c>
    </row>
    <row r="95" spans="1:6" s="1105" customFormat="1" ht="36">
      <c r="A95" s="1154">
        <v>35</v>
      </c>
      <c r="B95" s="3428"/>
      <c r="C95" s="1154" t="s">
        <v>1572</v>
      </c>
      <c r="D95" s="1068" t="s">
        <v>1573</v>
      </c>
      <c r="E95" s="1139">
        <v>0.2</v>
      </c>
      <c r="F95" s="1154">
        <v>30</v>
      </c>
    </row>
    <row r="96" spans="1:6" s="1105" customFormat="1" ht="48">
      <c r="A96" s="1154">
        <v>36</v>
      </c>
      <c r="B96" s="3428"/>
      <c r="C96" s="1068" t="s">
        <v>1574</v>
      </c>
      <c r="D96" s="1068" t="s">
        <v>1575</v>
      </c>
      <c r="E96" s="1139">
        <v>0.2</v>
      </c>
      <c r="F96" s="1154">
        <v>30</v>
      </c>
    </row>
    <row r="97" spans="1:6" s="1105" customFormat="1" ht="36">
      <c r="A97" s="1154">
        <v>37</v>
      </c>
      <c r="B97" s="3428"/>
      <c r="C97" s="1154" t="s">
        <v>1576</v>
      </c>
      <c r="D97" s="1068" t="s">
        <v>1577</v>
      </c>
      <c r="E97" s="1139">
        <v>0.2</v>
      </c>
      <c r="F97" s="1154">
        <v>30</v>
      </c>
    </row>
    <row r="98" spans="1:6" s="1105" customFormat="1" ht="36">
      <c r="A98" s="1154">
        <v>38</v>
      </c>
      <c r="B98" s="3428"/>
      <c r="C98" s="1154" t="s">
        <v>1578</v>
      </c>
      <c r="D98" s="1068" t="s">
        <v>1579</v>
      </c>
      <c r="E98" s="1139">
        <v>0.2</v>
      </c>
      <c r="F98" s="1154">
        <v>30</v>
      </c>
    </row>
    <row r="99" spans="1:6" s="1105" customFormat="1" ht="36">
      <c r="A99" s="1154">
        <v>39</v>
      </c>
      <c r="B99" s="3428" t="s">
        <v>1580</v>
      </c>
      <c r="C99" s="1154" t="s">
        <v>1581</v>
      </c>
      <c r="D99" s="1068" t="s">
        <v>1582</v>
      </c>
      <c r="E99" s="1139">
        <v>0.3</v>
      </c>
      <c r="F99" s="1154">
        <v>50</v>
      </c>
    </row>
    <row r="100" spans="1:6" s="1105" customFormat="1" ht="24">
      <c r="A100" s="1154">
        <v>40</v>
      </c>
      <c r="B100" s="3428"/>
      <c r="C100" s="1154" t="s">
        <v>1583</v>
      </c>
      <c r="D100" s="1068" t="s">
        <v>1584</v>
      </c>
      <c r="E100" s="1139">
        <v>0.2</v>
      </c>
      <c r="F100" s="1154">
        <v>30</v>
      </c>
    </row>
    <row r="101" spans="1:6" s="1105" customFormat="1" ht="36">
      <c r="A101" s="1154">
        <v>41</v>
      </c>
      <c r="B101" s="342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8" t="s">
        <v>1595</v>
      </c>
      <c r="C105" s="1154" t="s">
        <v>1596</v>
      </c>
      <c r="D105" s="1068" t="s">
        <v>1597</v>
      </c>
      <c r="E105" s="1139">
        <v>0.2</v>
      </c>
      <c r="F105" s="1154">
        <v>30</v>
      </c>
    </row>
    <row r="106" spans="1:6" s="1105" customFormat="1" ht="36">
      <c r="A106" s="1154">
        <v>46</v>
      </c>
      <c r="B106" s="3428"/>
      <c r="C106" s="1154" t="s">
        <v>1598</v>
      </c>
      <c r="D106" s="1068" t="s">
        <v>1599</v>
      </c>
      <c r="E106" s="1139">
        <v>0.2</v>
      </c>
      <c r="F106" s="1154">
        <v>30</v>
      </c>
    </row>
    <row r="107" spans="1:6" s="1105" customFormat="1" ht="36">
      <c r="A107" s="1154">
        <v>47</v>
      </c>
      <c r="B107" s="3428" t="s">
        <v>1600</v>
      </c>
      <c r="C107" s="1154" t="s">
        <v>1601</v>
      </c>
      <c r="D107" s="1068" t="s">
        <v>1602</v>
      </c>
      <c r="E107" s="1139">
        <v>0.3</v>
      </c>
      <c r="F107" s="1154">
        <v>50</v>
      </c>
    </row>
    <row r="108" spans="1:6" s="1105" customFormat="1" ht="36">
      <c r="A108" s="1154">
        <v>48</v>
      </c>
      <c r="B108" s="342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8" t="s">
        <v>1611</v>
      </c>
      <c r="C111" s="1154" t="s">
        <v>1612</v>
      </c>
      <c r="D111" s="1068" t="s">
        <v>1613</v>
      </c>
      <c r="E111" s="1139">
        <v>0.2</v>
      </c>
      <c r="F111" s="1154">
        <v>30</v>
      </c>
    </row>
    <row r="112" spans="1:6" s="1105" customFormat="1" ht="24">
      <c r="A112" s="1154">
        <v>52</v>
      </c>
      <c r="B112" s="3428"/>
      <c r="C112" s="1154" t="s">
        <v>1614</v>
      </c>
      <c r="D112" s="1068" t="s">
        <v>1615</v>
      </c>
      <c r="E112" s="1139">
        <v>0.2</v>
      </c>
      <c r="F112" s="1154">
        <v>30</v>
      </c>
    </row>
    <row r="113" spans="1:14" s="1105" customFormat="1" ht="24">
      <c r="A113" s="1154">
        <v>53</v>
      </c>
      <c r="B113" s="342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8" t="s">
        <v>1624</v>
      </c>
      <c r="C116" s="1154" t="s">
        <v>1625</v>
      </c>
      <c r="D116" s="1068" t="s">
        <v>1626</v>
      </c>
      <c r="E116" s="1139">
        <v>0.2</v>
      </c>
      <c r="F116" s="1154">
        <v>30</v>
      </c>
    </row>
    <row r="117" spans="1:14" ht="36">
      <c r="A117" s="1154">
        <v>57</v>
      </c>
      <c r="B117" s="342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7" t="s">
        <v>1633</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1039</v>
      </c>
      <c r="B1" s="3432"/>
      <c r="C1" s="3432"/>
      <c r="D1" s="3432"/>
      <c r="E1" s="3432"/>
      <c r="F1" s="343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3" t="s">
        <v>1052</v>
      </c>
      <c r="B2" s="3433"/>
      <c r="C2" s="3433"/>
      <c r="D2" s="3433"/>
      <c r="E2" s="3433"/>
      <c r="F2" s="343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6" t="s">
        <v>2081</v>
      </c>
      <c r="B1" s="3436"/>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t="e">
        <f ca="1">SUMIF(B7:B14,"&lt;&gt;#ref!",B7:B14)</f>
        <v>#DIV/0!</v>
      </c>
      <c r="C2" s="3108" t="s">
        <v>2949</v>
      </c>
      <c r="D2" s="3107"/>
      <c r="E2" s="3107"/>
      <c r="F2" s="3107"/>
    </row>
    <row r="3" spans="1:6" ht="14.25">
      <c r="A3" s="3108" t="s">
        <v>2982</v>
      </c>
      <c r="B3" s="3109" t="e">
        <f ca="1">ROUND(B2*10000/E3,0)</f>
        <v>#DIV/0!</v>
      </c>
      <c r="C3" s="3108" t="s">
        <v>2080</v>
      </c>
      <c r="D3" s="3108" t="s">
        <v>2950</v>
      </c>
      <c r="E3" s="3109">
        <f ca="1">SUMIF(E7:E14,"&lt;&gt;#ref!",E7:E14)</f>
        <v>0</v>
      </c>
      <c r="F3" s="3107"/>
    </row>
    <row r="4" spans="1:6" ht="14.25">
      <c r="A4" s="3108" t="s">
        <v>2957</v>
      </c>
      <c r="B4" s="3109" t="e">
        <f ca="1">ROUND(B2*10000/E4,0)</f>
        <v>#DIV/0!</v>
      </c>
      <c r="C4" s="3108" t="s">
        <v>2080</v>
      </c>
      <c r="D4" s="3108" t="s">
        <v>2958</v>
      </c>
      <c r="E4" s="3109">
        <f ca="1">SUMIF(F7:F14,"&lt;&gt;#ref!",F7:F14)</f>
        <v>0</v>
      </c>
      <c r="F4" s="3107"/>
    </row>
    <row r="5" spans="1:6" ht="14.25">
      <c r="A5" s="3110"/>
      <c r="B5" s="1883"/>
      <c r="C5" s="1883"/>
      <c r="D5" s="1883"/>
      <c r="E5" s="1883"/>
      <c r="F5" s="3107"/>
    </row>
    <row r="6" spans="1:6" ht="28.5">
      <c r="A6" s="3111" t="s">
        <v>2954</v>
      </c>
      <c r="B6" s="3108" t="s">
        <v>2951</v>
      </c>
      <c r="C6" s="3109"/>
      <c r="D6" s="1883"/>
      <c r="E6" s="3108" t="s">
        <v>2952</v>
      </c>
      <c r="F6" s="3108" t="s">
        <v>2956</v>
      </c>
    </row>
    <row r="7" spans="1:6" ht="14.25">
      <c r="A7" s="260" t="s">
        <v>2955</v>
      </c>
      <c r="B7" s="3112" t="e">
        <f ca="1">SUMIF(INDIRECT("'"&amp;A7&amp;"'"&amp;"!A:A"),"总价",INDIRECT("'"&amp;A7&amp;"'"&amp;"!B:B"))</f>
        <v>#DIV/0!</v>
      </c>
      <c r="C7" s="3108" t="s">
        <v>2949</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3"/>
      <c r="E9" s="3113" t="e">
        <f t="shared" ca="1" si="1"/>
        <v>#REF!</v>
      </c>
      <c r="F9" s="3113" t="e">
        <f t="shared" ca="1" si="2"/>
        <v>#REF!</v>
      </c>
    </row>
    <row r="10" spans="1:6" ht="14.25">
      <c r="A10" s="260"/>
      <c r="B10" s="3112" t="e">
        <f t="shared" ca="1" si="0"/>
        <v>#REF!</v>
      </c>
      <c r="C10" s="3108" t="s">
        <v>2949</v>
      </c>
      <c r="D10" s="1883"/>
      <c r="E10" s="3113" t="e">
        <f t="shared" ca="1" si="1"/>
        <v>#REF!</v>
      </c>
      <c r="F10" s="3113" t="e">
        <f t="shared" ca="1" si="2"/>
        <v>#REF!</v>
      </c>
    </row>
    <row r="11" spans="1:6" ht="14.25">
      <c r="A11" s="260"/>
      <c r="B11" s="3112" t="e">
        <f t="shared" ca="1" si="0"/>
        <v>#REF!</v>
      </c>
      <c r="C11" s="3108" t="s">
        <v>2949</v>
      </c>
      <c r="D11" s="1883"/>
      <c r="E11" s="3113" t="e">
        <f t="shared" ca="1" si="1"/>
        <v>#REF!</v>
      </c>
      <c r="F11" s="3113" t="e">
        <f t="shared" ca="1" si="2"/>
        <v>#REF!</v>
      </c>
    </row>
    <row r="12" spans="1:6" ht="14.25">
      <c r="A12" s="260"/>
      <c r="B12" s="3112" t="e">
        <f t="shared" ca="1" si="0"/>
        <v>#REF!</v>
      </c>
      <c r="C12" s="3108" t="s">
        <v>2949</v>
      </c>
      <c r="D12" s="1883"/>
      <c r="E12" s="3113" t="e">
        <f t="shared" ca="1" si="1"/>
        <v>#REF!</v>
      </c>
      <c r="F12" s="3113" t="e">
        <f t="shared" ca="1" si="2"/>
        <v>#REF!</v>
      </c>
    </row>
    <row r="13" spans="1:6" ht="14.25">
      <c r="A13" s="260"/>
      <c r="B13" s="3112" t="e">
        <f t="shared" ca="1" si="0"/>
        <v>#REF!</v>
      </c>
      <c r="C13" s="3108" t="s">
        <v>2949</v>
      </c>
      <c r="D13" s="1883"/>
      <c r="E13" s="3113" t="e">
        <f t="shared" ca="1" si="1"/>
        <v>#REF!</v>
      </c>
      <c r="F13" s="3113" t="e">
        <f t="shared" ca="1" si="2"/>
        <v>#REF!</v>
      </c>
    </row>
    <row r="14" spans="1:6" ht="14.25">
      <c r="A14" s="3106"/>
      <c r="B14" s="3112" t="e">
        <f t="shared" ca="1" si="0"/>
        <v>#REF!</v>
      </c>
      <c r="C14" s="3108" t="s">
        <v>2949</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38" t="s">
        <v>2465</v>
      </c>
      <c r="C8" s="1827">
        <f ca="1">ROUND(F8*F10*F9*(1-F11)/10000,0)</f>
        <v>0</v>
      </c>
      <c r="D8" s="1824" t="s">
        <v>2536</v>
      </c>
      <c r="E8" s="61" t="s">
        <v>637</v>
      </c>
      <c r="F8" s="785">
        <f ca="1">INDIRECT("'数据-取费表'!u"&amp;$G$1)</f>
        <v>0</v>
      </c>
      <c r="G8" s="1593"/>
      <c r="H8" s="2506" t="s">
        <v>1824</v>
      </c>
      <c r="I8" s="3438" t="s">
        <v>2465</v>
      </c>
      <c r="J8" s="783">
        <f ca="1">ROUND(M8*M10*M9*(1-M11)/10000,0)</f>
        <v>0</v>
      </c>
      <c r="K8" s="341" t="s">
        <v>2536</v>
      </c>
      <c r="L8" s="784" t="s">
        <v>1738</v>
      </c>
      <c r="M8" s="785">
        <f ca="1">INDIRECT("'数据-取费表'!z"&amp;$G$1)</f>
        <v>0</v>
      </c>
    </row>
    <row r="9" spans="1:25" ht="18" customHeight="1">
      <c r="A9" s="2502"/>
      <c r="B9" s="3439"/>
      <c r="C9" s="1828"/>
      <c r="D9" s="1825"/>
      <c r="E9" s="61" t="s">
        <v>638</v>
      </c>
      <c r="F9" s="785">
        <f ca="1">IF(INDIRECT("'数据-取费表'!ah"&amp;$G$1)="",INDIRECT("'数据-取费表'!k"&amp;$G$1),INDIRECT("'数据-取费表'!ah"&amp;$G$1))</f>
        <v>0</v>
      </c>
      <c r="G9" s="1593"/>
      <c r="H9" s="2491"/>
      <c r="I9" s="3439"/>
      <c r="J9" s="788"/>
      <c r="K9" s="789"/>
      <c r="L9" s="784" t="s">
        <v>1739</v>
      </c>
      <c r="M9" s="785">
        <f ca="1">F9</f>
        <v>0</v>
      </c>
    </row>
    <row r="10" spans="1:25" ht="18" customHeight="1">
      <c r="A10" s="2495"/>
      <c r="B10" s="3440"/>
      <c r="C10" s="1828"/>
      <c r="D10" s="1825"/>
      <c r="E10" s="61" t="s">
        <v>639</v>
      </c>
      <c r="F10" s="785">
        <f ca="1">INDIRECT("'数据-取费表'!ai"&amp;$G$1)</f>
        <v>0</v>
      </c>
      <c r="G10" s="1593"/>
      <c r="H10" s="2491"/>
      <c r="I10" s="3440"/>
      <c r="J10" s="788"/>
      <c r="K10" s="789"/>
      <c r="L10" s="784" t="s">
        <v>1740</v>
      </c>
      <c r="M10" s="785">
        <f ca="1">INDIRECT("'数据-取费表'!ai"&amp;$G$1)</f>
        <v>0</v>
      </c>
    </row>
    <row r="11" spans="1:25" ht="18" customHeight="1">
      <c r="A11" s="786"/>
      <c r="B11" s="3441"/>
      <c r="C11" s="1828"/>
      <c r="D11" s="1825"/>
      <c r="E11" s="61" t="s">
        <v>640</v>
      </c>
      <c r="F11" s="794">
        <f ca="1">INDIRECT("'数据-取费表'!w"&amp;$G$1)</f>
        <v>0</v>
      </c>
      <c r="G11" s="1593"/>
      <c r="H11" s="2507"/>
      <c r="I11" s="3440"/>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2978</v>
      </c>
      <c r="E12" s="2500" t="s">
        <v>2466</v>
      </c>
      <c r="F12" s="2623"/>
      <c r="G12" s="1593"/>
      <c r="H12" s="2563" t="s">
        <v>1825</v>
      </c>
      <c r="I12" s="2568" t="s">
        <v>2461</v>
      </c>
      <c r="J12" s="783">
        <f ca="1">ROUND(IF(M12="押一",J8/12*M13,IF(M12="押二",J8/12*2*M13,IF(M12="押三",J8/12*3*M13,J13*M13))),0)</f>
        <v>0</v>
      </c>
      <c r="K12" s="2503" t="s">
        <v>2978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81" t="s">
        <v>646</v>
      </c>
      <c r="E16" s="1982"/>
      <c r="F16" s="805"/>
      <c r="G16" s="1593"/>
      <c r="H16" s="803" t="s">
        <v>2071</v>
      </c>
      <c r="I16" s="2233" t="s">
        <v>2827</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4"/>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662</v>
      </c>
      <c r="C21" s="53">
        <f ca="1">SUM(C16:C20)</f>
        <v>0</v>
      </c>
      <c r="D21" s="261" t="s">
        <v>663</v>
      </c>
      <c r="E21" s="1984"/>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8</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1984"/>
      <c r="F27" s="56"/>
      <c r="G27" s="1593"/>
      <c r="H27" s="797" t="s">
        <v>1828</v>
      </c>
      <c r="I27" s="3012" t="s">
        <v>2824</v>
      </c>
      <c r="J27" s="799">
        <f ca="1">J7-J18</f>
        <v>0</v>
      </c>
      <c r="K27" s="1981" t="s">
        <v>700</v>
      </c>
      <c r="L27" s="1983"/>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1876</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1880</v>
      </c>
      <c r="B36" s="341" t="s">
        <v>668</v>
      </c>
      <c r="C36" s="54">
        <f ca="1">ROUND(F36*F37/10000,1)</f>
        <v>0</v>
      </c>
      <c r="D36" s="814" t="s">
        <v>669</v>
      </c>
      <c r="E36" s="784" t="s">
        <v>670</v>
      </c>
      <c r="F36" s="640">
        <f>'数据-取费表'!B52</f>
        <v>8</v>
      </c>
      <c r="G36" s="2064"/>
      <c r="H36" s="2067"/>
      <c r="I36" s="3437"/>
      <c r="J36" s="2081"/>
      <c r="K36" s="2082"/>
      <c r="L36" s="2081"/>
      <c r="M36" s="2081"/>
    </row>
    <row r="37" spans="1:18" ht="18" customHeight="1">
      <c r="A37" s="815"/>
      <c r="B37" s="793"/>
      <c r="C37" s="69"/>
      <c r="D37" s="816"/>
      <c r="E37" s="784" t="s">
        <v>674</v>
      </c>
      <c r="F37" s="785">
        <f ca="1">INDIRECT("'数据-取费表'!r"&amp;$G$1)</f>
        <v>0</v>
      </c>
      <c r="G37" s="2064"/>
      <c r="H37" s="2067"/>
      <c r="I37" s="3437"/>
      <c r="J37" s="2079"/>
      <c r="K37" s="2080"/>
      <c r="L37" s="2079"/>
      <c r="M37" s="2079"/>
    </row>
    <row r="38" spans="1:18" ht="18" customHeight="1">
      <c r="A38" s="803" t="s">
        <v>1877</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1878</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1876</v>
      </c>
      <c r="B42" s="835" t="s">
        <v>693</v>
      </c>
      <c r="C42" s="829">
        <f ca="1">C7-C32</f>
        <v>0</v>
      </c>
      <c r="D42" s="1981" t="s">
        <v>694</v>
      </c>
      <c r="E42" s="1983"/>
      <c r="F42" s="820"/>
      <c r="G42" s="2064"/>
      <c r="H42" s="2064"/>
      <c r="I42" s="2064"/>
      <c r="J42" s="2064"/>
      <c r="K42" s="2085"/>
      <c r="L42" s="2064"/>
      <c r="M42" s="2064"/>
    </row>
    <row r="43" spans="1:18" ht="18" customHeight="1">
      <c r="A43" s="803" t="s">
        <v>1877</v>
      </c>
      <c r="B43" s="835" t="s">
        <v>711</v>
      </c>
      <c r="C43" s="836">
        <f ca="1">ROUND(C15*F43,0)</f>
        <v>0</v>
      </c>
      <c r="D43" s="1356" t="s">
        <v>712</v>
      </c>
      <c r="E43" s="3124" t="s">
        <v>2966</v>
      </c>
      <c r="F43" s="3125">
        <f ca="1">INDIRECT("'数据-取费表'!j"&amp;$G$1)</f>
        <v>0</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2" t="str">
        <f ca="1">IF(M48="住宅",0,IF(L49&gt;J52,L61,J61))</f>
        <v>0</v>
      </c>
      <c r="O47" s="2396" t="s">
        <v>2412</v>
      </c>
      <c r="P47" s="1593"/>
      <c r="Q47" s="1605"/>
      <c r="R47" s="1593"/>
    </row>
    <row r="48" spans="1:18" s="2061" customFormat="1" ht="18" customHeight="1" thickBot="1">
      <c r="A48" s="2086"/>
      <c r="C48" s="2089"/>
      <c r="D48" s="2090"/>
      <c r="E48" s="2090"/>
      <c r="F48" s="2091"/>
      <c r="G48" s="2092"/>
      <c r="I48" s="3152" t="s">
        <v>2346</v>
      </c>
      <c r="J48" s="2383"/>
      <c r="K48" s="3159" t="s">
        <v>2351</v>
      </c>
      <c r="L48" s="3163">
        <f ca="1">INDIRECT("'数据-取费表'!d"&amp;$G$1)</f>
        <v>0</v>
      </c>
      <c r="M48" s="312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8" t="s">
        <v>2347</v>
      </c>
      <c r="J49" s="2384"/>
      <c r="K49" s="3160"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8" t="s">
        <v>2348</v>
      </c>
      <c r="J50" s="2385"/>
      <c r="K50" s="3161"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8" t="s">
        <v>2349</v>
      </c>
      <c r="J51" s="3156">
        <f>SUMPRODUCT((I64:I66=J48)*(J63:L63=J49)*(J64:L66))</f>
        <v>0</v>
      </c>
      <c r="K51" s="3161" t="s">
        <v>2355</v>
      </c>
      <c r="L51" s="2386"/>
      <c r="O51" s="2403" t="s">
        <v>2385</v>
      </c>
      <c r="P51" s="2401" t="s">
        <v>2409</v>
      </c>
      <c r="Q51" s="2402">
        <f ca="1">C31</f>
        <v>0</v>
      </c>
      <c r="R51" s="2401" t="s">
        <v>2382</v>
      </c>
    </row>
    <row r="52" spans="1:18" s="2061" customFormat="1" ht="18" customHeight="1" thickBot="1">
      <c r="A52" s="2098"/>
      <c r="F52" s="2087"/>
      <c r="I52" s="3153" t="s">
        <v>2350</v>
      </c>
      <c r="J52" s="3157">
        <f>IF(J50="",J51,J50+J51-YEAR('数据-取费表'!B3))</f>
        <v>0</v>
      </c>
      <c r="K52" s="3128" t="s">
        <v>2356</v>
      </c>
      <c r="L52" s="3164">
        <f ca="1">ROUND(-PV(INDIRECT("'数据-取费表'!h"&amp;$G$1),L49,(C40-C14*J36),0),0)</f>
        <v>0</v>
      </c>
      <c r="O52" s="2403" t="s">
        <v>2386</v>
      </c>
      <c r="P52" s="2401" t="s">
        <v>2387</v>
      </c>
      <c r="Q52" s="2404" t="e">
        <f ca="1">J59</f>
        <v>#VALUE!</v>
      </c>
      <c r="R52" s="2405"/>
    </row>
    <row r="53" spans="1:18" s="2061" customFormat="1" ht="18" customHeight="1" thickBot="1">
      <c r="A53" s="2098"/>
      <c r="F53" s="2087"/>
      <c r="I53" s="3154" t="s">
        <v>2423</v>
      </c>
      <c r="J53" s="2387"/>
      <c r="K53" s="3154" t="s">
        <v>2422</v>
      </c>
      <c r="L53" s="2387"/>
      <c r="O53" s="2403" t="s">
        <v>2388</v>
      </c>
      <c r="P53" s="2401" t="s">
        <v>2389</v>
      </c>
      <c r="Q53" s="2404">
        <f>J53</f>
        <v>0</v>
      </c>
      <c r="R53" s="2405"/>
    </row>
    <row r="54" spans="1:18" s="2061" customFormat="1" ht="29.25" thickBot="1">
      <c r="A54" s="2098"/>
      <c r="I54" s="3155" t="s">
        <v>2983</v>
      </c>
      <c r="J54" s="3158">
        <f ca="1">IF(M48="住宅",MAX(J52,L49-'数据-取费表'!B20),MIN(J52,L49-'数据-取费表'!B20))</f>
        <v>-2</v>
      </c>
      <c r="K54" s="3442"/>
      <c r="L54" s="3443"/>
      <c r="O54" s="2403" t="s">
        <v>2390</v>
      </c>
      <c r="P54" s="2401" t="s">
        <v>2391</v>
      </c>
      <c r="Q54" s="2402">
        <f ca="1">J54</f>
        <v>-2</v>
      </c>
      <c r="R54" s="2401" t="s">
        <v>2392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2393</v>
      </c>
      <c r="P55" s="2401" t="s">
        <v>2410</v>
      </c>
      <c r="Q55" s="2402">
        <f ca="1">Q49+Q50</f>
        <v>0</v>
      </c>
      <c r="R55" s="2405" t="s">
        <v>2394</v>
      </c>
    </row>
    <row r="56" spans="1:18" s="2061" customFormat="1" ht="16.5" thickBot="1">
      <c r="A56" s="2098"/>
      <c r="B56" s="2099"/>
      <c r="C56" s="2099"/>
      <c r="I56" s="3167" t="s">
        <v>2357</v>
      </c>
      <c r="J56" s="3103" t="e">
        <f ca="1">ROUND(IF(J48="钢混",J58/J51,1-(1-2%)*(J51-J58)/J51),3)</f>
        <v>#VALUE!</v>
      </c>
      <c r="K56" s="3168" t="s">
        <v>2358</v>
      </c>
      <c r="L56" s="2388"/>
      <c r="O56" s="2406" t="s">
        <v>2413</v>
      </c>
      <c r="P56" s="1593"/>
      <c r="Q56" s="1605"/>
      <c r="R56" s="1593"/>
    </row>
    <row r="57" spans="1:18" s="2061" customFormat="1" ht="43.5" thickBot="1">
      <c r="A57" s="2098"/>
      <c r="B57" s="2099"/>
      <c r="C57" s="2099"/>
      <c r="I57" s="3169" t="s">
        <v>2359</v>
      </c>
      <c r="J57" s="3179" t="s">
        <v>1678</v>
      </c>
      <c r="K57" s="3128" t="s">
        <v>2364</v>
      </c>
      <c r="L57" s="1910">
        <f ca="1">IF(L49&lt;J52,"——",L49-J52)</f>
        <v>0</v>
      </c>
      <c r="O57" s="2397" t="s">
        <v>2377</v>
      </c>
      <c r="P57" s="2398" t="s">
        <v>2378</v>
      </c>
      <c r="Q57" s="2399" t="s">
        <v>2379</v>
      </c>
      <c r="R57" s="2398" t="s">
        <v>2380</v>
      </c>
    </row>
    <row r="58" spans="1:18" s="2061" customFormat="1" ht="29.25" thickBot="1">
      <c r="A58" s="2098"/>
      <c r="B58" s="2099"/>
      <c r="C58" s="2099"/>
      <c r="I58" s="3170" t="s">
        <v>2360</v>
      </c>
      <c r="J58" s="3171" t="str">
        <f ca="1">IF(OR(M48="住宅",J52&lt;L49,J57="是"),"——",J52-L49)</f>
        <v>——</v>
      </c>
      <c r="K58" s="312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0" t="s">
        <v>2361</v>
      </c>
      <c r="J59" s="3104" t="e">
        <f ca="1">IF(J56&lt;0.4,0.4,J56)</f>
        <v>#VALUE!</v>
      </c>
      <c r="K59" s="312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0" t="s">
        <v>2362</v>
      </c>
      <c r="J60" s="3171" t="str">
        <f ca="1">IF(OR(M48="住宅",J52&lt;L49,J57="是"),"——",ROUND(C30*J59,0))</f>
        <v>——</v>
      </c>
      <c r="K60" s="312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2" t="s">
        <v>2363</v>
      </c>
      <c r="J61" s="3173" t="str">
        <f ca="1">IF(OR(M48="住宅",J52&lt;L49,J57="是"),"0",ROUND(J60/(1+J53)^J54,0))</f>
        <v>0</v>
      </c>
      <c r="K61" s="3174" t="s">
        <v>2368</v>
      </c>
      <c r="L61" s="3173"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5" t="s">
        <v>2369</v>
      </c>
      <c r="J63" s="3176" t="s">
        <v>2370</v>
      </c>
      <c r="K63" s="3176" t="s">
        <v>2371</v>
      </c>
      <c r="L63" s="3176" t="s">
        <v>2352</v>
      </c>
      <c r="M63" s="3177" t="s">
        <v>2946</v>
      </c>
      <c r="O63" s="2403" t="s">
        <v>2390</v>
      </c>
      <c r="P63" s="2401" t="s">
        <v>2398</v>
      </c>
      <c r="Q63" s="2402">
        <f ca="1">L60</f>
        <v>0</v>
      </c>
      <c r="R63" s="2405" t="s">
        <v>2399</v>
      </c>
    </row>
    <row r="64" spans="1:18" s="2061" customFormat="1" ht="15.75" thickBot="1">
      <c r="A64" s="2098"/>
      <c r="B64" s="2099"/>
      <c r="C64" s="2099"/>
      <c r="I64" s="3175" t="s">
        <v>2372</v>
      </c>
      <c r="J64" s="3176">
        <v>70</v>
      </c>
      <c r="K64" s="3176">
        <v>50</v>
      </c>
      <c r="L64" s="3176">
        <v>80</v>
      </c>
      <c r="M64" s="3178">
        <v>0.02</v>
      </c>
      <c r="O64" s="2400" t="s">
        <v>2393</v>
      </c>
      <c r="P64" s="2401" t="s">
        <v>2410</v>
      </c>
      <c r="Q64" s="2402" t="e">
        <f ca="1">Q58+Q59</f>
        <v>#DIV/0!</v>
      </c>
      <c r="R64" s="2405" t="s">
        <v>2394</v>
      </c>
    </row>
    <row r="65" spans="1:18" s="2061" customFormat="1" ht="16.5" thickBot="1">
      <c r="A65" s="2098"/>
      <c r="B65" s="2099"/>
      <c r="C65" s="2099"/>
      <c r="I65" s="3175" t="s">
        <v>2373</v>
      </c>
      <c r="J65" s="3176">
        <v>50</v>
      </c>
      <c r="K65" s="3176">
        <v>35</v>
      </c>
      <c r="L65" s="3176">
        <v>60</v>
      </c>
      <c r="M65" s="846">
        <v>0</v>
      </c>
      <c r="O65" s="2406" t="s">
        <v>2417</v>
      </c>
      <c r="P65" s="1593"/>
      <c r="Q65" s="1605"/>
      <c r="R65" s="1593"/>
    </row>
    <row r="66" spans="1:18" s="2061" customFormat="1" ht="15.75" thickBot="1">
      <c r="A66" s="2098"/>
      <c r="B66" s="2099"/>
      <c r="C66" s="2099"/>
      <c r="I66" s="3175" t="s">
        <v>2374</v>
      </c>
      <c r="J66" s="3176">
        <v>40</v>
      </c>
      <c r="K66" s="3176">
        <v>30</v>
      </c>
      <c r="L66" s="3176">
        <v>50</v>
      </c>
      <c r="M66" s="3178">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0" t="s">
        <v>2578</v>
      </c>
      <c r="C1" s="3450"/>
      <c r="D1" s="3450"/>
      <c r="E1" s="3450"/>
      <c r="F1" s="3450"/>
      <c r="G1" s="3449" t="s">
        <v>2579</v>
      </c>
      <c r="H1" s="3449"/>
      <c r="I1" s="3449"/>
      <c r="J1" s="3449"/>
      <c r="K1" s="3449"/>
      <c r="L1" s="3449"/>
      <c r="N1" s="3449" t="s">
        <v>2580</v>
      </c>
      <c r="O1" s="3449"/>
      <c r="P1" s="3449"/>
      <c r="Q1" s="3449"/>
      <c r="R1" s="2656"/>
      <c r="S1" s="3449" t="s">
        <v>2581</v>
      </c>
      <c r="T1" s="3449"/>
      <c r="U1" s="3449"/>
      <c r="V1" s="3449"/>
      <c r="X1" s="3448" t="s">
        <v>2641</v>
      </c>
      <c r="Y1" s="3449"/>
      <c r="Z1" s="3449"/>
      <c r="AA1" s="3449"/>
      <c r="AB1" s="3449"/>
      <c r="AD1" s="3448" t="s">
        <v>2645</v>
      </c>
      <c r="AE1" s="3449"/>
      <c r="AF1" s="3449"/>
      <c r="AG1" s="3449"/>
      <c r="AH1" s="3449"/>
    </row>
    <row r="2" spans="1:34" s="2758" customFormat="1" ht="14.25" thickBot="1">
      <c r="B2" s="2766" t="s">
        <v>2582</v>
      </c>
      <c r="C2" s="2766" t="s">
        <v>2643</v>
      </c>
      <c r="D2" s="2759" t="s">
        <v>1644</v>
      </c>
      <c r="E2" s="2759" t="s">
        <v>1951</v>
      </c>
      <c r="F2" s="2766" t="s">
        <v>2644</v>
      </c>
      <c r="G2" s="2762"/>
      <c r="H2" s="2761"/>
      <c r="I2" s="2766" t="s">
        <v>2960</v>
      </c>
      <c r="J2" s="2759" t="s">
        <v>2962</v>
      </c>
      <c r="K2" s="2759" t="s">
        <v>2963</v>
      </c>
      <c r="L2" s="2766" t="s">
        <v>2964</v>
      </c>
      <c r="N2" s="2766" t="s">
        <v>2582</v>
      </c>
      <c r="O2" s="2759" t="s">
        <v>2961</v>
      </c>
      <c r="P2" s="2759" t="s">
        <v>1951</v>
      </c>
      <c r="Q2" s="2766" t="s">
        <v>2644</v>
      </c>
      <c r="R2" s="2760"/>
      <c r="S2" s="2766" t="s">
        <v>2582</v>
      </c>
      <c r="T2" s="2759" t="s">
        <v>2961</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2984</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6">
        <v>3</v>
      </c>
      <c r="I5" s="3130">
        <v>1.49</v>
      </c>
      <c r="J5" s="3130">
        <v>0.96</v>
      </c>
      <c r="K5" s="3130">
        <v>1.58</v>
      </c>
      <c r="L5" s="3130">
        <v>2.44</v>
      </c>
      <c r="N5" s="2764">
        <f t="shared" ref="N5" si="6">I5/100</f>
        <v>1.49E-2</v>
      </c>
      <c r="O5" s="2764">
        <f t="shared" ref="O5" si="7">J5/100</f>
        <v>9.5999999999999992E-3</v>
      </c>
      <c r="P5" s="2764">
        <f t="shared" ref="P5" si="8">K5/100</f>
        <v>1.5800000000000002E-2</v>
      </c>
      <c r="Q5" s="2764">
        <f t="shared" ref="Q5" si="9">L5/100</f>
        <v>2.4399999999999998E-2</v>
      </c>
      <c r="R5" s="3118"/>
      <c r="S5" s="3119"/>
      <c r="T5" s="3118"/>
      <c r="U5" s="3118"/>
      <c r="V5" s="3118"/>
      <c r="W5" s="3146" t="s">
        <v>2974</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3" customFormat="1" ht="13.5" thickBot="1">
      <c r="A6" s="2657" t="s">
        <v>2985</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2980</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2971</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2975</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2583</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2584</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970</v>
      </c>
      <c r="B12" s="2663">
        <v>392</v>
      </c>
      <c r="C12" s="2663">
        <v>302</v>
      </c>
      <c r="D12" s="2663">
        <f t="shared" si="23"/>
        <v>302</v>
      </c>
      <c r="E12" s="2663">
        <v>553</v>
      </c>
      <c r="F12" s="2664">
        <v>266</v>
      </c>
      <c r="G12" s="3447">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969</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45"/>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959</v>
      </c>
      <c r="B14" s="2671">
        <f t="shared" si="44"/>
        <v>360.06949782209392</v>
      </c>
      <c r="C14" s="2671">
        <f t="shared" si="44"/>
        <v>289.84672674747821</v>
      </c>
      <c r="D14" s="2671">
        <f t="shared" si="45"/>
        <v>289.84672674747821</v>
      </c>
      <c r="E14" s="2671">
        <f t="shared" si="46"/>
        <v>501.06543001181495</v>
      </c>
      <c r="F14" s="2671">
        <f t="shared" si="46"/>
        <v>256.82882500744967</v>
      </c>
      <c r="G14" s="3445"/>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968</v>
      </c>
      <c r="B15" s="2671">
        <f t="shared" si="44"/>
        <v>346.720748986128</v>
      </c>
      <c r="C15" s="2671">
        <f t="shared" si="44"/>
        <v>284.30282172386285</v>
      </c>
      <c r="D15" s="2671">
        <f t="shared" si="45"/>
        <v>284.30282172386285</v>
      </c>
      <c r="E15" s="2671">
        <f t="shared" si="46"/>
        <v>479.58023546306947</v>
      </c>
      <c r="F15" s="2671">
        <f t="shared" si="46"/>
        <v>253.25788877571213</v>
      </c>
      <c r="G15" s="3446"/>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967</v>
      </c>
      <c r="B16" s="2663">
        <v>333</v>
      </c>
      <c r="C16" s="2663">
        <v>277</v>
      </c>
      <c r="D16" s="2663">
        <f t="shared" si="45"/>
        <v>277</v>
      </c>
      <c r="E16" s="2663">
        <v>459</v>
      </c>
      <c r="F16" s="2664">
        <v>249</v>
      </c>
      <c r="G16" s="3444">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966</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45"/>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965</v>
      </c>
      <c r="B18" s="2671">
        <f t="shared" si="48"/>
        <v>322.34053690220776</v>
      </c>
      <c r="C18" s="2671">
        <f t="shared" si="48"/>
        <v>271.46160770422546</v>
      </c>
      <c r="D18" s="2671">
        <f t="shared" si="45"/>
        <v>271.46160770422546</v>
      </c>
      <c r="E18" s="2671">
        <f t="shared" si="49"/>
        <v>442.69434542172456</v>
      </c>
      <c r="F18" s="2671">
        <f t="shared" si="49"/>
        <v>241.34030753190925</v>
      </c>
      <c r="G18" s="3445"/>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964</v>
      </c>
      <c r="B19" s="2671">
        <f t="shared" si="48"/>
        <v>319.87748030386797</v>
      </c>
      <c r="C19" s="2671">
        <f t="shared" si="48"/>
        <v>269.60135833173649</v>
      </c>
      <c r="D19" s="2671">
        <f t="shared" si="45"/>
        <v>269.60135833173649</v>
      </c>
      <c r="E19" s="2671">
        <f t="shared" si="49"/>
        <v>439.18089823583784</v>
      </c>
      <c r="F19" s="2671">
        <f t="shared" si="49"/>
        <v>239.23503918706311</v>
      </c>
      <c r="G19" s="3446"/>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963</v>
      </c>
      <c r="B20" s="2685">
        <v>318</v>
      </c>
      <c r="C20" s="2685">
        <v>268</v>
      </c>
      <c r="D20" s="2685">
        <f t="shared" si="45"/>
        <v>268</v>
      </c>
      <c r="E20" s="2685">
        <v>437</v>
      </c>
      <c r="F20" s="2686">
        <v>237</v>
      </c>
      <c r="G20" s="3444">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962</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45"/>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961</v>
      </c>
      <c r="B22" s="2671">
        <f t="shared" si="50"/>
        <v>314.72141172386546</v>
      </c>
      <c r="C22" s="2671">
        <f t="shared" si="50"/>
        <v>263.03901319069001</v>
      </c>
      <c r="D22" s="2671">
        <f t="shared" si="45"/>
        <v>263.03901319069001</v>
      </c>
      <c r="E22" s="2671">
        <f t="shared" si="51"/>
        <v>433.65745506782821</v>
      </c>
      <c r="F22" s="2671">
        <f t="shared" si="51"/>
        <v>233.23005080045735</v>
      </c>
      <c r="G22" s="3445"/>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960</v>
      </c>
      <c r="B23" s="2690">
        <f t="shared" si="50"/>
        <v>307.34512863658733</v>
      </c>
      <c r="C23" s="2690">
        <f t="shared" si="50"/>
        <v>257.80556031626975</v>
      </c>
      <c r="D23" s="2690">
        <f t="shared" si="45"/>
        <v>257.80556031626975</v>
      </c>
      <c r="E23" s="2690">
        <f t="shared" si="51"/>
        <v>422.70928459677179</v>
      </c>
      <c r="F23" s="2690">
        <f t="shared" si="51"/>
        <v>229.73803270336617</v>
      </c>
      <c r="G23" s="3446"/>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2642</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2585</v>
      </c>
      <c r="B24" s="2663">
        <v>299</v>
      </c>
      <c r="C24" s="2663">
        <v>252</v>
      </c>
      <c r="D24" s="2663">
        <f t="shared" si="45"/>
        <v>252</v>
      </c>
      <c r="E24" s="2663">
        <v>409</v>
      </c>
      <c r="F24" s="2664">
        <v>227</v>
      </c>
      <c r="G24" s="3451">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2586</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52"/>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2587</v>
      </c>
      <c r="B26" s="2671">
        <f t="shared" si="54"/>
        <v>288.2649053828776</v>
      </c>
      <c r="C26" s="2671">
        <f t="shared" si="54"/>
        <v>243.64564425013293</v>
      </c>
      <c r="D26" s="2671">
        <f t="shared" si="45"/>
        <v>243.64564425013293</v>
      </c>
      <c r="E26" s="2671">
        <f t="shared" si="55"/>
        <v>393.31080825986544</v>
      </c>
      <c r="F26" s="2671">
        <f t="shared" si="55"/>
        <v>223.07903790551154</v>
      </c>
      <c r="G26" s="3452"/>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2588</v>
      </c>
      <c r="B27" s="2671">
        <f t="shared" si="54"/>
        <v>282.50186729015837</v>
      </c>
      <c r="C27" s="2671">
        <f t="shared" si="54"/>
        <v>238.09796174155468</v>
      </c>
      <c r="D27" s="2671">
        <f t="shared" si="45"/>
        <v>238.09796174155468</v>
      </c>
      <c r="E27" s="2671">
        <f t="shared" si="55"/>
        <v>385.33438646014054</v>
      </c>
      <c r="F27" s="2671">
        <f t="shared" si="55"/>
        <v>221.55034055567739</v>
      </c>
      <c r="G27" s="3453"/>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2589</v>
      </c>
      <c r="B28" s="2701">
        <v>278</v>
      </c>
      <c r="C28" s="2701">
        <v>234</v>
      </c>
      <c r="D28" s="2701">
        <f t="shared" si="45"/>
        <v>234</v>
      </c>
      <c r="E28" s="2701">
        <v>379</v>
      </c>
      <c r="F28" s="2702">
        <v>220</v>
      </c>
      <c r="G28" s="3444">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2590</v>
      </c>
      <c r="B29" s="2671">
        <f>B28/(1+N28)</f>
        <v>275.49301357645425</v>
      </c>
      <c r="C29" s="2671">
        <f>C28/(1+O28)</f>
        <v>232.41954707985698</v>
      </c>
      <c r="D29" s="2671">
        <f t="shared" si="45"/>
        <v>232.41954707985698</v>
      </c>
      <c r="E29" s="2671">
        <f t="shared" ref="E29:F31" si="56">E28/(1+P28)</f>
        <v>375.32184591008121</v>
      </c>
      <c r="F29" s="2671">
        <f t="shared" si="56"/>
        <v>218.03766105054513</v>
      </c>
      <c r="G29" s="3445"/>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2591</v>
      </c>
      <c r="B30" s="2671">
        <f>B29/(1+N29)</f>
        <v>275.24529281292263</v>
      </c>
      <c r="C30" s="2671">
        <f>C29/(1+O29)</f>
        <v>231.74747938962707</v>
      </c>
      <c r="D30" s="2671">
        <f t="shared" si="45"/>
        <v>231.74747938962707</v>
      </c>
      <c r="E30" s="2671">
        <f t="shared" si="56"/>
        <v>375.35938184826603</v>
      </c>
      <c r="F30" s="2671">
        <f t="shared" si="56"/>
        <v>216.78033510692495</v>
      </c>
      <c r="G30" s="3445"/>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2592</v>
      </c>
      <c r="B31" s="2671">
        <f>B30/(1+N30)</f>
        <v>275.19025476197027</v>
      </c>
      <c r="C31" s="2703">
        <v>232</v>
      </c>
      <c r="D31" s="2703">
        <f t="shared" si="45"/>
        <v>232</v>
      </c>
      <c r="E31" s="2671">
        <f t="shared" si="56"/>
        <v>375.65990977608692</v>
      </c>
      <c r="F31" s="2671">
        <f t="shared" si="56"/>
        <v>214.12518283971252</v>
      </c>
      <c r="G31" s="3446"/>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2593</v>
      </c>
      <c r="B32" s="2663">
        <v>275</v>
      </c>
      <c r="C32" s="2663">
        <v>232</v>
      </c>
      <c r="D32" s="2663">
        <f t="shared" si="45"/>
        <v>232</v>
      </c>
      <c r="E32" s="2663">
        <v>376</v>
      </c>
      <c r="F32" s="2664">
        <v>213</v>
      </c>
      <c r="G32" s="3444">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2594</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45">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2595</v>
      </c>
      <c r="B34" s="2671">
        <f t="shared" si="57"/>
        <v>275.19335084830601</v>
      </c>
      <c r="C34" s="2671">
        <f t="shared" si="57"/>
        <v>230.18088050139744</v>
      </c>
      <c r="D34" s="2671">
        <f t="shared" si="45"/>
        <v>230.18088050139744</v>
      </c>
      <c r="E34" s="2671">
        <f t="shared" si="58"/>
        <v>377.58482925212331</v>
      </c>
      <c r="F34" s="2671">
        <f t="shared" si="58"/>
        <v>210.90687997847917</v>
      </c>
      <c r="G34" s="3445">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2596</v>
      </c>
      <c r="B35" s="2671">
        <f t="shared" si="57"/>
        <v>276.29854502841971</v>
      </c>
      <c r="C35" s="2671">
        <f t="shared" si="57"/>
        <v>229.79023709833027</v>
      </c>
      <c r="D35" s="2671">
        <f t="shared" si="45"/>
        <v>229.79023709833027</v>
      </c>
      <c r="E35" s="2671">
        <f t="shared" si="58"/>
        <v>379.78759731655936</v>
      </c>
      <c r="F35" s="2671">
        <f t="shared" si="58"/>
        <v>211.32953905659235</v>
      </c>
      <c r="G35" s="3446">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2597</v>
      </c>
      <c r="B36" s="2663">
        <v>269</v>
      </c>
      <c r="C36" s="2663">
        <v>221</v>
      </c>
      <c r="D36" s="2663">
        <f t="shared" si="45"/>
        <v>221</v>
      </c>
      <c r="E36" s="2663">
        <v>373</v>
      </c>
      <c r="F36" s="2664">
        <v>196</v>
      </c>
      <c r="G36" s="3444">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2598</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45">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2599</v>
      </c>
      <c r="B38" s="2671">
        <f t="shared" si="59"/>
        <v>242.95398227588385</v>
      </c>
      <c r="C38" s="2671">
        <f t="shared" si="59"/>
        <v>199.59137053614126</v>
      </c>
      <c r="D38" s="2671">
        <f t="shared" si="45"/>
        <v>199.59137053614126</v>
      </c>
      <c r="E38" s="2671">
        <f t="shared" si="60"/>
        <v>335.92189522342125</v>
      </c>
      <c r="F38" s="2671">
        <f t="shared" si="60"/>
        <v>183.10139991109489</v>
      </c>
      <c r="G38" s="3445">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2600</v>
      </c>
      <c r="B39" s="2671">
        <f t="shared" si="59"/>
        <v>232.06990378821649</v>
      </c>
      <c r="C39" s="2671">
        <f t="shared" si="59"/>
        <v>192.74878854286936</v>
      </c>
      <c r="D39" s="2671">
        <f t="shared" si="45"/>
        <v>192.74878854286936</v>
      </c>
      <c r="E39" s="2671">
        <f t="shared" si="60"/>
        <v>319.71247284992984</v>
      </c>
      <c r="F39" s="2671">
        <f t="shared" si="60"/>
        <v>175.67053622862409</v>
      </c>
      <c r="G39" s="3446">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2601</v>
      </c>
      <c r="B40" s="2663">
        <v>220</v>
      </c>
      <c r="C40" s="2663">
        <v>187</v>
      </c>
      <c r="D40" s="2663">
        <f t="shared" si="45"/>
        <v>187</v>
      </c>
      <c r="E40" s="2663">
        <v>301</v>
      </c>
      <c r="F40" s="2664">
        <v>168</v>
      </c>
      <c r="G40" s="3444">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2602</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45">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2603</v>
      </c>
      <c r="B42" s="2671">
        <f t="shared" si="61"/>
        <v>210.630522469011</v>
      </c>
      <c r="C42" s="2671">
        <f t="shared" si="61"/>
        <v>181.69567812247232</v>
      </c>
      <c r="D42" s="2671">
        <f t="shared" si="45"/>
        <v>181.69567812247232</v>
      </c>
      <c r="E42" s="2671">
        <f t="shared" si="62"/>
        <v>286.13517466736738</v>
      </c>
      <c r="F42" s="2671">
        <f t="shared" si="62"/>
        <v>165.47535084591149</v>
      </c>
      <c r="G42" s="3445">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2604</v>
      </c>
      <c r="B43" s="2671">
        <f t="shared" si="61"/>
        <v>208.83454537875372</v>
      </c>
      <c r="C43" s="2671">
        <f t="shared" si="61"/>
        <v>183.77230517090351</v>
      </c>
      <c r="D43" s="2671">
        <f t="shared" si="45"/>
        <v>183.77230517090351</v>
      </c>
      <c r="E43" s="2671">
        <f t="shared" si="62"/>
        <v>281.10342338870947</v>
      </c>
      <c r="F43" s="2671">
        <f t="shared" si="62"/>
        <v>168.97309388942256</v>
      </c>
      <c r="G43" s="3446">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2605</v>
      </c>
      <c r="B44" s="2701">
        <v>214</v>
      </c>
      <c r="C44" s="2701">
        <v>188</v>
      </c>
      <c r="D44" s="2701">
        <f t="shared" si="45"/>
        <v>188</v>
      </c>
      <c r="E44" s="2701">
        <v>289</v>
      </c>
      <c r="F44" s="2702">
        <v>166</v>
      </c>
      <c r="G44" s="3444">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2606</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45">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2607</v>
      </c>
      <c r="B46" s="2671">
        <f t="shared" si="63"/>
        <v>206.31694671589116</v>
      </c>
      <c r="C46" s="2671">
        <f t="shared" si="63"/>
        <v>183.61041121036101</v>
      </c>
      <c r="D46" s="2671">
        <f t="shared" si="45"/>
        <v>183.61041121036101</v>
      </c>
      <c r="E46" s="2671">
        <f t="shared" si="64"/>
        <v>276.66850301795557</v>
      </c>
      <c r="F46" s="2671">
        <f t="shared" si="64"/>
        <v>165.1360938278614</v>
      </c>
      <c r="G46" s="3445">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2608</v>
      </c>
      <c r="B47" s="2704">
        <f t="shared" si="63"/>
        <v>196.62341248059772</v>
      </c>
      <c r="C47" s="2704">
        <f t="shared" si="63"/>
        <v>170.99125648199012</v>
      </c>
      <c r="D47" s="2704">
        <f t="shared" si="45"/>
        <v>170.99125648199012</v>
      </c>
      <c r="E47" s="2704">
        <f t="shared" si="64"/>
        <v>266.07857570490052</v>
      </c>
      <c r="F47" s="2704">
        <f t="shared" si="64"/>
        <v>154.53499328828505</v>
      </c>
      <c r="G47" s="3446">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2609</v>
      </c>
      <c r="B48" s="2663">
        <v>188</v>
      </c>
      <c r="C48" s="2663">
        <v>165</v>
      </c>
      <c r="D48" s="2663">
        <f t="shared" si="45"/>
        <v>165</v>
      </c>
      <c r="E48" s="2663">
        <v>254</v>
      </c>
      <c r="F48" s="2664">
        <v>148</v>
      </c>
      <c r="G48" s="3444">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2610</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45">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2611</v>
      </c>
      <c r="B50" s="2671">
        <f t="shared" si="67"/>
        <v>168.82017748715555</v>
      </c>
      <c r="C50" s="2671">
        <f t="shared" si="67"/>
        <v>148.06267029972753</v>
      </c>
      <c r="D50" s="2671">
        <f t="shared" si="45"/>
        <v>148.06267029972753</v>
      </c>
      <c r="E50" s="2671">
        <f t="shared" si="68"/>
        <v>216.46288379323747</v>
      </c>
      <c r="F50" s="2671">
        <f t="shared" si="68"/>
        <v>134.23529411764704</v>
      </c>
      <c r="G50" s="3445">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2612</v>
      </c>
      <c r="B51" s="2671">
        <f t="shared" si="67"/>
        <v>163.84913591779542</v>
      </c>
      <c r="C51" s="2671">
        <f t="shared" si="67"/>
        <v>145.0283378746594</v>
      </c>
      <c r="D51" s="2671">
        <f t="shared" si="45"/>
        <v>145.0283378746594</v>
      </c>
      <c r="E51" s="2671">
        <f t="shared" si="68"/>
        <v>204.95180722891567</v>
      </c>
      <c r="F51" s="2671">
        <f t="shared" si="68"/>
        <v>125.95920303605313</v>
      </c>
      <c r="G51" s="3446">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2613</v>
      </c>
      <c r="B52" s="2685">
        <v>159</v>
      </c>
      <c r="C52" s="2685">
        <v>141</v>
      </c>
      <c r="D52" s="2685">
        <f t="shared" si="45"/>
        <v>141</v>
      </c>
      <c r="E52" s="2685">
        <v>195</v>
      </c>
      <c r="F52" s="2686">
        <v>122</v>
      </c>
      <c r="G52" s="3444">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2614</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45">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2615</v>
      </c>
      <c r="B54" s="2671">
        <f t="shared" si="71"/>
        <v>146.57412060301507</v>
      </c>
      <c r="C54" s="2671">
        <f t="shared" si="71"/>
        <v>136.46831955922866</v>
      </c>
      <c r="D54" s="2671">
        <f t="shared" si="45"/>
        <v>136.46831955922866</v>
      </c>
      <c r="E54" s="2671">
        <f t="shared" si="72"/>
        <v>166.73864894795128</v>
      </c>
      <c r="F54" s="2671">
        <f t="shared" si="72"/>
        <v>115.05882352941177</v>
      </c>
      <c r="G54" s="3445">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2616</v>
      </c>
      <c r="B55" s="2671">
        <f t="shared" si="71"/>
        <v>144.04145728643215</v>
      </c>
      <c r="C55" s="2671">
        <f t="shared" si="71"/>
        <v>136.12396694214877</v>
      </c>
      <c r="D55" s="2671">
        <f t="shared" si="45"/>
        <v>136.12396694214877</v>
      </c>
      <c r="E55" s="2671">
        <f t="shared" si="72"/>
        <v>158.32225913621264</v>
      </c>
      <c r="F55" s="2671">
        <f t="shared" si="72"/>
        <v>114.04278074866311</v>
      </c>
      <c r="G55" s="3446">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2617</v>
      </c>
      <c r="B56" s="2685">
        <v>138</v>
      </c>
      <c r="C56" s="2685">
        <v>131</v>
      </c>
      <c r="D56" s="2685">
        <f t="shared" si="45"/>
        <v>131</v>
      </c>
      <c r="E56" s="2685">
        <v>155</v>
      </c>
      <c r="F56" s="2686">
        <v>114</v>
      </c>
      <c r="G56" s="3444">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2618</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45">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2619</v>
      </c>
      <c r="B58" s="2671">
        <f t="shared" si="75"/>
        <v>124.29032258064517</v>
      </c>
      <c r="C58" s="2671">
        <f t="shared" si="75"/>
        <v>123.8968609865471</v>
      </c>
      <c r="D58" s="2671">
        <f t="shared" si="45"/>
        <v>123.8968609865471</v>
      </c>
      <c r="E58" s="2671">
        <f t="shared" si="76"/>
        <v>138.00507614213197</v>
      </c>
      <c r="F58" s="2671">
        <f t="shared" si="76"/>
        <v>107.96106557377048</v>
      </c>
      <c r="G58" s="3445">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2620</v>
      </c>
      <c r="B59" s="2671">
        <f t="shared" si="75"/>
        <v>122.57204301075269</v>
      </c>
      <c r="C59" s="2671">
        <f t="shared" si="75"/>
        <v>123.4932735426009</v>
      </c>
      <c r="D59" s="2671">
        <f t="shared" si="45"/>
        <v>123.4932735426009</v>
      </c>
      <c r="E59" s="2671">
        <f t="shared" si="76"/>
        <v>129.82233502538071</v>
      </c>
      <c r="F59" s="2671">
        <f t="shared" si="76"/>
        <v>107.39446721311475</v>
      </c>
      <c r="G59" s="3446">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2621</v>
      </c>
      <c r="B60" s="2701">
        <v>121</v>
      </c>
      <c r="C60" s="2701">
        <v>122</v>
      </c>
      <c r="D60" s="2701">
        <f t="shared" si="45"/>
        <v>122</v>
      </c>
      <c r="E60" s="2701">
        <v>124</v>
      </c>
      <c r="F60" s="2702">
        <v>107</v>
      </c>
      <c r="G60" s="3444">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2622</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45">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2623</v>
      </c>
      <c r="B62" s="2671">
        <f t="shared" si="79"/>
        <v>116.99099099099099</v>
      </c>
      <c r="C62" s="2671">
        <f t="shared" si="79"/>
        <v>118.84848484848486</v>
      </c>
      <c r="D62" s="2671">
        <f t="shared" si="45"/>
        <v>118.84848484848486</v>
      </c>
      <c r="E62" s="2671">
        <f t="shared" si="80"/>
        <v>117.60960960960961</v>
      </c>
      <c r="F62" s="2671">
        <f t="shared" si="80"/>
        <v>104</v>
      </c>
      <c r="G62" s="3445">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2624</v>
      </c>
      <c r="B63" s="2704">
        <f t="shared" si="79"/>
        <v>112.48648648648648</v>
      </c>
      <c r="C63" s="2704">
        <f t="shared" si="79"/>
        <v>115.21212121212122</v>
      </c>
      <c r="D63" s="2704">
        <f t="shared" si="45"/>
        <v>115.21212121212122</v>
      </c>
      <c r="E63" s="2704">
        <f t="shared" si="80"/>
        <v>110.4024024024024</v>
      </c>
      <c r="F63" s="2704">
        <f t="shared" si="80"/>
        <v>104</v>
      </c>
      <c r="G63" s="3446">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2625</v>
      </c>
      <c r="B64" s="2722">
        <v>111</v>
      </c>
      <c r="C64" s="2722">
        <v>114</v>
      </c>
      <c r="D64" s="2722">
        <f t="shared" si="45"/>
        <v>114</v>
      </c>
      <c r="E64" s="2722">
        <v>108</v>
      </c>
      <c r="F64" s="2723">
        <v>104</v>
      </c>
      <c r="G64" s="3444">
        <v>2003</v>
      </c>
      <c r="H64" s="2712">
        <v>4</v>
      </c>
      <c r="I64" s="2724"/>
      <c r="J64" s="2724"/>
      <c r="K64" s="2724"/>
      <c r="L64" s="2724"/>
      <c r="N64" s="2725"/>
      <c r="O64" s="2724"/>
      <c r="P64" s="2724"/>
      <c r="Q64" s="2724"/>
      <c r="S64" s="2725"/>
      <c r="T64" s="2724"/>
      <c r="U64" s="2724"/>
      <c r="V64" s="2724"/>
      <c r="X64" s="2716"/>
      <c r="Y64" s="2716"/>
      <c r="Z64" s="2716"/>
    </row>
    <row r="65" spans="1:26">
      <c r="A65" s="2657" t="s">
        <v>2626</v>
      </c>
      <c r="B65" s="2726">
        <f t="shared" ref="B65:C67" si="81">B66+(B$64-B$68)/4</f>
        <v>109.75</v>
      </c>
      <c r="C65" s="2726">
        <f t="shared" si="81"/>
        <v>112.25</v>
      </c>
      <c r="D65" s="2726">
        <f t="shared" si="45"/>
        <v>112.25</v>
      </c>
      <c r="E65" s="2726">
        <f t="shared" ref="E65:F67" si="82">E66+(E$64-E$68)/4</f>
        <v>107.25</v>
      </c>
      <c r="F65" s="2726">
        <f t="shared" si="82"/>
        <v>103.5</v>
      </c>
      <c r="G65" s="3445">
        <v>2003</v>
      </c>
      <c r="H65" s="2682">
        <v>3</v>
      </c>
      <c r="I65" s="2724"/>
      <c r="J65" s="2724"/>
      <c r="K65" s="2724"/>
      <c r="L65" s="2724"/>
      <c r="X65" s="2716"/>
      <c r="Y65" s="2716"/>
      <c r="Z65" s="2716"/>
    </row>
    <row r="66" spans="1:26">
      <c r="A66" s="2657" t="s">
        <v>2627</v>
      </c>
      <c r="B66" s="2726">
        <f t="shared" si="81"/>
        <v>108.5</v>
      </c>
      <c r="C66" s="2726">
        <f t="shared" si="81"/>
        <v>110.5</v>
      </c>
      <c r="D66" s="2726">
        <f t="shared" si="45"/>
        <v>110.5</v>
      </c>
      <c r="E66" s="2726">
        <f t="shared" si="82"/>
        <v>106.5</v>
      </c>
      <c r="F66" s="2726">
        <f t="shared" si="82"/>
        <v>103</v>
      </c>
      <c r="G66" s="3445">
        <v>2003</v>
      </c>
      <c r="H66" s="2662">
        <v>2</v>
      </c>
      <c r="I66" s="2724"/>
      <c r="J66" s="2724"/>
      <c r="K66" s="2724"/>
      <c r="L66" s="2724"/>
      <c r="X66" s="2716"/>
      <c r="Y66" s="2716"/>
      <c r="Z66" s="2716"/>
    </row>
    <row r="67" spans="1:26" ht="13.5" thickBot="1">
      <c r="A67" s="2657" t="s">
        <v>2628</v>
      </c>
      <c r="B67" s="2726">
        <f t="shared" si="81"/>
        <v>107.25</v>
      </c>
      <c r="C67" s="2726">
        <f t="shared" si="81"/>
        <v>108.75</v>
      </c>
      <c r="D67" s="2726">
        <f t="shared" si="45"/>
        <v>108.75</v>
      </c>
      <c r="E67" s="2726">
        <f t="shared" si="82"/>
        <v>105.75</v>
      </c>
      <c r="F67" s="2726">
        <f t="shared" si="82"/>
        <v>102.5</v>
      </c>
      <c r="G67" s="3446">
        <v>2003</v>
      </c>
      <c r="H67" s="2727">
        <v>1</v>
      </c>
      <c r="I67" s="2724"/>
      <c r="J67" s="2724"/>
      <c r="K67" s="2724"/>
      <c r="L67" s="2724"/>
      <c r="S67" s="2666"/>
      <c r="T67" s="2667"/>
      <c r="U67" s="2667"/>
      <c r="X67" s="2716"/>
      <c r="Y67" s="2716"/>
      <c r="Z67" s="2716"/>
    </row>
    <row r="68" spans="1:26" ht="13.5" thickBot="1">
      <c r="A68" s="2657" t="s">
        <v>2629</v>
      </c>
      <c r="B68" s="2728">
        <v>106</v>
      </c>
      <c r="C68" s="2728">
        <v>107</v>
      </c>
      <c r="D68" s="2728">
        <f t="shared" si="45"/>
        <v>107</v>
      </c>
      <c r="E68" s="2728">
        <v>105</v>
      </c>
      <c r="F68" s="2729">
        <v>102</v>
      </c>
      <c r="G68" s="3444">
        <v>2002</v>
      </c>
      <c r="H68" s="2677">
        <v>4</v>
      </c>
      <c r="I68" s="2724"/>
      <c r="J68" s="2724"/>
      <c r="K68" s="2724"/>
      <c r="L68" s="2724"/>
      <c r="N68" s="2725"/>
      <c r="O68" s="2724"/>
      <c r="P68" s="2724"/>
      <c r="Q68" s="2724"/>
      <c r="S68" s="2725"/>
      <c r="T68" s="2724"/>
      <c r="U68" s="2724"/>
      <c r="V68" s="2724"/>
      <c r="X68" s="2716"/>
      <c r="Y68" s="2716"/>
      <c r="Z68" s="2716"/>
    </row>
    <row r="69" spans="1:26">
      <c r="A69" s="2657" t="s">
        <v>2630</v>
      </c>
      <c r="B69" s="2726">
        <f t="shared" ref="B69:C71" si="83">B70+(B$68-B$72)/4</f>
        <v>105</v>
      </c>
      <c r="C69" s="2726">
        <f t="shared" si="83"/>
        <v>106</v>
      </c>
      <c r="D69" s="2726">
        <f t="shared" si="45"/>
        <v>106</v>
      </c>
      <c r="E69" s="2726">
        <f t="shared" ref="E69:F71" si="84">E70+(E$68-E$72)/4</f>
        <v>104.5</v>
      </c>
      <c r="F69" s="2726">
        <f t="shared" si="84"/>
        <v>101.5</v>
      </c>
      <c r="G69" s="3445">
        <v>2002</v>
      </c>
      <c r="H69" s="2682">
        <v>3</v>
      </c>
      <c r="I69" s="2724"/>
      <c r="J69" s="2724"/>
      <c r="K69" s="2724"/>
      <c r="L69" s="2724"/>
      <c r="X69" s="2716"/>
      <c r="Y69" s="2716"/>
      <c r="Z69" s="2716"/>
    </row>
    <row r="70" spans="1:26">
      <c r="A70" s="2657" t="s">
        <v>2631</v>
      </c>
      <c r="B70" s="2726">
        <f t="shared" si="83"/>
        <v>104</v>
      </c>
      <c r="C70" s="2726">
        <f t="shared" si="83"/>
        <v>105</v>
      </c>
      <c r="D70" s="2726">
        <f t="shared" si="45"/>
        <v>105</v>
      </c>
      <c r="E70" s="2726">
        <f t="shared" si="84"/>
        <v>104</v>
      </c>
      <c r="F70" s="2726">
        <f t="shared" si="84"/>
        <v>101</v>
      </c>
      <c r="G70" s="3445">
        <v>2002</v>
      </c>
      <c r="H70" s="2662">
        <v>2</v>
      </c>
      <c r="I70" s="2724"/>
      <c r="J70" s="2724"/>
      <c r="K70" s="2724"/>
      <c r="L70" s="2724"/>
      <c r="X70" s="2716"/>
      <c r="Y70" s="2716"/>
      <c r="Z70" s="2716"/>
    </row>
    <row r="71" spans="1:26" s="2693" customFormat="1" ht="13.5" thickBot="1">
      <c r="A71" s="2689" t="s">
        <v>2632</v>
      </c>
      <c r="B71" s="2730">
        <f t="shared" si="83"/>
        <v>103</v>
      </c>
      <c r="C71" s="2730">
        <f t="shared" si="83"/>
        <v>104</v>
      </c>
      <c r="D71" s="2730">
        <f t="shared" si="45"/>
        <v>104</v>
      </c>
      <c r="E71" s="2730">
        <f t="shared" si="84"/>
        <v>103.5</v>
      </c>
      <c r="F71" s="2730">
        <f t="shared" si="84"/>
        <v>100.5</v>
      </c>
      <c r="G71" s="3446">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2633</v>
      </c>
      <c r="G74" s="2740"/>
      <c r="N74" s="2740"/>
      <c r="S74" s="2740"/>
    </row>
    <row r="75" spans="1:26" s="2739" customFormat="1">
      <c r="A75" s="2739" t="s">
        <v>2634</v>
      </c>
      <c r="G75" s="2740"/>
      <c r="N75" s="2740"/>
      <c r="S75" s="2740"/>
    </row>
    <row r="76" spans="1:26" s="2739" customFormat="1">
      <c r="A76" s="2739" t="s">
        <v>2635</v>
      </c>
      <c r="G76" s="2740"/>
      <c r="I76" s="2741"/>
      <c r="J76" s="2741"/>
      <c r="K76" s="2741"/>
      <c r="L76" s="2741"/>
      <c r="N76" s="2742"/>
      <c r="O76" s="2741"/>
      <c r="P76" s="2741"/>
      <c r="Q76" s="2741"/>
      <c r="S76" s="2742"/>
      <c r="T76" s="2741"/>
      <c r="U76" s="2741"/>
      <c r="V76" s="2741"/>
    </row>
    <row r="77" spans="1:26" s="2739" customFormat="1">
      <c r="A77" s="2739" t="s">
        <v>2636</v>
      </c>
      <c r="G77" s="2740"/>
      <c r="N77" s="2740"/>
      <c r="S77" s="2740"/>
    </row>
    <row r="84" spans="7:22" ht="13.5" thickBot="1"/>
    <row r="85" spans="7:22">
      <c r="G85" s="2665"/>
      <c r="S85" s="2743" t="s">
        <v>2637</v>
      </c>
      <c r="T85" s="2744" t="s">
        <v>2638</v>
      </c>
      <c r="U85" s="2744" t="s">
        <v>2639</v>
      </c>
      <c r="V85" s="2744" t="s">
        <v>2640</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2" sqref="H3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38209</v>
      </c>
      <c r="C2" s="2106"/>
      <c r="D2" s="2106"/>
      <c r="E2" s="2106"/>
      <c r="F2" s="2106"/>
      <c r="G2" s="2106"/>
      <c r="H2" s="2106"/>
      <c r="I2" s="2106"/>
      <c r="J2" s="2106"/>
      <c r="K2" s="2106"/>
    </row>
    <row r="3" spans="1:31" s="2043" customFormat="1" ht="18" customHeight="1">
      <c r="A3" s="2108" t="s">
        <v>1684</v>
      </c>
      <c r="B3" s="2109">
        <f ca="1">ROUND(B2*10000/IF(B1="",'数据-汇总表'!E3,INDIRECT("'数据-取费表'!K"&amp;$K$1)),0)</f>
        <v>1737</v>
      </c>
      <c r="C3" s="2106"/>
      <c r="D3" s="2106"/>
      <c r="E3" s="2106"/>
      <c r="F3" s="2106"/>
      <c r="G3" s="2106"/>
      <c r="H3" s="2106"/>
      <c r="I3" s="2106"/>
      <c r="J3" s="2106"/>
      <c r="K3" s="2106"/>
    </row>
    <row r="4" spans="1:31" s="2043" customFormat="1" ht="18" customHeight="1">
      <c r="A4" s="426" t="s">
        <v>468</v>
      </c>
      <c r="B4" s="427">
        <f ca="1">ROUND(B2*10000/IF(B1="",'数据-汇总表'!D3,INDIRECT("'数据-取费表'!R"&amp;$K$1)),0)</f>
        <v>5210</v>
      </c>
      <c r="C4" s="428"/>
      <c r="D4" s="422"/>
      <c r="E4" s="422"/>
      <c r="F4" s="422"/>
      <c r="G4" s="422"/>
      <c r="H4" s="422"/>
      <c r="I4" s="422"/>
      <c r="J4" s="422"/>
      <c r="K4" s="422"/>
    </row>
    <row r="5" spans="1:31" s="2043" customFormat="1" ht="18" customHeight="1" thickBot="1">
      <c r="A5" s="429"/>
      <c r="B5" s="430">
        <f ca="1">ROUND(B2/(IF(B1="",'数据-汇总表'!D3,INDIRECT("'数据-取费表'!R"&amp;$K$1))/666.67),0)</f>
        <v>347</v>
      </c>
      <c r="C5" s="431" t="s">
        <v>469</v>
      </c>
      <c r="D5" s="422"/>
      <c r="E5" s="422"/>
      <c r="F5" s="422"/>
      <c r="G5" s="422"/>
      <c r="H5" s="422"/>
      <c r="I5" s="422"/>
      <c r="J5" s="422"/>
      <c r="K5" s="422"/>
    </row>
    <row r="6" spans="1:31" s="2113" customFormat="1" ht="16.5" customHeight="1">
      <c r="A6" s="2830" t="s">
        <v>1842</v>
      </c>
      <c r="B6" s="2831"/>
      <c r="C6" s="2832">
        <f>SUM(C10:K10)</f>
        <v>120747</v>
      </c>
      <c r="D6" s="2831"/>
      <c r="E6" s="2831"/>
      <c r="F6" s="2831"/>
      <c r="G6" s="2831"/>
      <c r="H6" s="2831"/>
      <c r="I6" s="2831"/>
      <c r="J6" s="2831"/>
      <c r="K6" s="2833"/>
    </row>
    <row r="7" spans="1:31" s="2115" customFormat="1" ht="15">
      <c r="A7" s="2834" t="s">
        <v>470</v>
      </c>
      <c r="B7" s="2835" t="s">
        <v>471</v>
      </c>
      <c r="C7" s="436" t="s">
        <v>3025</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836">
        <f>'不动产比较法-办公'!C50</f>
        <v>5488</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220020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474</v>
      </c>
      <c r="C10" s="3030">
        <f>'不动产比较法-办公'!B2</f>
        <v>120747</v>
      </c>
      <c r="D10" s="3030"/>
      <c r="E10" s="3030"/>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1848</v>
      </c>
      <c r="B13" s="2845" t="s">
        <v>479</v>
      </c>
      <c r="C13" s="450">
        <f ca="1">IF(B1="",'数据-取费表'!P16,INDIRECT("'数据-取费表'!p"&amp;$K$1)+INDIRECT("'数据-取费表'!t"&amp;$K$1))</f>
        <v>39604</v>
      </c>
      <c r="D13" s="2846"/>
      <c r="E13" s="2847"/>
      <c r="F13" s="2848"/>
      <c r="G13" s="2814"/>
      <c r="H13" s="2815"/>
      <c r="I13" s="2815"/>
      <c r="J13" s="2815"/>
      <c r="K13" s="2816"/>
    </row>
    <row r="14" spans="1:31" s="2118" customFormat="1" ht="13.5" customHeight="1">
      <c r="A14" s="2844" t="s">
        <v>1849</v>
      </c>
      <c r="B14" s="2845" t="s">
        <v>480</v>
      </c>
      <c r="C14" s="53">
        <f ca="1">ROUND(C13*F14,0)</f>
        <v>1188</v>
      </c>
      <c r="D14" s="2846"/>
      <c r="E14" s="2847"/>
      <c r="F14" s="2849">
        <f>'数据-取费表'!B33</f>
        <v>0.03</v>
      </c>
      <c r="G14" s="2814" t="s">
        <v>481</v>
      </c>
      <c r="H14" s="2815"/>
      <c r="I14" s="2815"/>
      <c r="J14" s="2815"/>
      <c r="K14" s="2816"/>
    </row>
    <row r="15" spans="1:31" s="2118" customFormat="1" ht="13.5" customHeight="1">
      <c r="A15" s="2844" t="s">
        <v>1850</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1851</v>
      </c>
      <c r="B16" s="2845" t="s">
        <v>484</v>
      </c>
      <c r="C16" s="53">
        <f ca="1">ROUND(D16*E16/10000,0)</f>
        <v>4400</v>
      </c>
      <c r="D16" s="2846">
        <f ca="1">IF(B1="",'数据-汇总表'!E3,INDIRECT("'数据-取费表'!K"&amp;$K$1)+INDIRECT("'数据-取费表'!S"&amp;$K$1))</f>
        <v>220020</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485</v>
      </c>
      <c r="C17" s="2850">
        <f ca="1">ROUND(C13*F17,0)</f>
        <v>594</v>
      </c>
      <c r="D17" s="475"/>
      <c r="E17" s="2850"/>
      <c r="F17" s="2851">
        <f>'数据-取费表'!B36</f>
        <v>1.4999999999999999E-2</v>
      </c>
      <c r="G17" s="261" t="s">
        <v>486</v>
      </c>
      <c r="H17" s="2817"/>
      <c r="I17" s="2817"/>
      <c r="J17" s="2817"/>
      <c r="K17" s="279"/>
    </row>
    <row r="18" spans="1:14" s="2118" customFormat="1" ht="13.5" customHeight="1">
      <c r="A18" s="2852" t="s">
        <v>1853</v>
      </c>
      <c r="B18" s="2853" t="s">
        <v>487</v>
      </c>
      <c r="C18" s="2854">
        <f ca="1">SUM(C13:C17)</f>
        <v>45786</v>
      </c>
      <c r="D18" s="2855"/>
      <c r="E18" s="468"/>
      <c r="F18" s="468"/>
      <c r="G18" s="2818" t="s">
        <v>2432</v>
      </c>
      <c r="H18" s="2819"/>
      <c r="I18" s="2819"/>
      <c r="J18" s="2819"/>
      <c r="K18" s="2820"/>
    </row>
    <row r="19" spans="1:14" s="2118" customFormat="1" ht="13.5" customHeight="1">
      <c r="A19" s="2852" t="s">
        <v>1854</v>
      </c>
      <c r="B19" s="2853" t="s">
        <v>488</v>
      </c>
      <c r="C19" s="2810">
        <f ca="1">ROUND(D19*E19/10000,0)</f>
        <v>3300</v>
      </c>
      <c r="D19" s="2856">
        <f ca="1">D16</f>
        <v>220020</v>
      </c>
      <c r="E19" s="2810">
        <f>'数据-取费表'!B32</f>
        <v>150</v>
      </c>
      <c r="F19" s="468"/>
      <c r="G19" s="2814" t="s">
        <v>489</v>
      </c>
      <c r="H19" s="2815"/>
      <c r="I19" s="2819"/>
      <c r="J19" s="2819"/>
      <c r="K19" s="2820"/>
    </row>
    <row r="20" spans="1:14" s="2118" customFormat="1" ht="13.5" customHeight="1">
      <c r="A20" s="2852" t="s">
        <v>1855</v>
      </c>
      <c r="B20" s="2853" t="s">
        <v>490</v>
      </c>
      <c r="C20" s="2810">
        <f ca="1">C21+C22-IF(B1="",'数据-取费表'!B29,IF(G20="已全部缴纳",C21+C22,H20))</f>
        <v>1980</v>
      </c>
      <c r="D20" s="2856"/>
      <c r="E20" s="2810"/>
      <c r="F20" s="2857"/>
      <c r="G20" s="3090"/>
      <c r="H20" s="2812"/>
      <c r="I20" s="2813" t="s">
        <v>2653</v>
      </c>
      <c r="J20" s="2819"/>
      <c r="K20" s="2820"/>
    </row>
    <row r="21" spans="1:14" s="2118" customFormat="1" ht="13.5" customHeight="1">
      <c r="A21" s="2844" t="s">
        <v>1856</v>
      </c>
      <c r="B21" s="2845" t="s">
        <v>491</v>
      </c>
      <c r="C21" s="53">
        <f ca="1">ROUND(D21*E21/10000,0)</f>
        <v>0</v>
      </c>
      <c r="D21" s="2846">
        <f ca="1">IF(B1="",'数据-汇总表'!E5,IF(INDIRECT("'数据-取费表'!c"&amp;$K$1)="住宅",INDIRECT("'数据-取费表'!k"&amp;$K$1),0))</f>
        <v>0</v>
      </c>
      <c r="E21" s="53">
        <f>'数据-取费表'!B27</f>
        <v>90</v>
      </c>
      <c r="F21" s="2849"/>
      <c r="G21" s="26"/>
      <c r="H21" s="51"/>
      <c r="I21" s="51"/>
      <c r="J21" s="51"/>
      <c r="K21" s="2821"/>
    </row>
    <row r="22" spans="1:14" s="2118" customFormat="1" ht="13.5" customHeight="1">
      <c r="A22" s="2844" t="s">
        <v>1857</v>
      </c>
      <c r="B22" s="2845" t="s">
        <v>492</v>
      </c>
      <c r="C22" s="53">
        <f ca="1">ROUND(D22*E22/10000,0)</f>
        <v>1980</v>
      </c>
      <c r="D22" s="2846">
        <f ca="1">IF(B1="",'数据-汇总表'!E6,IF(INDIRECT("'数据-取费表'!c"&amp;$K$1)="住宅",INDIRECT("'数据-取费表'!s"&amp;$K$1),INDIRECT("'数据-取费表'!k"&amp;$K$1)+INDIRECT("'数据-取费表'!s"&amp;$K$1)))</f>
        <v>220020</v>
      </c>
      <c r="E22" s="53">
        <f>'数据-取费表'!B28</f>
        <v>90</v>
      </c>
      <c r="F22" s="2849"/>
      <c r="G22" s="26"/>
      <c r="H22" s="51"/>
      <c r="I22" s="51"/>
      <c r="J22" s="51"/>
      <c r="K22" s="2821"/>
    </row>
    <row r="23" spans="1:14" s="2118" customFormat="1" ht="13.5" customHeight="1">
      <c r="A23" s="2852" t="s">
        <v>1858</v>
      </c>
      <c r="B23" s="3036" t="s">
        <v>2836</v>
      </c>
      <c r="C23" s="2854">
        <f ca="1">ROUND((C18+C19+C20)*F23,0)</f>
        <v>1021</v>
      </c>
      <c r="D23" s="468"/>
      <c r="E23" s="468"/>
      <c r="F23" s="2858">
        <f>'数据-取费表'!B37</f>
        <v>0.02</v>
      </c>
      <c r="G23" s="2814" t="s">
        <v>2433</v>
      </c>
      <c r="H23" s="2815"/>
      <c r="I23" s="2815"/>
      <c r="J23" s="2815"/>
      <c r="K23" s="2816"/>
      <c r="L23" s="2120"/>
      <c r="M23" s="2120"/>
      <c r="N23" s="2120"/>
    </row>
    <row r="24" spans="1:14" s="2118" customFormat="1" ht="13.5" customHeight="1">
      <c r="A24" s="2852" t="s">
        <v>1859</v>
      </c>
      <c r="B24" s="3036" t="s">
        <v>2839</v>
      </c>
      <c r="C24" s="2854">
        <f>ROUND(C6*F24,0)</f>
        <v>2415</v>
      </c>
      <c r="D24" s="475"/>
      <c r="E24" s="473"/>
      <c r="F24" s="2858">
        <f>'数据-取费表'!B38</f>
        <v>0.02</v>
      </c>
      <c r="G24" s="2823" t="s">
        <v>499</v>
      </c>
      <c r="H24" s="2817"/>
      <c r="I24" s="2817"/>
      <c r="J24" s="2817"/>
      <c r="K24" s="279"/>
      <c r="L24" s="2120"/>
      <c r="M24" s="2120"/>
      <c r="N24" s="2120"/>
    </row>
    <row r="25" spans="1:14" s="2121" customFormat="1" ht="13.5" customHeight="1">
      <c r="A25" s="2852" t="s">
        <v>1860</v>
      </c>
      <c r="B25" s="3036"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7" t="s">
        <v>2838</v>
      </c>
      <c r="C26" s="2859">
        <f ca="1">C28</f>
        <v>2589</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1856</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2589</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1862</v>
      </c>
      <c r="B29" s="2853" t="s">
        <v>497</v>
      </c>
      <c r="C29" s="2854">
        <f>ROUND(C6*F29/(1+'数据-取费表'!C42),0)</f>
        <v>6440</v>
      </c>
      <c r="D29" s="468"/>
      <c r="E29" s="468"/>
      <c r="F29" s="3038">
        <f>'数据-取费表'!B41</f>
        <v>5.6000000000000001E-2</v>
      </c>
      <c r="G29" s="2823" t="s">
        <v>498</v>
      </c>
      <c r="H29" s="2815"/>
      <c r="I29" s="2815"/>
      <c r="J29" s="2815"/>
      <c r="K29" s="2816"/>
    </row>
    <row r="30" spans="1:14" s="2123" customFormat="1" ht="13.5" customHeight="1">
      <c r="A30" s="1636" t="s">
        <v>1863</v>
      </c>
      <c r="B30" s="2864" t="s">
        <v>500</v>
      </c>
      <c r="C30" s="2859">
        <f ca="1">C31</f>
        <v>63531</v>
      </c>
      <c r="D30" s="477">
        <f ca="1">C32</f>
        <v>0.12909999999999999</v>
      </c>
      <c r="E30" s="469" t="s">
        <v>495</v>
      </c>
      <c r="F30" s="471"/>
      <c r="G30" s="2822" t="s">
        <v>2976</v>
      </c>
      <c r="H30" s="2815"/>
      <c r="I30" s="2815"/>
      <c r="J30" s="2815"/>
      <c r="K30" s="2816"/>
    </row>
    <row r="31" spans="1:14" s="2122" customFormat="1" ht="13.5" customHeight="1">
      <c r="A31" s="803" t="s">
        <v>1856</v>
      </c>
      <c r="B31" s="2860"/>
      <c r="C31" s="450">
        <f ca="1">C18+C19+C20+C23+C24+C26+C29</f>
        <v>63531</v>
      </c>
      <c r="D31" s="472"/>
      <c r="E31" s="473"/>
      <c r="F31" s="474"/>
      <c r="G31" s="261"/>
      <c r="H31" s="2817"/>
      <c r="I31" s="2817"/>
      <c r="J31" s="2817"/>
      <c r="K31" s="279"/>
    </row>
    <row r="32" spans="1:14" s="2122" customFormat="1" ht="13.5" customHeight="1">
      <c r="A32" s="803" t="s">
        <v>1857</v>
      </c>
      <c r="B32" s="2860"/>
      <c r="C32" s="53">
        <f ca="1">ROUND(C25+D26,4)</f>
        <v>0.12909999999999999</v>
      </c>
      <c r="D32" s="472"/>
      <c r="E32" s="473"/>
      <c r="F32" s="474"/>
      <c r="G32" s="261"/>
      <c r="H32" s="2817"/>
      <c r="I32" s="2817"/>
      <c r="J32" s="2817"/>
      <c r="K32" s="279"/>
    </row>
    <row r="33" spans="1:11" s="2124" customFormat="1" ht="13.5" customHeight="1">
      <c r="A33" s="3035" t="s">
        <v>2835</v>
      </c>
      <c r="B33" s="3033" t="s">
        <v>2833</v>
      </c>
      <c r="C33" s="478">
        <f ca="1">C35</f>
        <v>8175</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1856</v>
      </c>
      <c r="B34" s="2865" t="s">
        <v>501</v>
      </c>
      <c r="C34" s="472">
        <f ca="1">ROUND((1+C25)*F33,4)</f>
        <v>0.15440000000000001</v>
      </c>
      <c r="D34" s="472"/>
      <c r="E34" s="473"/>
      <c r="F34" s="480"/>
      <c r="G34" s="261" t="s">
        <v>2292</v>
      </c>
      <c r="H34" s="2817"/>
      <c r="I34" s="2817"/>
      <c r="J34" s="2817"/>
      <c r="K34" s="279"/>
    </row>
    <row r="35" spans="1:11" s="2125" customFormat="1" ht="13.5" customHeight="1" thickBot="1">
      <c r="A35" s="1637" t="s">
        <v>1857</v>
      </c>
      <c r="B35" s="3034" t="s">
        <v>2841</v>
      </c>
      <c r="C35" s="1629">
        <f ca="1">ROUND((C18+C19+C20+C23+C24)*F33,0)</f>
        <v>8175</v>
      </c>
      <c r="D35" s="1630"/>
      <c r="E35" s="2866"/>
      <c r="F35" s="1631"/>
      <c r="G35" s="2824"/>
      <c r="H35" s="2825"/>
      <c r="I35" s="2825"/>
      <c r="J35" s="2825"/>
      <c r="K35" s="2826"/>
    </row>
    <row r="36" spans="1:11" s="2087" customFormat="1" ht="13.5" customHeight="1" thickBot="1">
      <c r="A36" s="284" t="s">
        <v>1844</v>
      </c>
      <c r="B36" s="2828"/>
      <c r="C36" s="2867">
        <f ca="1">ROUND((C6-C30-C33)/(1+D30+D33),0)</f>
        <v>38209</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7" spans="1:4" ht="56.25">
      <c r="A7" s="1797" t="s">
        <v>2749</v>
      </c>
    </row>
    <row r="8" spans="1:4" ht="18.75">
      <c r="A8" s="1796" t="s">
        <v>1906</v>
      </c>
    </row>
    <row r="9" spans="1:4" ht="75">
      <c r="A9" s="1798" t="str">
        <f>IF(项目基本情况!B8="抵押",IF(项目基本情况!B5=项目基本情况!B6,定义!C51,定义!B51),定义!D51)</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2018年12月5日</v>
      </c>
    </row>
    <row r="12" spans="1:4" ht="18.75">
      <c r="A12" s="1799" t="s">
        <v>2027</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根据《国有土地使用证》[]，估价对象（分摊）出让国有建设用地使用权面积为73340平方米。根据《建设工程规划许可证》[]、《出让合同》[]，估价对象规划建筑面积为220020平方米。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本次估价对象为出让国有建设用地使用权，《国有土地使用证》[]证载土地终止日期为商业2052年10月17日。截至估价期日，出让国有建设用地使用权剩余土地使用年限为。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G34" activeCellId="1" sqref="G32 G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27" t="s">
        <v>951</v>
      </c>
      <c r="E1" s="2389" t="s">
        <v>2376</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0</v>
      </c>
      <c r="D5" s="2498" t="s">
        <v>2463</v>
      </c>
      <c r="E5" s="2492"/>
      <c r="F5" s="2493"/>
      <c r="G5" s="1593"/>
      <c r="H5" s="781">
        <v>1</v>
      </c>
      <c r="I5" s="782" t="s">
        <v>2460</v>
      </c>
      <c r="J5" s="55">
        <f ca="1">J6+J10+J12</f>
        <v>0</v>
      </c>
      <c r="K5" s="2498" t="s">
        <v>2463</v>
      </c>
      <c r="L5" s="2492"/>
      <c r="M5" s="2493"/>
    </row>
    <row r="6" spans="1:33" ht="18" customHeight="1">
      <c r="A6" s="1832" t="s">
        <v>1824</v>
      </c>
      <c r="B6" s="3438" t="s">
        <v>2465</v>
      </c>
      <c r="C6" s="783">
        <f ca="1">ROUND(F6*F8*F7*(1-F9)/10000,0)</f>
        <v>0</v>
      </c>
      <c r="D6" s="2499" t="s">
        <v>2464</v>
      </c>
      <c r="E6" s="784" t="s">
        <v>1738</v>
      </c>
      <c r="F6" s="785">
        <f ca="1">INDIRECT("'数据-取费表'!u"&amp;$G$1)</f>
        <v>0</v>
      </c>
      <c r="G6" s="1593"/>
      <c r="H6" s="2506" t="s">
        <v>2470</v>
      </c>
      <c r="I6" s="3438" t="s">
        <v>2465</v>
      </c>
      <c r="J6" s="783">
        <f ca="1">ROUND(M6*M8*M7*(1-M9)/10000,0)</f>
        <v>0</v>
      </c>
      <c r="K6" s="341" t="s">
        <v>1737</v>
      </c>
      <c r="L6" s="784" t="s">
        <v>1738</v>
      </c>
      <c r="M6" s="785">
        <f ca="1">INDIRECT("'数据-取费表'!z"&amp;$G$1)</f>
        <v>0</v>
      </c>
    </row>
    <row r="7" spans="1:33" ht="18" customHeight="1">
      <c r="A7" s="2502"/>
      <c r="B7" s="3439"/>
      <c r="C7" s="788"/>
      <c r="D7" s="789"/>
      <c r="E7" s="784" t="s">
        <v>1739</v>
      </c>
      <c r="F7" s="785">
        <f ca="1">IF(INDIRECT("'数据-取费表'!ah"&amp;$G$1)="",INDIRECT("'数据-取费表'!k"&amp;$G$1),INDIRECT("'数据-取费表'!ah"&amp;$G$1))</f>
        <v>0</v>
      </c>
      <c r="G7" s="1593"/>
      <c r="H7" s="2491"/>
      <c r="I7" s="3439"/>
      <c r="J7" s="788"/>
      <c r="K7" s="789"/>
      <c r="L7" s="784" t="s">
        <v>1739</v>
      </c>
      <c r="M7" s="785">
        <f ca="1">F7</f>
        <v>0</v>
      </c>
    </row>
    <row r="8" spans="1:33" ht="18" customHeight="1">
      <c r="A8" s="2495"/>
      <c r="B8" s="3440"/>
      <c r="C8" s="788"/>
      <c r="D8" s="789"/>
      <c r="E8" s="784" t="s">
        <v>1740</v>
      </c>
      <c r="F8" s="785">
        <f ca="1">INDIRECT("'数据-取费表'!ai"&amp;$G$1)</f>
        <v>0</v>
      </c>
      <c r="G8" s="1593"/>
      <c r="H8" s="2491"/>
      <c r="I8" s="3440"/>
      <c r="J8" s="788"/>
      <c r="K8" s="789"/>
      <c r="L8" s="784" t="s">
        <v>1740</v>
      </c>
      <c r="M8" s="785">
        <f ca="1">INDIRECT("'数据-取费表'!ai"&amp;$G$1)</f>
        <v>0</v>
      </c>
    </row>
    <row r="9" spans="1:33" ht="18" customHeight="1">
      <c r="A9" s="786"/>
      <c r="B9" s="3441"/>
      <c r="C9" s="788"/>
      <c r="D9" s="789"/>
      <c r="E9" s="784" t="s">
        <v>1741</v>
      </c>
      <c r="F9" s="794">
        <f ca="1">INDIRECT("'数据-取费表'!w"&amp;$G$1)</f>
        <v>0</v>
      </c>
      <c r="G9" s="1593"/>
      <c r="H9" s="2507"/>
      <c r="I9" s="3440"/>
      <c r="J9" s="788"/>
      <c r="K9" s="789"/>
      <c r="L9" s="795" t="s">
        <v>1741</v>
      </c>
      <c r="M9" s="796">
        <f ca="1">INDIRECT("'数据-取费表'!ab"&amp;$G$1)</f>
        <v>0</v>
      </c>
    </row>
    <row r="10" spans="1:33" ht="18" customHeight="1">
      <c r="A10" s="1832" t="s">
        <v>2468</v>
      </c>
      <c r="B10" s="2496" t="s">
        <v>2461</v>
      </c>
      <c r="C10" s="799">
        <f ca="1">ROUND(IF(F10="押一",C6/12*F11,IF(F10="押二",C6/12*2*F11,IF(F10="押三",C6/12*3*F11,C11*F11))),0)</f>
        <v>0</v>
      </c>
      <c r="D10" s="2503" t="s">
        <v>2978</v>
      </c>
      <c r="E10" s="2500" t="s">
        <v>2466</v>
      </c>
      <c r="F10" s="2623"/>
      <c r="G10" s="1593"/>
      <c r="H10" s="2563" t="s">
        <v>2471</v>
      </c>
      <c r="I10" s="2568" t="s">
        <v>2461</v>
      </c>
      <c r="J10" s="783">
        <f ca="1">ROUND(IF(M10="押一",J6/12*M11,IF(M10="押二",J6/12*2*M11,IF(M10="押三",J6/12*3*M11,J11*M11))),0)</f>
        <v>0</v>
      </c>
      <c r="K10" s="2503" t="s">
        <v>2978</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f ca="1">ROUND(C29*F13,0)</f>
        <v>0</v>
      </c>
      <c r="D13" s="1836" t="s">
        <v>2299</v>
      </c>
      <c r="E13" s="1836" t="s">
        <v>1744</v>
      </c>
      <c r="F13" s="2538">
        <f ca="1">INDIRECT("'数据-取费表'!y"&amp;$G$1)</f>
        <v>0</v>
      </c>
      <c r="G13" s="1593"/>
      <c r="H13" s="1831">
        <v>2</v>
      </c>
      <c r="I13" s="1829" t="s">
        <v>1742</v>
      </c>
      <c r="J13" s="1821">
        <f ca="1">ROUND(J14*J15,0)</f>
        <v>0</v>
      </c>
      <c r="K13" s="1823" t="s">
        <v>1743</v>
      </c>
      <c r="L13" s="2554"/>
      <c r="M13" s="2555"/>
    </row>
    <row r="14" spans="1:33" ht="18" customHeight="1">
      <c r="A14" s="1649" t="s">
        <v>1884</v>
      </c>
      <c r="B14" s="784" t="s">
        <v>645</v>
      </c>
      <c r="C14" s="804">
        <f ca="1">INDIRECT("'数据-取费表'!m"&amp;$G$1)+INDIRECT("'数据-取费表'!t"&amp;$G$1)</f>
        <v>0</v>
      </c>
      <c r="D14" s="1981" t="s">
        <v>1745</v>
      </c>
      <c r="E14" s="1982"/>
      <c r="F14" s="805"/>
      <c r="G14" s="1593"/>
      <c r="H14" s="1650" t="s">
        <v>1830</v>
      </c>
      <c r="I14" s="2233" t="s">
        <v>2828</v>
      </c>
      <c r="J14" s="53">
        <f ca="1">C29</f>
        <v>0</v>
      </c>
      <c r="K14" s="26"/>
      <c r="L14" s="801"/>
      <c r="M14" s="802"/>
    </row>
    <row r="15" spans="1:33" s="2066" customFormat="1" ht="18" customHeight="1" thickBot="1">
      <c r="A15" s="1649" t="s">
        <v>1885</v>
      </c>
      <c r="B15" s="784" t="s">
        <v>647</v>
      </c>
      <c r="C15" s="53">
        <f ca="1">ROUND(C14*F15,0)</f>
        <v>0</v>
      </c>
      <c r="D15" s="806" t="s">
        <v>1746</v>
      </c>
      <c r="E15" s="806" t="s">
        <v>1747</v>
      </c>
      <c r="F15" s="807">
        <f>'数据-取费表'!B33</f>
        <v>0.03</v>
      </c>
      <c r="G15" s="1594"/>
      <c r="H15" s="2553" t="s">
        <v>1889</v>
      </c>
      <c r="I15" s="2548" t="s">
        <v>1744</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488"/>
      <c r="M16" s="2493"/>
    </row>
    <row r="17" spans="1:33" s="2066" customFormat="1" ht="18" customHeight="1">
      <c r="A17" s="1649" t="s">
        <v>1887</v>
      </c>
      <c r="B17" s="784" t="s">
        <v>653</v>
      </c>
      <c r="C17" s="53">
        <f ca="1">ROUND(F17*(F43+INDIRECT("'数据-取费表'!S"&amp;$G$1))/10000,0)</f>
        <v>0</v>
      </c>
      <c r="D17" s="784" t="s">
        <v>1751</v>
      </c>
      <c r="E17" s="784" t="s">
        <v>1752</v>
      </c>
      <c r="F17" s="56">
        <f>'数据-取费表'!B35</f>
        <v>200</v>
      </c>
      <c r="G17" s="1594"/>
      <c r="H17" s="1650" t="s">
        <v>1830</v>
      </c>
      <c r="I17" s="784" t="s">
        <v>656</v>
      </c>
      <c r="J17" s="53">
        <f ca="1">ROUND(IF(项目基本情况!B11="自然人",J5*M17,J18+J19+J20),0)</f>
        <v>0</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659</v>
      </c>
      <c r="C18" s="53">
        <f ca="1">ROUND(C14*F18,0)</f>
        <v>0</v>
      </c>
      <c r="D18" s="784" t="s">
        <v>1746</v>
      </c>
      <c r="E18" s="784" t="s">
        <v>1747</v>
      </c>
      <c r="F18" s="809">
        <f>'数据-取费表'!B36</f>
        <v>1.4999999999999999E-2</v>
      </c>
      <c r="G18" s="1594"/>
      <c r="H18" s="1649" t="s">
        <v>1884</v>
      </c>
      <c r="I18" s="784" t="s">
        <v>1755</v>
      </c>
      <c r="J18" s="53">
        <f ca="1">ROUND(J5*M18/1.05,1)</f>
        <v>0</v>
      </c>
      <c r="K18" s="2486" t="s">
        <v>1756</v>
      </c>
      <c r="L18" s="784" t="s">
        <v>1747</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662</v>
      </c>
      <c r="C19" s="53">
        <f ca="1">SUM(C14:C18)</f>
        <v>0</v>
      </c>
      <c r="D19" s="261" t="s">
        <v>1757</v>
      </c>
      <c r="E19" s="1984"/>
      <c r="F19" s="56"/>
      <c r="G19" s="1593"/>
      <c r="H19" s="1649" t="s">
        <v>1885</v>
      </c>
      <c r="I19" s="784" t="s">
        <v>1758</v>
      </c>
      <c r="J19" s="53">
        <f ca="1">IF(K19="按租金收入计税",ROUND(J5*M19,1),ROUND(C29*F33*0.7,1))</f>
        <v>0</v>
      </c>
      <c r="K19" s="811" t="s">
        <v>665</v>
      </c>
      <c r="L19" s="784" t="s">
        <v>1747</v>
      </c>
      <c r="M19" s="809">
        <f>IF(K19="按租金收入计税",'数据-取费表'!B51,'数据-取费表'!B50)</f>
        <v>1.2E-2</v>
      </c>
    </row>
    <row r="20" spans="1:33" s="2066" customFormat="1" ht="18" customHeight="1">
      <c r="A20" s="1650" t="s">
        <v>1889</v>
      </c>
      <c r="B20" s="784" t="s">
        <v>666</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8</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08"/>
      <c r="I21" s="793"/>
      <c r="J21" s="69"/>
      <c r="K21" s="816"/>
      <c r="L21" s="784" t="s">
        <v>1766</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486" t="s">
        <v>1769</v>
      </c>
      <c r="L22" s="784" t="s">
        <v>1747</v>
      </c>
      <c r="M22" s="817">
        <f ca="1">INDIRECT("'数据-取费表'!Ak"&amp;$G$1)</f>
        <v>0</v>
      </c>
    </row>
    <row r="23" spans="1:33" s="2066" customFormat="1" ht="18" customHeight="1">
      <c r="A23" s="1649" t="s">
        <v>1831</v>
      </c>
      <c r="B23" s="784" t="s">
        <v>2537</v>
      </c>
      <c r="C23" s="53">
        <f ca="1">ROUND(IF('数据-取费表'!B22&lt;=1,(C19+C20)*F24*F23/2,(C19+C20)*(POWER((1+F24),F23/2)-1)),0)</f>
        <v>0</v>
      </c>
      <c r="D23" s="2573"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6" t="s">
        <v>1771</v>
      </c>
      <c r="L23" s="784" t="s">
        <v>1747</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73" t="str">
        <f>IF(F23&lt;=1,"销售费用×利率×(建设周期÷2)","销售费用×((1+利率)^(建设周期÷2)-1)")</f>
        <v>销售费用×((1+利率)^(建设周期÷2)-1)</v>
      </c>
      <c r="E24" s="784" t="s">
        <v>1773</v>
      </c>
      <c r="F24" s="819">
        <f ca="1">'数据-取费表'!B40</f>
        <v>4.7500000000000001E-2</v>
      </c>
      <c r="G24" s="1594"/>
      <c r="H24" s="2553" t="s">
        <v>1891</v>
      </c>
      <c r="I24" s="2548" t="s">
        <v>666</v>
      </c>
      <c r="J24" s="2546">
        <f ca="1">ROUND(J5*M24,0)</f>
        <v>0</v>
      </c>
      <c r="K24" s="2547" t="s">
        <v>1774</v>
      </c>
      <c r="L24" s="2548" t="s">
        <v>1747</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684</v>
      </c>
      <c r="C25" s="53"/>
      <c r="D25" s="261" t="s">
        <v>1775</v>
      </c>
      <c r="E25" s="1984"/>
      <c r="F25" s="56"/>
      <c r="G25" s="1593"/>
      <c r="H25" s="1831" t="s">
        <v>1776</v>
      </c>
      <c r="I25" s="3011" t="s">
        <v>2824</v>
      </c>
      <c r="J25" s="792">
        <f ca="1">J5-J16</f>
        <v>0</v>
      </c>
      <c r="K25" s="2550" t="s">
        <v>1777</v>
      </c>
      <c r="L25" s="2551"/>
      <c r="M25" s="2552"/>
    </row>
    <row r="26" spans="1:33" ht="18" customHeight="1">
      <c r="A26" s="1649" t="s">
        <v>1831</v>
      </c>
      <c r="B26" s="784" t="s">
        <v>2440</v>
      </c>
      <c r="C26" s="53">
        <f ca="1">ROUND((C19+C20)*F26,0)</f>
        <v>0</v>
      </c>
      <c r="D26" s="812" t="s">
        <v>1778</v>
      </c>
      <c r="E26" s="795" t="s">
        <v>1779</v>
      </c>
      <c r="F26" s="794">
        <f ca="1">INDIRECT("'数据-取费表'!q"&amp;$G$1)</f>
        <v>0</v>
      </c>
      <c r="G26" s="1593"/>
      <c r="H26" s="2504" t="s">
        <v>1780</v>
      </c>
      <c r="I26" s="2234" t="s">
        <v>2829</v>
      </c>
      <c r="J26" s="783">
        <f ca="1">IF(J5&lt;&gt;0,ROUND(J25*(1-((1+M28)/(1+M26))^M27)/(M26-M28),0),0)</f>
        <v>0</v>
      </c>
      <c r="K26" s="814" t="s">
        <v>1781</v>
      </c>
      <c r="L26" s="784" t="s">
        <v>2421</v>
      </c>
      <c r="M26" s="794">
        <f ca="1">INDIRECT("'数据-取费表'!I"&amp;$G$1)</f>
        <v>0</v>
      </c>
    </row>
    <row r="27" spans="1:33" ht="18" customHeight="1">
      <c r="A27" s="1649" t="s">
        <v>1832</v>
      </c>
      <c r="B27" s="784" t="s">
        <v>686</v>
      </c>
      <c r="C27" s="53">
        <f ca="1">ROUND(F21*F26,4)</f>
        <v>0</v>
      </c>
      <c r="D27" s="812" t="s">
        <v>1782</v>
      </c>
      <c r="E27" s="806"/>
      <c r="F27" s="807"/>
      <c r="G27" s="1593"/>
      <c r="H27" s="2505"/>
      <c r="I27" s="787"/>
      <c r="J27" s="788"/>
      <c r="K27" s="821" t="s">
        <v>1783</v>
      </c>
      <c r="L27" s="784" t="s">
        <v>1784</v>
      </c>
      <c r="M27" s="822">
        <f ca="1">INDIRECT("'数据-取费表'!ag"&amp;$G$1)</f>
        <v>0</v>
      </c>
    </row>
    <row r="28" spans="1:33" s="2066" customFormat="1" ht="18" customHeight="1">
      <c r="A28" s="1651" t="s">
        <v>1841</v>
      </c>
      <c r="B28" s="784" t="s">
        <v>687</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f ca="1">ROUND((C19+C20+C23+C26)/(1-F21-C24-C27-C28),0)</f>
        <v>0</v>
      </c>
      <c r="D29" s="2547"/>
      <c r="E29" s="2548"/>
      <c r="F29" s="2549"/>
      <c r="G29" s="1594"/>
      <c r="H29" s="823" t="s">
        <v>1787</v>
      </c>
      <c r="I29" s="824" t="s">
        <v>1788</v>
      </c>
      <c r="J29" s="825">
        <f ca="1">ROUND(J26/(1+F40)^F41,0)</f>
        <v>0</v>
      </c>
      <c r="K29" s="826" t="s">
        <v>1789</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488"/>
      <c r="F30" s="2493"/>
      <c r="G30" s="2064"/>
      <c r="H30" s="2067"/>
      <c r="I30" s="2068"/>
      <c r="J30" s="2069"/>
      <c r="K30" s="2070"/>
      <c r="L30" s="2071"/>
      <c r="M30" s="2072"/>
    </row>
    <row r="31" spans="1:33" ht="18" customHeight="1">
      <c r="A31" s="1650" t="s">
        <v>1830</v>
      </c>
      <c r="B31" s="784" t="s">
        <v>656</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679</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53" t="s">
        <v>1891</v>
      </c>
      <c r="B38" s="2548" t="s">
        <v>666</v>
      </c>
      <c r="C38" s="2546">
        <f ca="1">ROUND(C5*F38,1)</f>
        <v>0</v>
      </c>
      <c r="D38" s="2547" t="s">
        <v>1805</v>
      </c>
      <c r="E38" s="2548" t="s">
        <v>1796</v>
      </c>
      <c r="F38" s="2544">
        <f ca="1">INDIRECT("'数据-取费表'!Am"&amp;$G$1)</f>
        <v>0</v>
      </c>
      <c r="G38" s="2064"/>
      <c r="H38" s="2079"/>
      <c r="I38" s="843" t="s">
        <v>1817</v>
      </c>
      <c r="J38" s="844"/>
      <c r="K38" s="2085"/>
      <c r="L38" s="2079"/>
      <c r="M38" s="2079"/>
    </row>
    <row r="39" spans="1:18" ht="24.6" customHeight="1" thickTop="1">
      <c r="A39" s="1831" t="s">
        <v>1894</v>
      </c>
      <c r="B39" s="3011" t="s">
        <v>2824</v>
      </c>
      <c r="C39" s="792">
        <f ca="1">C5-C30</f>
        <v>0</v>
      </c>
      <c r="D39" s="2550" t="s">
        <v>1806</v>
      </c>
      <c r="E39" s="2551"/>
      <c r="F39" s="2552"/>
      <c r="G39" s="2064"/>
      <c r="H39" s="2079"/>
      <c r="I39" s="837" t="s">
        <v>1818</v>
      </c>
      <c r="J39" s="845" t="e">
        <f ca="1">ROUND(J35/C39,3)</f>
        <v>#DIV/0!</v>
      </c>
      <c r="K39" s="2085"/>
      <c r="L39" s="2079"/>
      <c r="M39" s="2079"/>
    </row>
    <row r="40" spans="1:18" ht="18" customHeight="1">
      <c r="A40" s="781" t="s">
        <v>1895</v>
      </c>
      <c r="B40" s="2234" t="s">
        <v>2303</v>
      </c>
      <c r="C40" s="783" t="e">
        <f ca="1">ROUND(C39*(1-((1+F42)/(1+F40))^F41)/(F40-F42),0)</f>
        <v>#DIV/0!</v>
      </c>
      <c r="D40" s="814" t="s">
        <v>1807</v>
      </c>
      <c r="E40" s="784" t="s">
        <v>2421</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#DIV/0!</v>
      </c>
      <c r="D46" s="2087"/>
      <c r="E46" s="2087"/>
      <c r="F46" s="2087"/>
      <c r="I46" s="2380" t="s">
        <v>2345</v>
      </c>
      <c r="J46" s="2381"/>
      <c r="K46" s="2382"/>
      <c r="L46" s="3162" t="e">
        <f ca="1">IF(OR(M47="住宅",D1="土地（套用方法）"),0,IF(L48&gt;J51,L60,J60))</f>
        <v>#DIV/0!</v>
      </c>
      <c r="O46" s="2396" t="s">
        <v>2412</v>
      </c>
      <c r="P46" s="1593"/>
      <c r="Q46" s="1605"/>
      <c r="R46" s="1593"/>
    </row>
    <row r="47" spans="1:18" s="2061" customFormat="1" ht="18" customHeight="1" thickBot="1">
      <c r="A47" s="2374">
        <v>1</v>
      </c>
      <c r="B47" s="2375" t="s">
        <v>635</v>
      </c>
      <c r="C47" s="2576">
        <f ca="1">C48+C52+C54</f>
        <v>0</v>
      </c>
      <c r="D47" s="2087"/>
      <c r="E47" s="2087"/>
      <c r="F47" s="2087"/>
      <c r="I47" s="3152" t="s">
        <v>2346</v>
      </c>
      <c r="J47" s="2383"/>
      <c r="K47" s="3159" t="s">
        <v>2351</v>
      </c>
      <c r="L47" s="3163">
        <f ca="1">INDIRECT("'数据-取费表'!d"&amp;$G$1)</f>
        <v>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8" t="s">
        <v>2347</v>
      </c>
      <c r="J48" s="2384"/>
      <c r="K48" s="3160" t="s">
        <v>2353</v>
      </c>
      <c r="L48" s="1910">
        <f ca="1">INDIRECT("'数据-取费表'!f"&amp;$G$1)</f>
        <v>0</v>
      </c>
      <c r="O48" s="2400" t="s">
        <v>2381</v>
      </c>
      <c r="P48" s="2401" t="s">
        <v>2407</v>
      </c>
      <c r="Q48" s="2402" t="e">
        <f ca="1">C40+J29</f>
        <v>#DIV/0!</v>
      </c>
      <c r="R48" s="2401" t="s">
        <v>2382</v>
      </c>
    </row>
    <row r="49" spans="1:18" s="2061" customFormat="1" ht="18" customHeight="1" thickBot="1">
      <c r="A49" s="786"/>
      <c r="B49" s="787"/>
      <c r="C49" s="788"/>
      <c r="D49" s="789"/>
      <c r="E49" s="784" t="s">
        <v>1739</v>
      </c>
      <c r="F49" s="785">
        <f ca="1">F7</f>
        <v>0</v>
      </c>
      <c r="G49" s="2092"/>
      <c r="H49" s="2095"/>
      <c r="I49" s="3128" t="s">
        <v>2348</v>
      </c>
      <c r="J49" s="2385"/>
      <c r="K49" s="3161" t="s">
        <v>2354</v>
      </c>
      <c r="L49" s="2386"/>
      <c r="O49" s="2400" t="s">
        <v>2383</v>
      </c>
      <c r="P49" s="2401" t="s">
        <v>2408</v>
      </c>
      <c r="Q49" s="2402" t="e">
        <f ca="1">J60</f>
        <v>#DIV/0!</v>
      </c>
      <c r="R49" s="2401" t="s">
        <v>2384</v>
      </c>
    </row>
    <row r="50" spans="1:18" s="2061" customFormat="1" ht="18" customHeight="1" thickBot="1">
      <c r="A50" s="786"/>
      <c r="B50" s="787"/>
      <c r="C50" s="788"/>
      <c r="D50" s="789"/>
      <c r="E50" s="784" t="s">
        <v>1740</v>
      </c>
      <c r="F50" s="785">
        <f ca="1">F8</f>
        <v>0</v>
      </c>
      <c r="G50" s="2097"/>
      <c r="H50" s="2095"/>
      <c r="I50" s="3128" t="s">
        <v>2349</v>
      </c>
      <c r="J50" s="3156">
        <f>SUMPRODUCT((I63:I65=J47)*(J62:L62=J48)*(J63:L65))</f>
        <v>0</v>
      </c>
      <c r="K50" s="3161" t="s">
        <v>2355</v>
      </c>
      <c r="L50" s="2386"/>
      <c r="O50" s="2403" t="s">
        <v>2385</v>
      </c>
      <c r="P50" s="2401" t="s">
        <v>2409</v>
      </c>
      <c r="Q50" s="2402">
        <f ca="1">C29</f>
        <v>0</v>
      </c>
      <c r="R50" s="2401" t="s">
        <v>2382</v>
      </c>
    </row>
    <row r="51" spans="1:18" s="2061" customFormat="1" ht="18" customHeight="1" thickBot="1">
      <c r="A51" s="786"/>
      <c r="B51" s="787"/>
      <c r="C51" s="788"/>
      <c r="D51" s="789"/>
      <c r="E51" s="784" t="s">
        <v>640</v>
      </c>
      <c r="F51" s="2373"/>
      <c r="H51" s="2095"/>
      <c r="I51" s="3153" t="s">
        <v>2350</v>
      </c>
      <c r="J51" s="3157">
        <f>IF(J49="",J50,J49+J50-YEAR('数据-取费表'!B2))</f>
        <v>0</v>
      </c>
      <c r="K51" s="3128" t="s">
        <v>2356</v>
      </c>
      <c r="L51" s="3164">
        <f ca="1">ROUND(-PV(INDIRECT("'数据-取费表'!h"&amp;$G$1),L48,(C39-C13*J36),0),0)</f>
        <v>0</v>
      </c>
      <c r="O51" s="2403" t="s">
        <v>2386</v>
      </c>
      <c r="P51" s="2401" t="s">
        <v>2387</v>
      </c>
      <c r="Q51" s="2404" t="e">
        <f ca="1">J58</f>
        <v>#DIV/0!</v>
      </c>
      <c r="R51" s="2405"/>
    </row>
    <row r="52" spans="1:18" s="2061" customFormat="1" ht="18" customHeight="1" thickBot="1">
      <c r="A52" s="781" t="s">
        <v>2538</v>
      </c>
      <c r="B52" s="2496" t="s">
        <v>2461</v>
      </c>
      <c r="C52" s="799">
        <f ca="1">ROUND(IF(F52="押一",C48/12*F11,IF(F52="押二",C48/12*2*F11,IF(F52="押三",C48/12*3*F11,C53*F11))),0)</f>
        <v>0</v>
      </c>
      <c r="D52" s="2503" t="s">
        <v>2979</v>
      </c>
      <c r="E52" s="2500" t="s">
        <v>2466</v>
      </c>
      <c r="F52" s="2623"/>
      <c r="I52" s="3154" t="s">
        <v>2423</v>
      </c>
      <c r="J52" s="2387"/>
      <c r="K52" s="3154" t="s">
        <v>2422</v>
      </c>
      <c r="L52" s="2387"/>
      <c r="O52" s="2403" t="s">
        <v>2388</v>
      </c>
      <c r="P52" s="2401" t="s">
        <v>2389</v>
      </c>
      <c r="Q52" s="2404">
        <f>J52</f>
        <v>0</v>
      </c>
      <c r="R52" s="2405"/>
    </row>
    <row r="53" spans="1:18" s="2061" customFormat="1" ht="39.75" customHeight="1" thickBot="1">
      <c r="A53" s="786"/>
      <c r="B53" s="2497" t="s">
        <v>2575</v>
      </c>
      <c r="C53" s="2501"/>
      <c r="D53" s="2503"/>
      <c r="E53" s="2500"/>
      <c r="F53" s="800"/>
      <c r="I53" s="3155" t="s">
        <v>2983</v>
      </c>
      <c r="J53" s="3158">
        <f ca="1">IF(M47="住宅",IF(D1="——",MAX(J51,L48),MAX(J51,L48-'数据-取费表'!B20)),IF(D1="——",MIN(J51,L48),MIN(J51,L48-'数据-取费表'!B20)))</f>
        <v>0</v>
      </c>
      <c r="K53" s="3454" t="s">
        <v>2970</v>
      </c>
      <c r="L53" s="3455"/>
      <c r="O53" s="2403" t="s">
        <v>2390</v>
      </c>
      <c r="P53" s="2401" t="s">
        <v>2391</v>
      </c>
      <c r="Q53" s="2402">
        <f ca="1">J53</f>
        <v>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2393</v>
      </c>
      <c r="P54" s="2401" t="s">
        <v>2410</v>
      </c>
      <c r="Q54" s="2402" t="e">
        <f ca="1">Q48+Q49</f>
        <v>#DIV/0!</v>
      </c>
      <c r="R54" s="2405" t="s">
        <v>2394</v>
      </c>
    </row>
    <row r="55" spans="1:18" s="2061" customFormat="1" ht="18" customHeight="1" thickTop="1" thickBot="1">
      <c r="A55" s="797">
        <v>2</v>
      </c>
      <c r="B55" s="798" t="s">
        <v>644</v>
      </c>
      <c r="C55" s="799">
        <f ca="1">C13</f>
        <v>0</v>
      </c>
      <c r="D55" s="795"/>
      <c r="E55" s="795"/>
      <c r="F55" s="800"/>
      <c r="I55" s="3167" t="s">
        <v>2357</v>
      </c>
      <c r="J55" s="3103" t="e">
        <f ca="1">ROUND(IF(J47="钢混",J57/J50,1-(1-2%)*(J50-J57)/J50),3)</f>
        <v>#DIV/0!</v>
      </c>
      <c r="K55" s="3168" t="s">
        <v>2358</v>
      </c>
      <c r="L55" s="2388"/>
      <c r="O55" s="2406" t="s">
        <v>2413</v>
      </c>
      <c r="P55" s="1593"/>
      <c r="Q55" s="1605"/>
      <c r="R55" s="1593"/>
    </row>
    <row r="56" spans="1:18" s="2061" customFormat="1" ht="42.75" customHeight="1" thickBot="1">
      <c r="A56" s="1651"/>
      <c r="B56" s="2233" t="s">
        <v>2304</v>
      </c>
      <c r="C56" s="53">
        <f ca="1">C29</f>
        <v>0</v>
      </c>
      <c r="D56" s="2641"/>
      <c r="E56" s="784"/>
      <c r="F56" s="809"/>
      <c r="I56" s="3169" t="s">
        <v>2359</v>
      </c>
      <c r="J56" s="3179"/>
      <c r="K56" s="3128" t="s">
        <v>2364</v>
      </c>
      <c r="L56" s="1910">
        <f ca="1">IF(L48&lt;J51,"——",L48-J51)</f>
        <v>0</v>
      </c>
      <c r="O56" s="2397" t="s">
        <v>2377</v>
      </c>
      <c r="P56" s="2398" t="s">
        <v>2378</v>
      </c>
      <c r="Q56" s="2399" t="s">
        <v>2379</v>
      </c>
      <c r="R56" s="2398" t="s">
        <v>2380</v>
      </c>
    </row>
    <row r="57" spans="1:18" s="2061" customFormat="1" ht="28.5" customHeight="1" thickBot="1">
      <c r="A57" s="797" t="s">
        <v>1748</v>
      </c>
      <c r="B57" s="798" t="s">
        <v>651</v>
      </c>
      <c r="C57" s="799">
        <f ca="1">ROUND(C58+C63+C64+C65,0)</f>
        <v>0</v>
      </c>
      <c r="D57" s="26" t="s">
        <v>1750</v>
      </c>
      <c r="E57" s="2642"/>
      <c r="F57" s="56"/>
      <c r="I57" s="3170" t="s">
        <v>2360</v>
      </c>
      <c r="J57" s="3171">
        <f ca="1">IF(OR(M47="住宅",J51&lt;L48,J56="是"),"——",J51-L48)</f>
        <v>0</v>
      </c>
      <c r="K57" s="3128" t="s">
        <v>2365</v>
      </c>
      <c r="L57" s="1910">
        <f ca="1">IF(L48&lt;J51,"——",IF(L55="比较法",L49,IF(L55="基准地价",L50,L51)))</f>
        <v>0</v>
      </c>
      <c r="O57" s="2400" t="s">
        <v>2381</v>
      </c>
      <c r="P57" s="2401" t="s">
        <v>2411</v>
      </c>
      <c r="Q57" s="2402" t="e">
        <f ca="1">C40+J29</f>
        <v>#DIV/0!</v>
      </c>
      <c r="R57" s="2401" t="s">
        <v>2382</v>
      </c>
    </row>
    <row r="58" spans="1:18" s="2061" customFormat="1" ht="28.5" customHeight="1" thickBot="1">
      <c r="A58" s="1650" t="s">
        <v>1824</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2361</v>
      </c>
      <c r="J58" s="3104" t="e">
        <f ca="1">IF(J55&lt;0.4,0.4,J55)</f>
        <v>#DIV/0!</v>
      </c>
      <c r="K58" s="3128" t="s">
        <v>2366</v>
      </c>
      <c r="L58" s="1910" t="e">
        <f ca="1">ROUND(POWER(1+L52,L47-L48)*(POWER(1+L52,L48)-1)/(POWER(1+L52,L47)-1),4)</f>
        <v>#DIV/0!</v>
      </c>
      <c r="O58" s="2400" t="s">
        <v>2383</v>
      </c>
      <c r="P58" s="2401" t="s">
        <v>2414</v>
      </c>
      <c r="Q58" s="2402" t="e">
        <f ca="1">L60</f>
        <v>#DIV/0!</v>
      </c>
      <c r="R58" s="2405" t="s">
        <v>2416</v>
      </c>
    </row>
    <row r="59" spans="1:18" s="2061" customFormat="1" ht="28.5" customHeight="1" thickBot="1">
      <c r="A59" s="1649" t="s">
        <v>1831</v>
      </c>
      <c r="B59" s="784" t="s">
        <v>660</v>
      </c>
      <c r="C59" s="53">
        <f ca="1">ROUND(C47*F59/1.05,1)</f>
        <v>0</v>
      </c>
      <c r="D59" s="2641" t="s">
        <v>1756</v>
      </c>
      <c r="E59" s="784" t="s">
        <v>1747</v>
      </c>
      <c r="F59" s="809">
        <f t="shared" ref="F59:F65" si="0">F32</f>
        <v>5.6000000000000001E-2</v>
      </c>
      <c r="I59" s="3170" t="s">
        <v>2362</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1832</v>
      </c>
      <c r="B60" s="784" t="s">
        <v>1758</v>
      </c>
      <c r="C60" s="53">
        <f ca="1">IF(D60="按租金收入计税",ROUND(C47*F60,1),IF(D60="按房产原值计税",ROUND(C56*F60*0.7,1),INDIRECT("'数据-取费表'!Aj"&amp;$G$1)))</f>
        <v>0</v>
      </c>
      <c r="D60" s="2641" t="str">
        <f>D33</f>
        <v>按房产原值计税</v>
      </c>
      <c r="E60" s="784" t="s">
        <v>1747</v>
      </c>
      <c r="F60" s="809">
        <f t="shared" si="0"/>
        <v>1.2E-2</v>
      </c>
      <c r="I60" s="3172" t="s">
        <v>2363</v>
      </c>
      <c r="J60" s="3173" t="e">
        <f ca="1">IF(OR(M47="住宅",J51&lt;L48,J56="是"),"0",ROUND(J59/(1+J52)^J53,0))</f>
        <v>#DIV/0!</v>
      </c>
      <c r="K60" s="3174" t="s">
        <v>2368</v>
      </c>
      <c r="L60" s="3173" t="e">
        <f ca="1">IF(OR(M47="住宅",L48&lt;J51),0,ROUND(L57*(L58/L59-1),0))</f>
        <v>#DIV/0!</v>
      </c>
      <c r="O60" s="2403" t="s">
        <v>2386</v>
      </c>
      <c r="P60" s="2401" t="s">
        <v>2395</v>
      </c>
      <c r="Q60" s="2404">
        <f>L52</f>
        <v>0</v>
      </c>
      <c r="R60" s="2405"/>
    </row>
    <row r="61" spans="1:18" s="2061" customFormat="1" ht="18" customHeight="1" thickBot="1">
      <c r="A61" s="1652" t="s">
        <v>1833</v>
      </c>
      <c r="B61" s="341" t="s">
        <v>668</v>
      </c>
      <c r="C61" s="54">
        <f ca="1">ROUND(F61*F62/10000,1)</f>
        <v>0</v>
      </c>
      <c r="D61" s="814" t="s">
        <v>669</v>
      </c>
      <c r="E61" s="784" t="s">
        <v>670</v>
      </c>
      <c r="F61" s="640">
        <f t="shared" si="0"/>
        <v>8</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0</v>
      </c>
      <c r="I62" s="3175" t="s">
        <v>2369</v>
      </c>
      <c r="J62" s="3176" t="s">
        <v>2370</v>
      </c>
      <c r="K62" s="3176" t="s">
        <v>2371</v>
      </c>
      <c r="L62" s="3176" t="s">
        <v>2352</v>
      </c>
      <c r="M62" s="3177" t="s">
        <v>2946</v>
      </c>
      <c r="O62" s="2403" t="s">
        <v>2390</v>
      </c>
      <c r="P62" s="2401" t="str">
        <f>K59</f>
        <v>建筑物剩余耐用年限下的土地年期修正系数Kn</v>
      </c>
      <c r="Q62" s="2402" t="e">
        <f ca="1">L59</f>
        <v>#DIV/0!</v>
      </c>
      <c r="R62" s="2405" t="s">
        <v>2399</v>
      </c>
    </row>
    <row r="63" spans="1:18" s="2061" customFormat="1" ht="15.75" thickBot="1">
      <c r="A63" s="1650" t="s">
        <v>1889</v>
      </c>
      <c r="B63" s="784" t="s">
        <v>676</v>
      </c>
      <c r="C63" s="53">
        <f ca="1">ROUND(C56*F63,1)</f>
        <v>0</v>
      </c>
      <c r="D63" s="2641" t="s">
        <v>1803</v>
      </c>
      <c r="E63" s="784" t="s">
        <v>1747</v>
      </c>
      <c r="F63" s="817">
        <f t="shared" ca="1" si="0"/>
        <v>0</v>
      </c>
      <c r="I63" s="3175" t="s">
        <v>2372</v>
      </c>
      <c r="J63" s="3176">
        <v>70</v>
      </c>
      <c r="K63" s="3176">
        <v>50</v>
      </c>
      <c r="L63" s="3176">
        <v>80</v>
      </c>
      <c r="M63" s="3178">
        <v>0.02</v>
      </c>
      <c r="O63" s="2400" t="s">
        <v>2393</v>
      </c>
      <c r="P63" s="2401" t="s">
        <v>2410</v>
      </c>
      <c r="Q63" s="2402" t="e">
        <f ca="1">Q57+Q58</f>
        <v>#DIV/0!</v>
      </c>
      <c r="R63" s="2405" t="s">
        <v>2394</v>
      </c>
    </row>
    <row r="64" spans="1:18" s="2061" customFormat="1" ht="16.5" thickBot="1">
      <c r="A64" s="1650" t="s">
        <v>1890</v>
      </c>
      <c r="B64" s="784" t="s">
        <v>679</v>
      </c>
      <c r="C64" s="53">
        <f ca="1">ROUND(C55*F64,1)</f>
        <v>0</v>
      </c>
      <c r="D64" s="2641" t="s">
        <v>680</v>
      </c>
      <c r="E64" s="784" t="s">
        <v>1747</v>
      </c>
      <c r="F64" s="818">
        <f t="shared" ca="1" si="0"/>
        <v>0</v>
      </c>
      <c r="I64" s="3175" t="s">
        <v>2373</v>
      </c>
      <c r="J64" s="3176">
        <v>50</v>
      </c>
      <c r="K64" s="3176">
        <v>35</v>
      </c>
      <c r="L64" s="3176">
        <v>60</v>
      </c>
      <c r="M64" s="846">
        <v>0</v>
      </c>
      <c r="O64" s="2406" t="s">
        <v>2417</v>
      </c>
      <c r="P64" s="1593"/>
      <c r="Q64" s="1605"/>
      <c r="R64" s="1593"/>
    </row>
    <row r="65" spans="1:18" s="2061" customFormat="1" ht="15.75" thickBot="1">
      <c r="A65" s="1650" t="s">
        <v>1891</v>
      </c>
      <c r="B65" s="784" t="s">
        <v>666</v>
      </c>
      <c r="C65" s="53">
        <f ca="1">ROUND(C47*F65,1)</f>
        <v>0</v>
      </c>
      <c r="D65" s="2641" t="s">
        <v>683</v>
      </c>
      <c r="E65" s="784" t="s">
        <v>1747</v>
      </c>
      <c r="F65" s="794">
        <f t="shared" ca="1" si="0"/>
        <v>0</v>
      </c>
      <c r="I65" s="3175" t="s">
        <v>2374</v>
      </c>
      <c r="J65" s="3176">
        <v>40</v>
      </c>
      <c r="K65" s="3176">
        <v>30</v>
      </c>
      <c r="L65" s="3176">
        <v>50</v>
      </c>
      <c r="M65" s="3178">
        <v>0.02</v>
      </c>
      <c r="O65" s="2397" t="s">
        <v>2377</v>
      </c>
      <c r="P65" s="2398" t="s">
        <v>2378</v>
      </c>
      <c r="Q65" s="2399" t="s">
        <v>2379</v>
      </c>
      <c r="R65" s="2398" t="s">
        <v>2380</v>
      </c>
    </row>
    <row r="66" spans="1:18" s="2061" customFormat="1" ht="24.75" thickBot="1">
      <c r="A66" s="797" t="s">
        <v>1776</v>
      </c>
      <c r="B66" s="3012" t="s">
        <v>2824</v>
      </c>
      <c r="C66" s="799">
        <f ca="1">C47-C57</f>
        <v>0</v>
      </c>
      <c r="D66" s="2640" t="s">
        <v>700</v>
      </c>
      <c r="E66" s="2639"/>
      <c r="F66" s="820"/>
      <c r="K66" s="2088"/>
      <c r="O66" s="2400" t="s">
        <v>2381</v>
      </c>
      <c r="P66" s="2401" t="s">
        <v>2411</v>
      </c>
      <c r="Q66" s="2402" t="e">
        <f ca="1">C40+J29</f>
        <v>#DIV/0!</v>
      </c>
      <c r="R66" s="2401" t="s">
        <v>2382</v>
      </c>
    </row>
    <row r="67" spans="1:18" s="2061" customFormat="1" ht="20.25" thickBot="1">
      <c r="A67" s="781" t="s">
        <v>1780</v>
      </c>
      <c r="B67" s="2234" t="s">
        <v>2303</v>
      </c>
      <c r="C67" s="783" t="e">
        <f ca="1">ROUND(C66*(1-((1+F69)/(1+F67))^F68)/(F67-F69),0)</f>
        <v>#DIV/0!</v>
      </c>
      <c r="D67" s="814" t="s">
        <v>704</v>
      </c>
      <c r="E67" s="784" t="s">
        <v>705</v>
      </c>
      <c r="F67" s="794">
        <f ca="1">F40</f>
        <v>0</v>
      </c>
      <c r="K67" s="2088"/>
      <c r="O67" s="2400" t="s">
        <v>2383</v>
      </c>
      <c r="P67" s="2401" t="s">
        <v>2414</v>
      </c>
      <c r="Q67" s="2402" t="e">
        <f ca="1">L60</f>
        <v>#DIV/0!</v>
      </c>
      <c r="R67" s="2405" t="s">
        <v>2416</v>
      </c>
    </row>
    <row r="68" spans="1:18" ht="21.75" thickBot="1">
      <c r="A68" s="786"/>
      <c r="B68" s="787"/>
      <c r="C68" s="788"/>
      <c r="D68" s="821" t="s">
        <v>1808</v>
      </c>
      <c r="E68" s="784" t="s">
        <v>1784</v>
      </c>
      <c r="F68" s="822">
        <f ca="1">F41</f>
        <v>0</v>
      </c>
      <c r="O68" s="2403" t="s">
        <v>2385</v>
      </c>
      <c r="P68" s="2401" t="s">
        <v>2415</v>
      </c>
      <c r="Q68" s="2407">
        <f ca="1">L51</f>
        <v>0</v>
      </c>
      <c r="R68" s="2408" t="s">
        <v>2418</v>
      </c>
    </row>
    <row r="69" spans="1:18" ht="20.25" thickBot="1">
      <c r="A69" s="790"/>
      <c r="B69" s="791"/>
      <c r="C69" s="792"/>
      <c r="D69" s="816"/>
      <c r="E69" s="784" t="s">
        <v>710</v>
      </c>
      <c r="F69" s="2373"/>
      <c r="O69" s="2403" t="s">
        <v>2386</v>
      </c>
      <c r="P69" s="2409" t="s">
        <v>2400</v>
      </c>
      <c r="Q69" s="2402">
        <f ca="1">ROUND(Q70-Q71*Q72,0)</f>
        <v>0</v>
      </c>
      <c r="R69" s="2405"/>
    </row>
    <row r="70" spans="1:18" ht="15.75" thickBot="1">
      <c r="A70" s="823" t="s">
        <v>1787</v>
      </c>
      <c r="B70" s="824" t="s">
        <v>1810</v>
      </c>
      <c r="C70" s="825" t="e">
        <f ca="1">ROUND(C67*10000/F70,0)</f>
        <v>#DIV/0!</v>
      </c>
      <c r="D70" s="826" t="s">
        <v>1811</v>
      </c>
      <c r="E70" s="827" t="s">
        <v>1812</v>
      </c>
      <c r="F70" s="828">
        <f ca="1">F43</f>
        <v>0</v>
      </c>
      <c r="O70" s="2403" t="s">
        <v>2401</v>
      </c>
      <c r="P70" s="2409" t="s">
        <v>2402</v>
      </c>
      <c r="Q70" s="2402">
        <f ca="1">C39</f>
        <v>0</v>
      </c>
      <c r="R70" s="2401" t="s">
        <v>2382</v>
      </c>
    </row>
    <row r="71" spans="1:18" ht="15.75" thickBot="1">
      <c r="O71" s="2403" t="s">
        <v>2403</v>
      </c>
      <c r="P71" s="2409" t="s">
        <v>2404</v>
      </c>
      <c r="Q71" s="2402">
        <f ca="1">C13</f>
        <v>0</v>
      </c>
      <c r="R71" s="2401" t="s">
        <v>2382</v>
      </c>
    </row>
    <row r="72" spans="1:18" ht="15.75" thickBot="1">
      <c r="O72" s="2403" t="s">
        <v>2405</v>
      </c>
      <c r="P72" s="2409" t="s">
        <v>2406</v>
      </c>
      <c r="Q72" s="2404">
        <f ca="1">J36</f>
        <v>0</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t="e">
        <f ca="1">Q66+Q67</f>
        <v>#DIV/0!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3.5"/>
  <cols>
    <col min="1" max="1" width="10.5" customWidth="1"/>
    <col min="2" max="2" width="12.875" customWidth="1"/>
    <col min="3" max="3" width="8.75" customWidth="1"/>
  </cols>
  <sheetData>
    <row r="1" spans="1:9" ht="14.25">
      <c r="A1" s="3456" t="s">
        <v>2473</v>
      </c>
      <c r="B1" s="3457"/>
      <c r="C1" s="3458"/>
      <c r="D1" s="3459">
        <f>SUM(I10,I15,I20,I21,I23)</f>
        <v>0</v>
      </c>
      <c r="E1" s="3459"/>
      <c r="F1" s="3459"/>
      <c r="G1" s="3459"/>
      <c r="H1" s="3459"/>
      <c r="I1" s="3460"/>
    </row>
    <row r="2" spans="1:9">
      <c r="A2" s="3461" t="s">
        <v>2474</v>
      </c>
      <c r="B2" s="3462" t="s">
        <v>2475</v>
      </c>
      <c r="C2" s="3462"/>
      <c r="D2" s="2509" t="s">
        <v>2476</v>
      </c>
      <c r="E2" s="2509" t="s">
        <v>2477</v>
      </c>
      <c r="F2" s="2509" t="s">
        <v>2478</v>
      </c>
      <c r="G2" s="2509" t="s">
        <v>2479</v>
      </c>
      <c r="H2" s="2509" t="s">
        <v>2480</v>
      </c>
      <c r="I2" s="2510" t="s">
        <v>2481</v>
      </c>
    </row>
    <row r="3" spans="1:9">
      <c r="A3" s="3461"/>
      <c r="B3" s="3462" t="s">
        <v>2482</v>
      </c>
      <c r="C3" s="3462"/>
      <c r="D3" s="2511"/>
      <c r="E3" s="2509"/>
      <c r="F3" s="2512"/>
      <c r="G3" s="2512"/>
      <c r="H3" s="2513"/>
      <c r="I3" s="2514">
        <f>ROUND(D3*E3*F3*G3*H3/10000,0)</f>
        <v>0</v>
      </c>
    </row>
    <row r="4" spans="1:9">
      <c r="A4" s="3461"/>
      <c r="B4" s="3462" t="s">
        <v>2483</v>
      </c>
      <c r="C4" s="3462"/>
      <c r="D4" s="2511"/>
      <c r="E4" s="2509"/>
      <c r="F4" s="2512"/>
      <c r="G4" s="2512"/>
      <c r="H4" s="2513"/>
      <c r="I4" s="2514">
        <f t="shared" ref="I4:I9" si="0">ROUND(D4*E4*F4*G4*H4/10000,0)</f>
        <v>0</v>
      </c>
    </row>
    <row r="5" spans="1:9">
      <c r="A5" s="3461"/>
      <c r="B5" s="3462" t="s">
        <v>2484</v>
      </c>
      <c r="C5" s="3462"/>
      <c r="D5" s="2511"/>
      <c r="E5" s="2509"/>
      <c r="F5" s="2512"/>
      <c r="G5" s="2512"/>
      <c r="H5" s="2513"/>
      <c r="I5" s="2514">
        <f t="shared" si="0"/>
        <v>0</v>
      </c>
    </row>
    <row r="6" spans="1:9">
      <c r="A6" s="3461"/>
      <c r="B6" s="3462" t="s">
        <v>2485</v>
      </c>
      <c r="C6" s="3462"/>
      <c r="D6" s="2511"/>
      <c r="E6" s="2509"/>
      <c r="F6" s="2512"/>
      <c r="G6" s="2512"/>
      <c r="H6" s="2513"/>
      <c r="I6" s="2514">
        <f t="shared" si="0"/>
        <v>0</v>
      </c>
    </row>
    <row r="7" spans="1:9">
      <c r="A7" s="3461"/>
      <c r="B7" s="3462" t="s">
        <v>2486</v>
      </c>
      <c r="C7" s="3462"/>
      <c r="D7" s="2511"/>
      <c r="E7" s="2509"/>
      <c r="F7" s="2512"/>
      <c r="G7" s="2512"/>
      <c r="H7" s="2513"/>
      <c r="I7" s="2514">
        <f t="shared" si="0"/>
        <v>0</v>
      </c>
    </row>
    <row r="8" spans="1:9">
      <c r="A8" s="3461"/>
      <c r="B8" s="3462" t="s">
        <v>2487</v>
      </c>
      <c r="C8" s="3462"/>
      <c r="D8" s="2511"/>
      <c r="E8" s="2509"/>
      <c r="F8" s="2512"/>
      <c r="G8" s="2512"/>
      <c r="H8" s="2513"/>
      <c r="I8" s="2514">
        <f t="shared" si="0"/>
        <v>0</v>
      </c>
    </row>
    <row r="9" spans="1:9">
      <c r="A9" s="3461"/>
      <c r="B9" s="3462" t="s">
        <v>2488</v>
      </c>
      <c r="C9" s="3462"/>
      <c r="D9" s="2511"/>
      <c r="E9" s="2509"/>
      <c r="F9" s="2512"/>
      <c r="G9" s="2512"/>
      <c r="H9" s="2513"/>
      <c r="I9" s="2514">
        <f t="shared" si="0"/>
        <v>0</v>
      </c>
    </row>
    <row r="10" spans="1:9">
      <c r="A10" s="3461"/>
      <c r="B10" s="3463" t="s">
        <v>2489</v>
      </c>
      <c r="C10" s="3463"/>
      <c r="D10" s="2515">
        <v>527</v>
      </c>
      <c r="E10" s="2515" t="e">
        <f>ROUND(D1*10000/D10/H9,0)</f>
        <v>#DIV/0!</v>
      </c>
      <c r="F10" s="2516"/>
      <c r="G10" s="2516"/>
      <c r="H10" s="2517"/>
      <c r="I10" s="2518">
        <f>SUM(I3:I9)</f>
        <v>0</v>
      </c>
    </row>
    <row r="11" spans="1:9" ht="14.25">
      <c r="A11" s="3461" t="s">
        <v>2490</v>
      </c>
      <c r="B11" s="3462" t="s">
        <v>2491</v>
      </c>
      <c r="C11" s="3462"/>
      <c r="D11" s="2511" t="s">
        <v>2492</v>
      </c>
      <c r="E11" s="2511" t="s">
        <v>2493</v>
      </c>
      <c r="F11" s="2512" t="s">
        <v>2494</v>
      </c>
      <c r="G11" s="2512" t="s">
        <v>2495</v>
      </c>
      <c r="H11" s="2519" t="s">
        <v>2496</v>
      </c>
      <c r="I11" s="2510" t="s">
        <v>2497</v>
      </c>
    </row>
    <row r="12" spans="1:9">
      <c r="A12" s="3461"/>
      <c r="B12" s="3462" t="s">
        <v>2498</v>
      </c>
      <c r="C12" s="3462"/>
      <c r="D12" s="2511"/>
      <c r="E12" s="2511"/>
      <c r="F12" s="2512"/>
      <c r="G12" s="2513"/>
      <c r="H12" s="2520"/>
      <c r="I12" s="2510">
        <f>ROUND(D12*E12*F12*G12/10000,0)</f>
        <v>0</v>
      </c>
    </row>
    <row r="13" spans="1:9">
      <c r="A13" s="3461"/>
      <c r="B13" s="3462" t="s">
        <v>2499</v>
      </c>
      <c r="C13" s="3462"/>
      <c r="D13" s="2511"/>
      <c r="E13" s="2511"/>
      <c r="F13" s="2512"/>
      <c r="G13" s="2513"/>
      <c r="H13" s="2520"/>
      <c r="I13" s="2510">
        <f>ROUND(D13*E13*F13*G13/10000,0)</f>
        <v>0</v>
      </c>
    </row>
    <row r="14" spans="1:9">
      <c r="A14" s="3461"/>
      <c r="B14" s="3462" t="s">
        <v>2500</v>
      </c>
      <c r="C14" s="3462"/>
      <c r="D14" s="2511"/>
      <c r="E14" s="2511"/>
      <c r="F14" s="2512"/>
      <c r="G14" s="2513"/>
      <c r="H14" s="2520"/>
      <c r="I14" s="2510">
        <f>ROUND(D14*E14*F14*G14/10000,0)</f>
        <v>0</v>
      </c>
    </row>
    <row r="15" spans="1:9">
      <c r="A15" s="3461"/>
      <c r="B15" s="3463" t="s">
        <v>2489</v>
      </c>
      <c r="C15" s="3463"/>
      <c r="D15" s="2515"/>
      <c r="E15" s="2515">
        <f>SUM(E12:E14)</f>
        <v>0</v>
      </c>
      <c r="F15" s="2516"/>
      <c r="G15" s="2513"/>
      <c r="H15" s="2520"/>
      <c r="I15" s="2521">
        <f>SUM(I12:I14)</f>
        <v>0</v>
      </c>
    </row>
    <row r="16" spans="1:9" ht="24">
      <c r="A16" s="3461" t="s">
        <v>2501</v>
      </c>
      <c r="B16" s="3462" t="s">
        <v>2502</v>
      </c>
      <c r="C16" s="3462"/>
      <c r="D16" s="2511" t="s">
        <v>2503</v>
      </c>
      <c r="E16" s="2522" t="s">
        <v>2504</v>
      </c>
      <c r="F16" s="2512" t="s">
        <v>2505</v>
      </c>
      <c r="G16" s="2513" t="s">
        <v>2495</v>
      </c>
      <c r="H16" s="2519" t="s">
        <v>2496</v>
      </c>
      <c r="I16" s="2510" t="s">
        <v>2497</v>
      </c>
    </row>
    <row r="17" spans="1:9" ht="14.25">
      <c r="A17" s="3461"/>
      <c r="B17" s="3462" t="s">
        <v>2506</v>
      </c>
      <c r="C17" s="3462"/>
      <c r="D17" s="2511"/>
      <c r="E17" s="2511"/>
      <c r="F17" s="2512"/>
      <c r="G17" s="2513"/>
      <c r="H17" s="2523"/>
      <c r="I17" s="2524">
        <f>ROUND(D17*E17*F17*G17/10000,0)</f>
        <v>0</v>
      </c>
    </row>
    <row r="18" spans="1:9" ht="14.25">
      <c r="A18" s="3461"/>
      <c r="B18" s="3462" t="s">
        <v>2507</v>
      </c>
      <c r="C18" s="3462"/>
      <c r="D18" s="2511"/>
      <c r="E18" s="2511"/>
      <c r="F18" s="2512"/>
      <c r="G18" s="2513"/>
      <c r="H18" s="2523"/>
      <c r="I18" s="2524">
        <f>ROUND(D18*E18*F18*G18/10000,0)</f>
        <v>0</v>
      </c>
    </row>
    <row r="19" spans="1:9" ht="14.25">
      <c r="A19" s="3461"/>
      <c r="B19" s="3462" t="s">
        <v>2508</v>
      </c>
      <c r="C19" s="3462"/>
      <c r="D19" s="2511"/>
      <c r="E19" s="2511"/>
      <c r="F19" s="2512"/>
      <c r="G19" s="2513"/>
      <c r="H19" s="2523"/>
      <c r="I19" s="2524">
        <f>ROUND(D19*E19*F19*G19/10000,0)</f>
        <v>0</v>
      </c>
    </row>
    <row r="20" spans="1:9">
      <c r="A20" s="3461"/>
      <c r="B20" s="3463" t="s">
        <v>2489</v>
      </c>
      <c r="C20" s="3463"/>
      <c r="D20" s="2515">
        <f>SUM(D17:D19)</f>
        <v>0</v>
      </c>
      <c r="E20" s="2515"/>
      <c r="F20" s="2516"/>
      <c r="G20" s="2513"/>
      <c r="H20" s="2520"/>
      <c r="I20" s="2521">
        <f>SUM(I17:I19)</f>
        <v>0</v>
      </c>
    </row>
    <row r="21" spans="1:9">
      <c r="A21" s="3461" t="s">
        <v>2509</v>
      </c>
      <c r="B21" s="3465"/>
      <c r="C21" s="3465"/>
      <c r="D21" s="3465"/>
      <c r="E21" s="3465"/>
      <c r="F21" s="3465"/>
      <c r="G21" s="3465"/>
      <c r="H21" s="2525">
        <v>0.1</v>
      </c>
      <c r="I21" s="2518">
        <f>ROUND(I10*H21,0)</f>
        <v>0</v>
      </c>
    </row>
    <row r="22" spans="1:9" ht="14.25">
      <c r="A22" s="3466" t="s">
        <v>2510</v>
      </c>
      <c r="B22" s="3467"/>
      <c r="C22" s="3468"/>
      <c r="D22" s="2526" t="s">
        <v>2511</v>
      </c>
      <c r="E22" s="2526" t="s">
        <v>2512</v>
      </c>
      <c r="F22" s="2527" t="s">
        <v>2513</v>
      </c>
      <c r="G22" s="2527" t="s">
        <v>2514</v>
      </c>
      <c r="H22" s="2519" t="s">
        <v>2515</v>
      </c>
      <c r="I22" s="2510" t="s">
        <v>2516</v>
      </c>
    </row>
    <row r="23" spans="1:9" ht="14.25" thickBot="1">
      <c r="A23" s="3469"/>
      <c r="B23" s="3470"/>
      <c r="C23" s="3471"/>
      <c r="D23" s="2528"/>
      <c r="E23" s="2528"/>
      <c r="F23" s="2528"/>
      <c r="G23" s="2529"/>
      <c r="H23" s="2530"/>
      <c r="I23" s="2531">
        <f>ROUND(E23*D23*F23*(1-G23)/10000,0)</f>
        <v>0</v>
      </c>
    </row>
    <row r="26" spans="1:9">
      <c r="A26" s="2532" t="s">
        <v>2517</v>
      </c>
      <c r="B26" s="2532"/>
      <c r="C26" s="2532"/>
      <c r="D26" s="2532"/>
      <c r="E26" s="3472">
        <f>C27-C30-C31-C32</f>
        <v>0</v>
      </c>
      <c r="F26" s="3472"/>
      <c r="G26" s="3472"/>
      <c r="H26" s="3045" t="s">
        <v>2845</v>
      </c>
    </row>
    <row r="27" spans="1:9">
      <c r="A27" s="2533">
        <v>1</v>
      </c>
      <c r="B27" s="2534" t="s">
        <v>2518</v>
      </c>
      <c r="C27" s="2534"/>
      <c r="D27" s="2534"/>
      <c r="E27" s="3473"/>
      <c r="F27" s="3473"/>
      <c r="G27" s="3473"/>
    </row>
    <row r="28" spans="1:9">
      <c r="A28" s="2535" t="s">
        <v>2519</v>
      </c>
      <c r="B28" s="2534" t="s">
        <v>2520</v>
      </c>
      <c r="C28" s="2534"/>
      <c r="D28" s="2534"/>
      <c r="E28" s="3473"/>
      <c r="F28" s="3473"/>
      <c r="G28" s="3473"/>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64"/>
      <c r="F32" s="3464"/>
      <c r="G32" s="3464"/>
    </row>
    <row r="33" spans="1:7" hidden="1">
      <c r="A33" s="3474" t="s">
        <v>2528</v>
      </c>
      <c r="B33" s="3475"/>
      <c r="C33" s="3475"/>
      <c r="D33" s="3476"/>
      <c r="E33" s="3472"/>
      <c r="F33" s="3472"/>
      <c r="G33" s="3472"/>
    </row>
    <row r="34" spans="1:7" hidden="1">
      <c r="A34" s="2537">
        <v>1</v>
      </c>
      <c r="B34" s="2534" t="s">
        <v>2529</v>
      </c>
      <c r="C34" s="2534"/>
      <c r="D34" s="2534"/>
      <c r="E34" s="3473"/>
      <c r="F34" s="3473"/>
      <c r="G34" s="3473"/>
    </row>
    <row r="35" spans="1:7" hidden="1">
      <c r="A35" s="2537">
        <v>2</v>
      </c>
      <c r="B35" s="2534" t="s">
        <v>2530</v>
      </c>
      <c r="C35" s="2534"/>
      <c r="D35" s="2534"/>
      <c r="E35" s="3473"/>
      <c r="F35" s="3473"/>
      <c r="G35" s="3473"/>
    </row>
    <row r="36" spans="1:7" hidden="1">
      <c r="A36" s="2537">
        <v>3</v>
      </c>
      <c r="B36" s="2534" t="s">
        <v>2531</v>
      </c>
      <c r="C36" s="2534"/>
      <c r="D36" s="2534"/>
      <c r="E36" s="3473"/>
      <c r="F36" s="3473"/>
      <c r="G36" s="3473"/>
    </row>
    <row r="37" spans="1:7" hidden="1">
      <c r="A37" s="2537">
        <v>4</v>
      </c>
      <c r="B37" s="2534" t="s">
        <v>2532</v>
      </c>
      <c r="C37" s="2534"/>
      <c r="D37" s="2534"/>
      <c r="E37" s="3473"/>
      <c r="F37" s="3473"/>
      <c r="G37" s="3473"/>
    </row>
    <row r="38" spans="1:7" hidden="1">
      <c r="A38" s="3474" t="s">
        <v>2533</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220020</v>
      </c>
      <c r="E10" s="749">
        <f>'数据-取费表'!B31</f>
        <v>50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0</v>
      </c>
      <c r="D12" s="758">
        <f>'数据-汇总表'!E5</f>
        <v>0</v>
      </c>
      <c r="E12" s="757">
        <f>'数据-取费表'!B27</f>
        <v>90</v>
      </c>
      <c r="F12" s="755"/>
      <c r="G12" s="759"/>
    </row>
    <row r="13" spans="1:25" s="2185" customFormat="1" ht="13.5" customHeight="1">
      <c r="A13" s="2478" t="s">
        <v>2449</v>
      </c>
      <c r="B13" s="756" t="s">
        <v>612</v>
      </c>
      <c r="C13" s="757">
        <f>ROUND(D13*E13/10000,0)</f>
        <v>1980</v>
      </c>
      <c r="D13" s="758">
        <f>'数据-汇总表'!E6</f>
        <v>220020</v>
      </c>
      <c r="E13" s="757">
        <f>'数据-取费表'!B28</f>
        <v>90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0.80900000000000005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2993</v>
      </c>
      <c r="E1" s="2628"/>
      <c r="F1" s="2809" t="s">
        <v>3017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1" t="s">
        <v>522</v>
      </c>
      <c r="D4" s="3372"/>
      <c r="E4" s="3405" t="s">
        <v>523</v>
      </c>
      <c r="F4" s="3406"/>
      <c r="G4" s="3371" t="s">
        <v>524</v>
      </c>
      <c r="H4" s="3372"/>
      <c r="I4" s="3371" t="s">
        <v>525</v>
      </c>
      <c r="J4" s="3372"/>
      <c r="K4" s="853" t="s">
        <v>526</v>
      </c>
      <c r="L4" s="2135"/>
      <c r="M4" s="2136"/>
      <c r="N4" s="2136"/>
      <c r="O4" s="2136"/>
      <c r="P4" s="3373"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2931</v>
      </c>
      <c r="D5" s="3388"/>
      <c r="E5" s="3482" t="s">
        <v>3015</v>
      </c>
      <c r="F5" s="3408"/>
      <c r="G5" s="3480" t="s">
        <v>3018</v>
      </c>
      <c r="H5" s="3388"/>
      <c r="I5" s="3387" t="s">
        <v>2934</v>
      </c>
      <c r="J5" s="3388"/>
      <c r="K5" s="85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2935</v>
      </c>
      <c r="D6" s="3386"/>
      <c r="E6" s="3481" t="s">
        <v>3016</v>
      </c>
      <c r="F6" s="3404"/>
      <c r="G6" s="3385" t="s">
        <v>2935</v>
      </c>
      <c r="H6" s="3386"/>
      <c r="I6" s="3385" t="s">
        <v>2935</v>
      </c>
      <c r="J6" s="3386"/>
      <c r="K6" s="854" t="s">
        <v>528</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3"/>
      <c r="B7" s="2920" t="s">
        <v>529</v>
      </c>
      <c r="C7" s="519">
        <f>'数据-取费表'!B2</f>
        <v>43439</v>
      </c>
      <c r="D7" s="520">
        <v>100</v>
      </c>
      <c r="E7" s="521">
        <v>42430</v>
      </c>
      <c r="F7" s="522">
        <f>SUMIF(58:58,YEAR(E7)&amp;"-"&amp;MONTH(E7),59:59)</f>
        <v>0</v>
      </c>
      <c r="G7" s="521">
        <v>43344</v>
      </c>
      <c r="H7" s="520">
        <f>SUMIF(58:58,YEAR(G7)&amp;"-"&amp;MONTH(G7),59:59)</f>
        <v>0</v>
      </c>
      <c r="I7" s="523"/>
      <c r="J7" s="520">
        <f>SUMIF(58:58,YEAR(I7)&amp;"-"&amp;MONTH(I7),59:59)</f>
        <v>0</v>
      </c>
      <c r="K7" s="855"/>
      <c r="L7" s="2137"/>
      <c r="M7" s="2138"/>
      <c r="N7" s="2138"/>
      <c r="O7" s="2138"/>
      <c r="P7" s="3396" t="s">
        <v>530</v>
      </c>
      <c r="Q7" s="3398"/>
      <c r="R7" s="1569" t="s">
        <v>13</v>
      </c>
      <c r="S7" s="1570">
        <f t="shared" ref="S7:S15" si="0">F7</f>
        <v>0</v>
      </c>
      <c r="T7" s="1569" t="s">
        <v>13</v>
      </c>
      <c r="U7" s="1570">
        <f t="shared" ref="U7:U15" si="1">H7</f>
        <v>0</v>
      </c>
      <c r="V7" s="1569" t="s">
        <v>13</v>
      </c>
      <c r="W7" s="1570">
        <f t="shared" ref="W7:W15" si="2">J7</f>
        <v>0</v>
      </c>
      <c r="X7" s="1571"/>
      <c r="Y7" s="3396" t="s">
        <v>530</v>
      </c>
      <c r="Z7" s="3397"/>
      <c r="AA7" s="1572" t="e">
        <f>D7/F7</f>
        <v>#DIV/0!</v>
      </c>
      <c r="AB7" s="1572" t="e">
        <f>D7/H7</f>
        <v>#DIV/0!</v>
      </c>
      <c r="AC7" s="1572" t="e">
        <f>D7/J7</f>
        <v>#DIV/0!</v>
      </c>
    </row>
    <row r="8" spans="1:29" s="1220" customFormat="1" ht="15.75" thickBot="1">
      <c r="A8" s="2914"/>
      <c r="B8" s="2921" t="s">
        <v>531</v>
      </c>
      <c r="C8" s="525" t="s">
        <v>576</v>
      </c>
      <c r="D8" s="520">
        <v>100</v>
      </c>
      <c r="E8" s="856" t="s">
        <v>3008</v>
      </c>
      <c r="F8" s="522">
        <f>SUMIF(61:61,E8,62:62)-SUMIF(61:61,C8,62:62)+100</f>
        <v>100</v>
      </c>
      <c r="G8" s="856" t="s">
        <v>3008</v>
      </c>
      <c r="H8" s="520">
        <f>SUMIF(61:61,G8,62:62)-SUMIF(61:61,C8,62:62)+100</f>
        <v>100</v>
      </c>
      <c r="I8" s="856"/>
      <c r="J8" s="520">
        <f>SUMIF(61:61,I8,62:62)-SUMIF(61:61,C8,62:62)+100</f>
        <v>0</v>
      </c>
      <c r="K8" s="855"/>
      <c r="L8" s="2137"/>
      <c r="M8" s="2138"/>
      <c r="N8" s="2138"/>
      <c r="O8" s="2138"/>
      <c r="P8" s="3396" t="s">
        <v>533</v>
      </c>
      <c r="Q8" s="3397"/>
      <c r="R8" s="1569" t="s">
        <v>13</v>
      </c>
      <c r="S8" s="1570">
        <f t="shared" si="0"/>
        <v>100</v>
      </c>
      <c r="T8" s="1569" t="s">
        <v>13</v>
      </c>
      <c r="U8" s="1570">
        <f t="shared" si="1"/>
        <v>100</v>
      </c>
      <c r="V8" s="1569" t="s">
        <v>13</v>
      </c>
      <c r="W8" s="1570">
        <f t="shared" si="2"/>
        <v>0</v>
      </c>
      <c r="X8" s="1571"/>
      <c r="Y8" s="3396" t="s">
        <v>533</v>
      </c>
      <c r="Z8" s="3397"/>
      <c r="AA8" s="1572">
        <f t="shared" ref="AA8:AA46" si="3">D8/F8</f>
        <v>1</v>
      </c>
      <c r="AB8" s="1572">
        <f t="shared" ref="AB8:AB46" si="4">D8/H8</f>
        <v>1</v>
      </c>
      <c r="AC8" s="1572" t="e">
        <f t="shared" ref="AC8:AC46" si="5">D8/J8</f>
        <v>#DIV/0!</v>
      </c>
    </row>
    <row r="9" spans="1:29" s="1220" customFormat="1" ht="15">
      <c r="A9" s="2915"/>
      <c r="B9" s="2922" t="s">
        <v>2758</v>
      </c>
      <c r="C9" s="857"/>
      <c r="D9" s="254">
        <v>100</v>
      </c>
      <c r="E9" s="858"/>
      <c r="F9" s="859">
        <f>SUMIF(63:63,E9,64:64)-SUMIF(63:63,C9,64:64)+100</f>
        <v>100</v>
      </c>
      <c r="G9" s="858"/>
      <c r="H9" s="254">
        <f>SUMIF(63:63,G9,64:64)-SUMIF(63:63,C9,64:64)+100</f>
        <v>100</v>
      </c>
      <c r="I9" s="860"/>
      <c r="J9" s="254">
        <f>SUMIF(63:63,I9,64:64)-SUMIF(63:63,C9,64:64)+100</f>
        <v>100</v>
      </c>
      <c r="K9" s="855"/>
      <c r="L9" s="2137"/>
      <c r="M9" s="2138"/>
      <c r="N9" s="2138"/>
      <c r="O9" s="2139"/>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6"/>
      <c r="B10" s="2921" t="s">
        <v>2759</v>
      </c>
      <c r="C10" s="861" t="s">
        <v>3014</v>
      </c>
      <c r="D10" s="255">
        <v>100</v>
      </c>
      <c r="E10" s="862" t="s">
        <v>3014</v>
      </c>
      <c r="F10" s="863">
        <f>SUMIF(65:65,E10,66:66)-SUMIF(65:65,C10,66:66)+100</f>
        <v>100</v>
      </c>
      <c r="G10" s="862" t="s">
        <v>3014</v>
      </c>
      <c r="H10" s="255">
        <f>SUMIF(65:65,G10,66:66)-SUMIF(65:65,C10,66:66)+100</f>
        <v>100</v>
      </c>
      <c r="I10" s="861"/>
      <c r="J10" s="255">
        <f>SUMIF(65:65,I10,66:66)-SUMIF(65:65,C10,66:66)+100</f>
        <v>0</v>
      </c>
      <c r="K10" s="86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0</v>
      </c>
      <c r="X10" s="1571"/>
      <c r="Y10" s="3311"/>
      <c r="Z10" s="1150" t="str">
        <f t="shared" si="7"/>
        <v>土地使用年限（年）</v>
      </c>
      <c r="AA10" s="1572">
        <f t="shared" si="3"/>
        <v>1</v>
      </c>
      <c r="AB10" s="1572">
        <f t="shared" si="4"/>
        <v>1</v>
      </c>
      <c r="AC10" s="1572" t="e">
        <f t="shared" si="5"/>
        <v>#DIV/0!</v>
      </c>
    </row>
    <row r="11" spans="1:29" ht="15">
      <c r="A11" s="2917"/>
      <c r="B11" s="2921" t="s">
        <v>2760</v>
      </c>
      <c r="C11" s="533">
        <v>2</v>
      </c>
      <c r="D11" s="255">
        <v>100</v>
      </c>
      <c r="E11" s="534">
        <v>2</v>
      </c>
      <c r="F11" s="863">
        <f>LOOKUP(E11,68:68,69:69)-LOOKUP(C11,68:68,69:69)+100</f>
        <v>100</v>
      </c>
      <c r="G11" s="534">
        <v>1.6</v>
      </c>
      <c r="H11" s="255">
        <f>LOOKUP(G11,68:68,69:69)-LOOKUP(C11,68:68,69:69)+100</f>
        <v>101</v>
      </c>
      <c r="I11" s="533"/>
      <c r="J11" s="255">
        <f>LOOKUP(I11,68:68,69:69)-LOOKUP(C11,68:68,69:69)+100</f>
        <v>102</v>
      </c>
      <c r="K11" s="864">
        <v>1</v>
      </c>
      <c r="L11" s="2142"/>
      <c r="M11" s="2136"/>
      <c r="N11" s="2136"/>
      <c r="O11" s="2143"/>
      <c r="P11" s="3365"/>
      <c r="Q11" s="1151" t="str">
        <f t="shared" si="6"/>
        <v>容积率</v>
      </c>
      <c r="R11" s="1569" t="s">
        <v>11</v>
      </c>
      <c r="S11" s="1570">
        <f t="shared" si="0"/>
        <v>100</v>
      </c>
      <c r="T11" s="1569" t="s">
        <v>11</v>
      </c>
      <c r="U11" s="1570">
        <f t="shared" si="1"/>
        <v>101</v>
      </c>
      <c r="V11" s="1569" t="s">
        <v>11</v>
      </c>
      <c r="W11" s="1570">
        <f t="shared" si="2"/>
        <v>102</v>
      </c>
      <c r="X11" s="1571"/>
      <c r="Y11" s="3311"/>
      <c r="Z11" s="1150" t="str">
        <f t="shared" si="7"/>
        <v>容积率</v>
      </c>
      <c r="AA11" s="1572">
        <f t="shared" si="3"/>
        <v>1</v>
      </c>
      <c r="AB11" s="1572">
        <f t="shared" si="4"/>
        <v>0.99009900990099009</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5"/>
      <c r="Q12" s="1151">
        <f t="shared" si="6"/>
        <v>111</v>
      </c>
      <c r="R12" s="1569" t="s">
        <v>11</v>
      </c>
      <c r="S12" s="1570">
        <f t="shared" si="0"/>
        <v>100</v>
      </c>
      <c r="T12" s="1569" t="s">
        <v>11</v>
      </c>
      <c r="U12" s="1570">
        <f t="shared" si="1"/>
        <v>100</v>
      </c>
      <c r="V12" s="1569" t="s">
        <v>11</v>
      </c>
      <c r="W12" s="1570">
        <f t="shared" si="2"/>
        <v>100</v>
      </c>
      <c r="X12" s="1571"/>
      <c r="Y12" s="3311"/>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5"/>
      <c r="Q13" s="1151">
        <f t="shared" si="6"/>
        <v>111</v>
      </c>
      <c r="R13" s="1569" t="s">
        <v>11</v>
      </c>
      <c r="S13" s="1570">
        <f t="shared" si="0"/>
        <v>100</v>
      </c>
      <c r="T13" s="1569" t="s">
        <v>11</v>
      </c>
      <c r="U13" s="1570">
        <f t="shared" si="1"/>
        <v>100</v>
      </c>
      <c r="V13" s="1569" t="s">
        <v>11</v>
      </c>
      <c r="W13" s="1570">
        <f t="shared" si="2"/>
        <v>100</v>
      </c>
      <c r="X13" s="1571"/>
      <c r="Y13" s="3311"/>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5"/>
      <c r="Q14" s="1151">
        <f t="shared" si="6"/>
        <v>111</v>
      </c>
      <c r="R14" s="1569" t="s">
        <v>11</v>
      </c>
      <c r="S14" s="1570">
        <f t="shared" si="0"/>
        <v>100</v>
      </c>
      <c r="T14" s="1569" t="s">
        <v>11</v>
      </c>
      <c r="U14" s="1570">
        <f t="shared" si="1"/>
        <v>100</v>
      </c>
      <c r="V14" s="1569" t="s">
        <v>11</v>
      </c>
      <c r="W14" s="1570">
        <f t="shared" si="2"/>
        <v>100</v>
      </c>
      <c r="X14" s="1571"/>
      <c r="Y14" s="3311"/>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6</v>
      </c>
      <c r="K15" s="868">
        <v>2</v>
      </c>
      <c r="L15" s="2144"/>
      <c r="M15" s="2136"/>
      <c r="N15" s="2136"/>
      <c r="O15" s="2143"/>
      <c r="P15" s="3399" t="s">
        <v>540</v>
      </c>
      <c r="Q15" s="1573" t="str">
        <f t="shared" si="6"/>
        <v>居住社区成熟度</v>
      </c>
      <c r="R15" s="1574" t="s">
        <v>11</v>
      </c>
      <c r="S15" s="1575">
        <f t="shared" si="0"/>
        <v>102</v>
      </c>
      <c r="T15" s="1574" t="s">
        <v>11</v>
      </c>
      <c r="U15" s="1575">
        <f t="shared" si="1"/>
        <v>100</v>
      </c>
      <c r="V15" s="1574" t="s">
        <v>11</v>
      </c>
      <c r="W15" s="1575">
        <f t="shared" si="2"/>
        <v>6</v>
      </c>
      <c r="X15" s="1568"/>
      <c r="Y15" s="3399" t="s">
        <v>540</v>
      </c>
      <c r="Z15" s="1576" t="str">
        <f t="shared" si="7"/>
        <v>居住社区成熟度</v>
      </c>
      <c r="AA15" s="1577">
        <f t="shared" si="3"/>
        <v>0.98039215686274506</v>
      </c>
      <c r="AB15" s="1577">
        <f t="shared" si="4"/>
        <v>1</v>
      </c>
      <c r="AC15" s="1577">
        <f t="shared" si="5"/>
        <v>16.666666666666668</v>
      </c>
    </row>
    <row r="16" spans="1:29" ht="15">
      <c r="A16" s="532"/>
      <c r="B16" s="869"/>
      <c r="C16" s="576" t="s">
        <v>3012</v>
      </c>
      <c r="D16" s="555"/>
      <c r="E16" s="556" t="s">
        <v>3009</v>
      </c>
      <c r="F16" s="557"/>
      <c r="G16" s="558" t="s">
        <v>3012</v>
      </c>
      <c r="H16" s="559"/>
      <c r="I16" s="556"/>
      <c r="J16" s="555"/>
      <c r="K16" s="870"/>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6</v>
      </c>
      <c r="K19" s="868">
        <v>2</v>
      </c>
      <c r="L19" s="2144"/>
      <c r="M19" s="2136"/>
      <c r="N19" s="2136"/>
      <c r="O19" s="2143"/>
      <c r="P19" s="3400"/>
      <c r="Q19" s="1573" t="str">
        <f>B19</f>
        <v>公共配套设施</v>
      </c>
      <c r="R19" s="1574" t="s">
        <v>11</v>
      </c>
      <c r="S19" s="1575">
        <f>F19</f>
        <v>102</v>
      </c>
      <c r="T19" s="1574" t="s">
        <v>11</v>
      </c>
      <c r="U19" s="1575">
        <f>H19</f>
        <v>100</v>
      </c>
      <c r="V19" s="1574" t="s">
        <v>11</v>
      </c>
      <c r="W19" s="1575">
        <f>J19</f>
        <v>6</v>
      </c>
      <c r="X19" s="1568"/>
      <c r="Y19" s="3400"/>
      <c r="Z19" s="1576" t="str">
        <f>Q19</f>
        <v>公共配套设施</v>
      </c>
      <c r="AA19" s="1577">
        <f t="shared" si="3"/>
        <v>0.98039215686274506</v>
      </c>
      <c r="AB19" s="1577">
        <f t="shared" si="4"/>
        <v>1</v>
      </c>
      <c r="AC19" s="1577">
        <f t="shared" si="5"/>
        <v>16.666666666666668</v>
      </c>
    </row>
    <row r="20" spans="1:29" ht="15">
      <c r="A20" s="532"/>
      <c r="B20" s="595"/>
      <c r="C20" s="576" t="s">
        <v>3012</v>
      </c>
      <c r="D20" s="555"/>
      <c r="E20" s="556" t="s">
        <v>3009</v>
      </c>
      <c r="F20" s="557"/>
      <c r="G20" s="558" t="s">
        <v>3012</v>
      </c>
      <c r="H20" s="555"/>
      <c r="I20" s="556"/>
      <c r="J20" s="555"/>
      <c r="K20" s="870"/>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00"/>
      <c r="Q21" s="2581" t="str">
        <f>B21</f>
        <v>基础设施水平</v>
      </c>
      <c r="R21" s="1574" t="s">
        <v>11</v>
      </c>
      <c r="S21" s="1575">
        <f>F21</f>
        <v>100</v>
      </c>
      <c r="T21" s="1574" t="s">
        <v>11</v>
      </c>
      <c r="U21" s="1575">
        <f>H21</f>
        <v>100</v>
      </c>
      <c r="V21" s="1574" t="s">
        <v>11</v>
      </c>
      <c r="W21" s="1575">
        <f>J21</f>
        <v>100</v>
      </c>
      <c r="X21" s="2583"/>
      <c r="Y21" s="340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00"/>
      <c r="Q22" s="2581"/>
      <c r="R22" s="1574"/>
      <c r="S22" s="1575"/>
      <c r="T22" s="1574"/>
      <c r="U22" s="1575"/>
      <c r="V22" s="1574"/>
      <c r="W22" s="1575"/>
      <c r="X22" s="2583"/>
      <c r="Y22" s="3400"/>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100</v>
      </c>
      <c r="I23" s="562"/>
      <c r="J23" s="559">
        <f>SUMIF(84:84,I24,85:85)-SUMIF(84:84,C24,85:85)+100</f>
        <v>6</v>
      </c>
      <c r="K23" s="868">
        <v>2</v>
      </c>
      <c r="L23" s="2144"/>
      <c r="M23" s="2136"/>
      <c r="N23" s="2136"/>
      <c r="O23" s="2143"/>
      <c r="P23" s="3400"/>
      <c r="Q23" s="1573" t="str">
        <f>B23</f>
        <v>自然及人文环境</v>
      </c>
      <c r="R23" s="1574" t="s">
        <v>11</v>
      </c>
      <c r="S23" s="1575">
        <f>F23</f>
        <v>102</v>
      </c>
      <c r="T23" s="1574" t="s">
        <v>11</v>
      </c>
      <c r="U23" s="1575">
        <f>H23</f>
        <v>100</v>
      </c>
      <c r="V23" s="1574" t="s">
        <v>11</v>
      </c>
      <c r="W23" s="1575">
        <f>J23</f>
        <v>6</v>
      </c>
      <c r="X23" s="1568"/>
      <c r="Y23" s="3400"/>
      <c r="Z23" s="1576" t="str">
        <f>Q23</f>
        <v>自然及人文环境</v>
      </c>
      <c r="AA23" s="1577">
        <f t="shared" si="3"/>
        <v>0.98039215686274506</v>
      </c>
      <c r="AB23" s="1577">
        <f t="shared" si="4"/>
        <v>1</v>
      </c>
      <c r="AC23" s="1577">
        <f t="shared" si="5"/>
        <v>16.666666666666668</v>
      </c>
    </row>
    <row r="24" spans="1:29" ht="15">
      <c r="A24" s="532"/>
      <c r="B24" s="595"/>
      <c r="C24" s="576" t="s">
        <v>3012</v>
      </c>
      <c r="D24" s="555"/>
      <c r="E24" s="556" t="s">
        <v>3009</v>
      </c>
      <c r="F24" s="557"/>
      <c r="G24" s="558" t="s">
        <v>3012</v>
      </c>
      <c r="H24" s="555"/>
      <c r="I24" s="556"/>
      <c r="J24" s="555"/>
      <c r="K24" s="870"/>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909"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f>'数据-汇总表'!E3</f>
        <v>220020</v>
      </c>
      <c r="D33" s="255">
        <v>100</v>
      </c>
      <c r="E33" s="534">
        <v>341859</v>
      </c>
      <c r="F33" s="863">
        <f>LOOKUP(E33,103:103,104:104)-LOOKUP(C33,103:103,104:104)+100</f>
        <v>100</v>
      </c>
      <c r="G33" s="533">
        <v>140000</v>
      </c>
      <c r="H33" s="255">
        <f>LOOKUP(G33,103:103,104:104)-LOOKUP(C33,103:103,104:104)+100</f>
        <v>99</v>
      </c>
      <c r="I33" s="534"/>
      <c r="J33" s="255">
        <f>LOOKUP(I33,103:103,104:104)-LOOKUP(C33,103:103,104:104)+100</f>
        <v>99</v>
      </c>
      <c r="K33" s="865"/>
      <c r="L33" s="2142"/>
      <c r="M33" s="2173"/>
      <c r="N33" s="2173"/>
      <c r="O33" s="2145"/>
      <c r="P33" s="3402"/>
      <c r="Q33" s="1606" t="str">
        <f t="shared" si="11"/>
        <v>项目建筑规模</v>
      </c>
      <c r="R33" s="1578" t="s">
        <v>11</v>
      </c>
      <c r="S33" s="1579">
        <f t="shared" si="12"/>
        <v>100</v>
      </c>
      <c r="T33" s="1578" t="s">
        <v>11</v>
      </c>
      <c r="U33" s="1579">
        <f t="shared" si="13"/>
        <v>99</v>
      </c>
      <c r="V33" s="1578" t="s">
        <v>11</v>
      </c>
      <c r="W33" s="1579">
        <f t="shared" si="14"/>
        <v>99</v>
      </c>
      <c r="X33" s="1580"/>
      <c r="Y33" s="3402"/>
      <c r="Z33" s="1581" t="str">
        <f t="shared" si="15"/>
        <v>项目建筑规模</v>
      </c>
      <c r="AA33" s="1577">
        <f t="shared" si="3"/>
        <v>1</v>
      </c>
      <c r="AB33" s="1577">
        <f t="shared" si="4"/>
        <v>1.0101010101010102</v>
      </c>
      <c r="AC33" s="1577">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402"/>
      <c r="Q37" s="1151" t="str">
        <f t="shared" si="11"/>
        <v>成新度</v>
      </c>
      <c r="R37" s="1569" t="s">
        <v>11</v>
      </c>
      <c r="S37" s="1570">
        <f t="shared" si="12"/>
        <v>100</v>
      </c>
      <c r="T37" s="1569" t="s">
        <v>11</v>
      </c>
      <c r="U37" s="1570">
        <f t="shared" si="13"/>
        <v>100</v>
      </c>
      <c r="V37" s="1569" t="s">
        <v>11</v>
      </c>
      <c r="W37" s="1570">
        <f t="shared" si="14"/>
        <v>100</v>
      </c>
      <c r="X37" s="1571"/>
      <c r="Y37" s="3402"/>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v>100</v>
      </c>
      <c r="D41" s="255">
        <v>100</v>
      </c>
      <c r="E41" s="534">
        <v>100</v>
      </c>
      <c r="F41" s="863">
        <f>SUMIF(120:120,E41,121:121)-SUMIF(120:120,C41,121:121)+100</f>
        <v>100</v>
      </c>
      <c r="G41" s="533">
        <v>260</v>
      </c>
      <c r="H41" s="255">
        <f>SUMIF(120:120,G41,121:121)-SUMIF(120:120,C41,121:121)+100</f>
        <v>96</v>
      </c>
      <c r="I41" s="586"/>
      <c r="J41" s="540">
        <f>SUMIF(120:120,I41,121:121)-SUMIF(120:120,C41,121:121)+100</f>
        <v>0</v>
      </c>
      <c r="K41" s="865"/>
      <c r="L41" s="2142"/>
      <c r="M41" s="2173"/>
      <c r="N41" s="2173"/>
      <c r="O41" s="2145"/>
      <c r="P41" s="3402"/>
      <c r="Q41" s="1606" t="str">
        <f t="shared" si="11"/>
        <v>单套/主力户型建筑面积</v>
      </c>
      <c r="R41" s="1578" t="s">
        <v>11</v>
      </c>
      <c r="S41" s="1579">
        <f t="shared" si="12"/>
        <v>100</v>
      </c>
      <c r="T41" s="1578" t="s">
        <v>11</v>
      </c>
      <c r="U41" s="1579">
        <f t="shared" si="13"/>
        <v>96</v>
      </c>
      <c r="V41" s="1578" t="s">
        <v>11</v>
      </c>
      <c r="W41" s="1579">
        <f t="shared" si="14"/>
        <v>0</v>
      </c>
      <c r="X41" s="1580"/>
      <c r="Y41" s="3402"/>
      <c r="Z41" s="1581" t="str">
        <f t="shared" si="15"/>
        <v>单套/主力户型建筑面积</v>
      </c>
      <c r="AA41" s="1577">
        <f t="shared" si="3"/>
        <v>1</v>
      </c>
      <c r="AB41" s="1577">
        <f t="shared" si="4"/>
        <v>1.0416666666666667</v>
      </c>
      <c r="AC41" s="1577" t="e">
        <f t="shared" si="5"/>
        <v>#DIV/0!</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3182" t="s">
        <v>3019</v>
      </c>
      <c r="C44" s="3183" t="s">
        <v>3021</v>
      </c>
      <c r="D44" s="255">
        <v>100</v>
      </c>
      <c r="E44" s="3183" t="s">
        <v>3022</v>
      </c>
      <c r="F44" s="863">
        <f>SUMIF(126:126,E44,127:127)-SUMIF(126:126,C44,127:127)+100</f>
        <v>100</v>
      </c>
      <c r="G44" s="3183" t="s">
        <v>3020</v>
      </c>
      <c r="H44" s="255">
        <f>SUMIF(126:126,G44,127:127)-SUMIF(126:126,C44,127:127)+100</f>
        <v>95</v>
      </c>
      <c r="I44" s="880"/>
      <c r="J44" s="255">
        <f>SUMIF(126:126,I44,127:127)-SUMIF(126:126,C44,127:127)+100</f>
        <v>0</v>
      </c>
      <c r="K44" s="865"/>
      <c r="L44" s="2137"/>
      <c r="M44" s="2138"/>
      <c r="N44" s="2138"/>
      <c r="O44" s="2139"/>
      <c r="P44" s="3402"/>
      <c r="Q44" s="1151" t="str">
        <f t="shared" si="11"/>
        <v>尾盘</v>
      </c>
      <c r="R44" s="1569" t="s">
        <v>11</v>
      </c>
      <c r="S44" s="1570">
        <f t="shared" si="12"/>
        <v>100</v>
      </c>
      <c r="T44" s="1569" t="s">
        <v>11</v>
      </c>
      <c r="U44" s="1570">
        <f t="shared" si="13"/>
        <v>95</v>
      </c>
      <c r="V44" s="1569" t="s">
        <v>11</v>
      </c>
      <c r="W44" s="1570">
        <f t="shared" si="14"/>
        <v>0</v>
      </c>
      <c r="X44" s="1571"/>
      <c r="Y44" s="3402"/>
      <c r="Z44" s="1150" t="str">
        <f t="shared" si="15"/>
        <v>尾盘</v>
      </c>
      <c r="AA44" s="1572">
        <f t="shared" si="3"/>
        <v>1</v>
      </c>
      <c r="AB44" s="1572">
        <f t="shared" si="4"/>
        <v>1.0526315789473684</v>
      </c>
      <c r="AC44" s="1572" t="e">
        <f t="shared" si="5"/>
        <v>#DIV/0!</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7" t="s">
        <v>736</v>
      </c>
      <c r="B47" s="887"/>
      <c r="C47" s="2629" t="s">
        <v>9</v>
      </c>
      <c r="D47" s="2630"/>
      <c r="E47" s="2631">
        <v>8500</v>
      </c>
      <c r="F47" s="2632"/>
      <c r="G47" s="2633">
        <v>7200</v>
      </c>
      <c r="H47" s="2634"/>
      <c r="I47" s="2631"/>
      <c r="J47" s="2634"/>
      <c r="K47" s="1607"/>
      <c r="L47" s="2146"/>
      <c r="M47" s="2147"/>
      <c r="N47" s="2136"/>
      <c r="O47" s="2147"/>
      <c r="P47" s="3365" t="str">
        <f>A47</f>
        <v>成交单价（元/平方米）</v>
      </c>
      <c r="Q47" s="3365"/>
      <c r="R47" s="3478">
        <f>E47</f>
        <v>8500</v>
      </c>
      <c r="S47" s="3478"/>
      <c r="T47" s="3478">
        <f>G47</f>
        <v>7200</v>
      </c>
      <c r="U47" s="3478"/>
      <c r="V47" s="3478">
        <f>I47</f>
        <v>0</v>
      </c>
      <c r="W47" s="3478"/>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08"/>
      <c r="L48" s="2146"/>
      <c r="M48" s="2147"/>
      <c r="N48" s="2147"/>
      <c r="O48" s="2147"/>
      <c r="P48" s="3365" t="str">
        <f>A48</f>
        <v>比较价格（元/平方米）</v>
      </c>
      <c r="Q48" s="336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2937</v>
      </c>
      <c r="B49" s="622"/>
      <c r="C49" s="2638" t="e">
        <f>R49</f>
        <v>#DIV/0!</v>
      </c>
      <c r="D49" s="2638"/>
      <c r="E49" s="2638"/>
      <c r="F49" s="2638"/>
      <c r="G49" s="2638"/>
      <c r="H49" s="2638"/>
      <c r="I49" s="2638"/>
      <c r="J49" s="2638"/>
      <c r="K49" s="1609"/>
      <c r="L49" s="2146"/>
      <c r="M49" s="2147"/>
      <c r="N49" s="2147"/>
      <c r="O49" s="2147"/>
      <c r="P49" s="3362" t="str">
        <f>A49</f>
        <v>估价对象XX用房的比较价格（楼面单价，元/平方米）</v>
      </c>
      <c r="Q49" s="3363"/>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0.18055555555555558</v>
      </c>
      <c r="F54" s="627" t="str">
        <f>IF(OR(E54&gt;=0.3,E54&lt;=-0.3),"超过30%","")</f>
        <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598"/>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30" thickTop="1" thickBot="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598">
        <v>0</v>
      </c>
      <c r="D103" s="598">
        <v>200000</v>
      </c>
      <c r="E103" s="598">
        <v>400000</v>
      </c>
      <c r="F103" s="598">
        <v>600000</v>
      </c>
      <c r="G103" s="598">
        <v>800000</v>
      </c>
      <c r="H103" s="598">
        <v>1000000</v>
      </c>
      <c r="I103" s="598">
        <v>1200000</v>
      </c>
      <c r="J103" s="598">
        <v>1400000</v>
      </c>
      <c r="K103" s="598">
        <v>1600000</v>
      </c>
      <c r="L103" s="598">
        <v>1800000</v>
      </c>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v>100</v>
      </c>
      <c r="D120" s="688"/>
      <c r="E120" s="688">
        <v>260</v>
      </c>
      <c r="F120" s="688">
        <v>300</v>
      </c>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92">
        <v>96</v>
      </c>
      <c r="F121" s="671">
        <v>94</v>
      </c>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尾盘</v>
      </c>
      <c r="C126" s="3184" t="s">
        <v>3021</v>
      </c>
      <c r="D126" s="3184" t="s">
        <v>3020</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1" t="s">
        <v>522</v>
      </c>
      <c r="D4" s="3372"/>
      <c r="E4" s="3405" t="s">
        <v>523</v>
      </c>
      <c r="F4" s="3406"/>
      <c r="G4" s="3371" t="s">
        <v>524</v>
      </c>
      <c r="H4" s="3372"/>
      <c r="I4" s="3371" t="s">
        <v>525</v>
      </c>
      <c r="J4" s="3372"/>
      <c r="K4" s="514" t="s">
        <v>526</v>
      </c>
      <c r="L4" s="2135"/>
      <c r="M4" s="2136"/>
      <c r="N4" s="2136"/>
      <c r="O4" s="2136"/>
      <c r="P4" s="3373" t="s">
        <v>527</v>
      </c>
      <c r="Q4" s="3374"/>
      <c r="R4" s="3379" t="s">
        <v>523</v>
      </c>
      <c r="S4" s="3380"/>
      <c r="T4" s="3379" t="s">
        <v>524</v>
      </c>
      <c r="U4" s="3380"/>
      <c r="V4" s="3366" t="s">
        <v>525</v>
      </c>
      <c r="W4" s="3366"/>
      <c r="X4" s="1568"/>
      <c r="Y4" s="3379" t="s">
        <v>527</v>
      </c>
      <c r="Z4" s="3380"/>
      <c r="AA4" s="3368" t="s">
        <v>523</v>
      </c>
      <c r="AB4" s="3366" t="s">
        <v>524</v>
      </c>
      <c r="AC4" s="3368" t="s">
        <v>525</v>
      </c>
    </row>
    <row r="5" spans="1:29" ht="15">
      <c r="A5" s="515"/>
      <c r="B5" s="516"/>
      <c r="C5" s="3387" t="s">
        <v>2931</v>
      </c>
      <c r="D5" s="3388"/>
      <c r="E5" s="3407" t="s">
        <v>2932</v>
      </c>
      <c r="F5" s="3408"/>
      <c r="G5" s="3387" t="s">
        <v>2933</v>
      </c>
      <c r="H5" s="3388"/>
      <c r="I5" s="3387" t="s">
        <v>2934</v>
      </c>
      <c r="J5" s="3388"/>
      <c r="K5" s="514"/>
      <c r="L5" s="2135"/>
      <c r="M5" s="2136"/>
      <c r="N5" s="2136"/>
      <c r="O5" s="2136"/>
      <c r="P5" s="3375"/>
      <c r="Q5" s="3376"/>
      <c r="R5" s="3381"/>
      <c r="S5" s="3382"/>
      <c r="T5" s="3381"/>
      <c r="U5" s="3382"/>
      <c r="V5" s="3366"/>
      <c r="W5" s="3366"/>
      <c r="X5" s="1568"/>
      <c r="Y5" s="3381"/>
      <c r="Z5" s="3382"/>
      <c r="AA5" s="3369"/>
      <c r="AB5" s="3366"/>
      <c r="AC5" s="3369"/>
    </row>
    <row r="6" spans="1:29" ht="15.75" thickBot="1">
      <c r="A6" s="517"/>
      <c r="B6" s="518"/>
      <c r="C6" s="3385" t="s">
        <v>2935</v>
      </c>
      <c r="D6" s="3386"/>
      <c r="E6" s="3403" t="s">
        <v>2935</v>
      </c>
      <c r="F6" s="3404"/>
      <c r="G6" s="3385" t="s">
        <v>2935</v>
      </c>
      <c r="H6" s="3386"/>
      <c r="I6" s="3385" t="s">
        <v>2935</v>
      </c>
      <c r="J6" s="3386"/>
      <c r="K6" s="514" t="s">
        <v>528</v>
      </c>
      <c r="L6" s="2135"/>
      <c r="M6" s="2136"/>
      <c r="N6" s="2136"/>
      <c r="O6" s="2136"/>
      <c r="P6" s="3377"/>
      <c r="Q6" s="3378"/>
      <c r="R6" s="3381"/>
      <c r="S6" s="3382"/>
      <c r="T6" s="3383"/>
      <c r="U6" s="3384"/>
      <c r="V6" s="3366"/>
      <c r="W6" s="3366"/>
      <c r="X6" s="1568"/>
      <c r="Y6" s="3383"/>
      <c r="Z6" s="3384"/>
      <c r="AA6" s="3370"/>
      <c r="AB6" s="3366"/>
      <c r="AC6" s="3370"/>
    </row>
    <row r="7" spans="1:29" s="1220" customFormat="1" ht="15.75" thickBot="1">
      <c r="A7" s="2913"/>
      <c r="B7" s="2920" t="s">
        <v>529</v>
      </c>
      <c r="C7" s="519">
        <f>'数据-取费表'!B2</f>
        <v>43439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0"/>
      <c r="Q21" s="2581" t="str">
        <f>B21</f>
        <v>基础设施水平</v>
      </c>
      <c r="R21" s="1574" t="s">
        <v>8</v>
      </c>
      <c r="S21" s="1575">
        <f>F21</f>
        <v>100</v>
      </c>
      <c r="T21" s="1574" t="s">
        <v>8</v>
      </c>
      <c r="U21" s="1575">
        <f>H21</f>
        <v>100</v>
      </c>
      <c r="V21" s="1574" t="s">
        <v>8</v>
      </c>
      <c r="W21" s="1575">
        <f>J21</f>
        <v>100</v>
      </c>
      <c r="X21" s="2583"/>
      <c r="Y21" s="340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0"/>
      <c r="Q22" s="2581"/>
      <c r="R22" s="1574"/>
      <c r="S22" s="1575"/>
      <c r="T22" s="1574"/>
      <c r="U22" s="1575"/>
      <c r="V22" s="1574"/>
      <c r="W22" s="1575"/>
      <c r="X22" s="2583"/>
      <c r="Y22" s="3400"/>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0"/>
      <c r="Q25" s="1573" t="str">
        <f t="shared" ref="Q25:Q46" si="11">B25</f>
        <v>临街状况</v>
      </c>
      <c r="R25" s="1574" t="s">
        <v>8</v>
      </c>
      <c r="S25" s="1575">
        <f>F25</f>
        <v>100</v>
      </c>
      <c r="T25" s="1574" t="s">
        <v>8</v>
      </c>
      <c r="U25" s="1575">
        <f>H25</f>
        <v>100</v>
      </c>
      <c r="V25" s="1574" t="s">
        <v>8</v>
      </c>
      <c r="W25" s="1575">
        <f>J25</f>
        <v>100</v>
      </c>
      <c r="X25" s="1568"/>
      <c r="Y25" s="340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2"/>
      <c r="Q33" s="1606" t="str">
        <f t="shared" si="11"/>
        <v>项目建筑规模</v>
      </c>
      <c r="R33" s="1578" t="s">
        <v>8</v>
      </c>
      <c r="S33" s="1579" t="e">
        <f t="shared" si="12"/>
        <v>#N/A</v>
      </c>
      <c r="T33" s="1578" t="s">
        <v>8</v>
      </c>
      <c r="U33" s="1579" t="e">
        <f t="shared" si="13"/>
        <v>#N/A</v>
      </c>
      <c r="V33" s="1578" t="s">
        <v>8</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2"/>
      <c r="Q36" s="1573" t="str">
        <f t="shared" si="11"/>
        <v>成新度</v>
      </c>
      <c r="R36" s="1574" t="s">
        <v>8</v>
      </c>
      <c r="S36" s="1575" t="e">
        <f t="shared" si="12"/>
        <v>#N/A</v>
      </c>
      <c r="T36" s="1574" t="s">
        <v>8</v>
      </c>
      <c r="U36" s="1575" t="e">
        <f t="shared" si="13"/>
        <v>#N/A</v>
      </c>
      <c r="V36" s="1574" t="s">
        <v>8</v>
      </c>
      <c r="W36" s="1575" t="e">
        <f t="shared" si="14"/>
        <v>#N/A</v>
      </c>
      <c r="X36" s="1568"/>
      <c r="Y36" s="3402"/>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2"/>
      <c r="Q42" s="1573" t="str">
        <f t="shared" si="11"/>
        <v>内部装修</v>
      </c>
      <c r="R42" s="1574" t="s">
        <v>8</v>
      </c>
      <c r="S42" s="1575">
        <f t="shared" si="12"/>
        <v>100</v>
      </c>
      <c r="T42" s="1574" t="s">
        <v>8</v>
      </c>
      <c r="U42" s="1575">
        <f t="shared" si="13"/>
        <v>100</v>
      </c>
      <c r="V42" s="1574" t="s">
        <v>8</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65" t="str">
        <f>A47</f>
        <v>成交单价（元/平方米）</v>
      </c>
      <c r="Q47" s="3365"/>
      <c r="R47" s="3478">
        <f>E47</f>
        <v>0</v>
      </c>
      <c r="S47" s="3478"/>
      <c r="T47" s="3478">
        <f>G47</f>
        <v>0</v>
      </c>
      <c r="U47" s="3478"/>
      <c r="V47" s="3478">
        <f>I47</f>
        <v>0</v>
      </c>
      <c r="W47" s="3478"/>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65" t="str">
        <f>A48</f>
        <v>比较价格（元/平方米）</v>
      </c>
      <c r="Q48" s="336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2937</v>
      </c>
      <c r="B49" s="622"/>
      <c r="C49" s="2638" t="e">
        <f>R49</f>
        <v>#DIV/0!</v>
      </c>
      <c r="D49" s="2638"/>
      <c r="E49" s="2638"/>
      <c r="F49" s="2638"/>
      <c r="G49" s="2638"/>
      <c r="H49" s="2638"/>
      <c r="I49" s="2638"/>
      <c r="J49" s="2638"/>
      <c r="K49" s="1614"/>
      <c r="L49" s="2146"/>
      <c r="M49" s="2147"/>
      <c r="N49" s="2136"/>
      <c r="O49" s="2147"/>
      <c r="P49" s="3362" t="str">
        <f>A49</f>
        <v>估价对象XX用房的比较价格（楼面单价，元/平方米）</v>
      </c>
      <c r="Q49" s="3363"/>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M54" sqref="M5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3025</v>
      </c>
      <c r="E1" s="506"/>
      <c r="F1" s="2809" t="s">
        <v>3017</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120747</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5488</v>
      </c>
      <c r="C3" s="852" t="s">
        <v>722</v>
      </c>
      <c r="D3" s="851">
        <f>SUMIF('数据-汇总表'!$C19:$C33,D1,'数据-汇总表'!$E19:$E33)</f>
        <v>220020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1" t="s">
        <v>522</v>
      </c>
      <c r="D4" s="3372"/>
      <c r="E4" s="3405" t="s">
        <v>523</v>
      </c>
      <c r="F4" s="3406"/>
      <c r="G4" s="3371" t="s">
        <v>524</v>
      </c>
      <c r="H4" s="3372"/>
      <c r="I4" s="3371" t="s">
        <v>525</v>
      </c>
      <c r="J4" s="3372"/>
      <c r="K4" s="514" t="s">
        <v>526</v>
      </c>
      <c r="L4" s="2135"/>
      <c r="M4" s="2136"/>
      <c r="N4" s="2136"/>
      <c r="O4" s="2136"/>
      <c r="P4" s="3484"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2931</v>
      </c>
      <c r="D5" s="3388"/>
      <c r="E5" s="3482" t="s">
        <v>3161</v>
      </c>
      <c r="F5" s="3408"/>
      <c r="G5" s="3480" t="s">
        <v>3158</v>
      </c>
      <c r="H5" s="3388"/>
      <c r="I5" s="3480" t="s">
        <v>3156</v>
      </c>
      <c r="J5" s="3388"/>
      <c r="K5" s="514"/>
      <c r="L5" s="2135"/>
      <c r="M5" s="2136"/>
      <c r="N5" s="2136"/>
      <c r="O5" s="2136"/>
      <c r="P5" s="3485"/>
      <c r="Q5" s="3376"/>
      <c r="R5" s="3381"/>
      <c r="S5" s="3382"/>
      <c r="T5" s="3381"/>
      <c r="U5" s="3382"/>
      <c r="V5" s="3366"/>
      <c r="W5" s="3366"/>
      <c r="X5" s="1568"/>
      <c r="Y5" s="3381"/>
      <c r="Z5" s="3382"/>
      <c r="AA5" s="3369"/>
      <c r="AB5" s="3369"/>
      <c r="AC5" s="3369"/>
    </row>
    <row r="6" spans="1:29" ht="15.75" thickBot="1">
      <c r="A6" s="517"/>
      <c r="B6" s="518"/>
      <c r="C6" s="3385" t="s">
        <v>2935</v>
      </c>
      <c r="D6" s="3386"/>
      <c r="E6" s="3481" t="s">
        <v>3162</v>
      </c>
      <c r="F6" s="3404"/>
      <c r="G6" s="3487" t="s">
        <v>3159</v>
      </c>
      <c r="H6" s="3386"/>
      <c r="I6" s="3487" t="s">
        <v>3157</v>
      </c>
      <c r="J6" s="3386"/>
      <c r="K6" s="514" t="s">
        <v>528</v>
      </c>
      <c r="L6" s="2135"/>
      <c r="M6" s="2136"/>
      <c r="N6" s="2136"/>
      <c r="O6" s="2136"/>
      <c r="P6" s="3486"/>
      <c r="Q6" s="3378"/>
      <c r="R6" s="3381"/>
      <c r="S6" s="3382"/>
      <c r="T6" s="3383"/>
      <c r="U6" s="3384"/>
      <c r="V6" s="3366"/>
      <c r="W6" s="3366"/>
      <c r="X6" s="1568"/>
      <c r="Y6" s="3383"/>
      <c r="Z6" s="3384"/>
      <c r="AA6" s="3370"/>
      <c r="AB6" s="3370"/>
      <c r="AC6" s="3370"/>
    </row>
    <row r="7" spans="1:29" s="1220" customFormat="1" ht="15.75" thickBot="1">
      <c r="A7" s="2913"/>
      <c r="B7" s="2920" t="s">
        <v>529</v>
      </c>
      <c r="C7" s="519">
        <f>'数据-取费表'!B2</f>
        <v>43439</v>
      </c>
      <c r="D7" s="520">
        <v>100</v>
      </c>
      <c r="E7" s="521">
        <v>43435</v>
      </c>
      <c r="F7" s="522">
        <f>SUMIF(59:59,YEAR(E7)&amp;"-"&amp;MONTH(E7),60:60)</f>
        <v>100</v>
      </c>
      <c r="G7" s="521">
        <v>43435</v>
      </c>
      <c r="H7" s="520">
        <f>SUMIF(59:59,YEAR(G7)&amp;"-"&amp;MONTH(G7),60:60)</f>
        <v>100</v>
      </c>
      <c r="I7" s="521">
        <v>43435</v>
      </c>
      <c r="J7" s="520">
        <f>SUMIF(59:59,YEAR(I7)&amp;"-"&amp;MONTH(I7),60:60)</f>
        <v>100</v>
      </c>
      <c r="K7" s="524"/>
      <c r="L7" s="2137"/>
      <c r="M7" s="2138"/>
      <c r="N7" s="2138"/>
      <c r="O7" s="2138"/>
      <c r="P7" s="3398" t="s">
        <v>530</v>
      </c>
      <c r="Q7" s="3398"/>
      <c r="R7" s="1569" t="s">
        <v>8</v>
      </c>
      <c r="S7" s="1570">
        <f t="shared" ref="S7:S15" si="0">F7</f>
        <v>100</v>
      </c>
      <c r="T7" s="1569" t="s">
        <v>8</v>
      </c>
      <c r="U7" s="1570">
        <f t="shared" ref="U7:U15" si="1">H7</f>
        <v>100</v>
      </c>
      <c r="V7" s="1569" t="s">
        <v>8</v>
      </c>
      <c r="W7" s="1570">
        <f t="shared" ref="W7:W15" si="2">J7</f>
        <v>100</v>
      </c>
      <c r="X7" s="1571"/>
      <c r="Y7" s="3396" t="s">
        <v>530</v>
      </c>
      <c r="Z7" s="3397"/>
      <c r="AA7" s="1572">
        <f>D7/F7</f>
        <v>1</v>
      </c>
      <c r="AB7" s="1572">
        <f>D7/H7</f>
        <v>1</v>
      </c>
      <c r="AC7" s="1572">
        <f>D7/J7</f>
        <v>1</v>
      </c>
    </row>
    <row r="8" spans="1:29" s="1220" customFormat="1" ht="15.75" thickBot="1">
      <c r="A8" s="2914"/>
      <c r="B8" s="2921" t="s">
        <v>531</v>
      </c>
      <c r="C8" s="525" t="s">
        <v>576</v>
      </c>
      <c r="D8" s="520">
        <v>100</v>
      </c>
      <c r="E8" s="525" t="s">
        <v>3008</v>
      </c>
      <c r="F8" s="522">
        <f>SUMIF(62:62,E8,63:63)-SUMIF(62:62,C8,63:63)+100</f>
        <v>100</v>
      </c>
      <c r="G8" s="525" t="s">
        <v>3008</v>
      </c>
      <c r="H8" s="520">
        <f>SUMIF(62:62,G8,63:63)-SUMIF(62:62,C8,63:63)+100</f>
        <v>100</v>
      </c>
      <c r="I8" s="525" t="s">
        <v>3008</v>
      </c>
      <c r="J8" s="520">
        <f>SUMIF(62:62,I8,63:63)-SUMIF(62:62,C8,63:63)+100</f>
        <v>100</v>
      </c>
      <c r="K8" s="524"/>
      <c r="L8" s="2137"/>
      <c r="M8" s="2138"/>
      <c r="N8" s="2138"/>
      <c r="O8" s="2138"/>
      <c r="P8" s="3398" t="s">
        <v>533</v>
      </c>
      <c r="Q8" s="3397"/>
      <c r="R8" s="1569" t="s">
        <v>8</v>
      </c>
      <c r="S8" s="1570">
        <f t="shared" si="0"/>
        <v>100</v>
      </c>
      <c r="T8" s="1569" t="s">
        <v>8</v>
      </c>
      <c r="U8" s="1570">
        <f t="shared" si="1"/>
        <v>100</v>
      </c>
      <c r="V8" s="1569" t="s">
        <v>8</v>
      </c>
      <c r="W8" s="1570">
        <f t="shared" si="2"/>
        <v>100</v>
      </c>
      <c r="X8" s="1571"/>
      <c r="Y8" s="3396" t="s">
        <v>533</v>
      </c>
      <c r="Z8" s="3397"/>
      <c r="AA8" s="1572">
        <f t="shared" ref="AA8:AA47" si="3">D8/F8</f>
        <v>1</v>
      </c>
      <c r="AB8" s="1572">
        <f t="shared" ref="AB8:AB47" si="4">D8/H8</f>
        <v>1</v>
      </c>
      <c r="AC8" s="1572">
        <f t="shared" ref="AC8:AC47" si="5">D8/J8</f>
        <v>1</v>
      </c>
    </row>
    <row r="9" spans="1:29" s="1220" customFormat="1" ht="15">
      <c r="A9" s="2915"/>
      <c r="B9" s="2922" t="s">
        <v>2758</v>
      </c>
      <c r="C9" s="3187" t="s">
        <v>3128</v>
      </c>
      <c r="D9" s="254">
        <v>100</v>
      </c>
      <c r="E9" s="860" t="s">
        <v>3127</v>
      </c>
      <c r="F9" s="254">
        <f>SUMIF(64:64,E9,65:65)-SUMIF(64:64,C9,65:65)+100</f>
        <v>100</v>
      </c>
      <c r="G9" s="858" t="s">
        <v>3127</v>
      </c>
      <c r="H9" s="254">
        <f>SUMIF(64:64,G9,65:65)-SUMIF(64:64,C9,65:65)+100</f>
        <v>100</v>
      </c>
      <c r="I9" s="858" t="s">
        <v>3127</v>
      </c>
      <c r="J9" s="254">
        <f>SUMIF(64:64,I9,65:65)-SUMIF(64:64,C9,65:65)+100</f>
        <v>100</v>
      </c>
      <c r="K9" s="524"/>
      <c r="L9" s="2137"/>
      <c r="M9" s="2138"/>
      <c r="N9" s="2138"/>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6"/>
      <c r="B10" s="2921" t="s">
        <v>2759</v>
      </c>
      <c r="C10" s="861" t="s">
        <v>3129</v>
      </c>
      <c r="D10" s="255">
        <v>100</v>
      </c>
      <c r="E10" s="861" t="s">
        <v>3129</v>
      </c>
      <c r="F10" s="255">
        <f>SUMIF(66:66,E10,67:67)-SUMIF(66:66,C10,67:67)+100</f>
        <v>100</v>
      </c>
      <c r="G10" s="862" t="s">
        <v>3129</v>
      </c>
      <c r="H10" s="255">
        <f>SUMIF(66:66,G10,67:67)-SUMIF(66:66,C10,67:67)+100</f>
        <v>100</v>
      </c>
      <c r="I10" s="862" t="s">
        <v>3129</v>
      </c>
      <c r="J10" s="255">
        <f>SUMIF(66:66,I10,67:67)-SUMIF(66:66,C10,67:67)+100</f>
        <v>100</v>
      </c>
      <c r="K10" s="584">
        <v>1</v>
      </c>
      <c r="L10" s="2140"/>
      <c r="M10" s="2180"/>
      <c r="N10" s="2180"/>
      <c r="O10" s="218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7"/>
      <c r="B11" s="2921" t="s">
        <v>2760</v>
      </c>
      <c r="C11" s="533">
        <f>'数据-汇总表'!I4</f>
        <v>3</v>
      </c>
      <c r="D11" s="255">
        <v>100</v>
      </c>
      <c r="E11" s="533">
        <v>2.8</v>
      </c>
      <c r="F11" s="255">
        <f>LOOKUP(E11,69:69,70:70)-LOOKUP(C11,69:69,70:70)+100</f>
        <v>101</v>
      </c>
      <c r="G11" s="534">
        <v>2.5</v>
      </c>
      <c r="H11" s="255">
        <f>LOOKUP(G11,69:69,70:70)-LOOKUP(C11,69:69,70:70)+100</f>
        <v>101</v>
      </c>
      <c r="I11" s="534">
        <v>1.6</v>
      </c>
      <c r="J11" s="255">
        <f>LOOKUP(I11,69:69,70:70)-LOOKUP(C11,69:69,70:70)+100</f>
        <v>102</v>
      </c>
      <c r="K11" s="584">
        <v>1</v>
      </c>
      <c r="L11" s="2142"/>
      <c r="M11" s="2136"/>
      <c r="N11" s="2136"/>
      <c r="O11" s="2136"/>
      <c r="P11" s="3365"/>
      <c r="Q11" s="1151" t="str">
        <f t="shared" si="6"/>
        <v>容积率</v>
      </c>
      <c r="R11" s="1569" t="s">
        <v>8</v>
      </c>
      <c r="S11" s="1570">
        <f t="shared" si="0"/>
        <v>101</v>
      </c>
      <c r="T11" s="1569" t="s">
        <v>8</v>
      </c>
      <c r="U11" s="1570">
        <f t="shared" si="1"/>
        <v>101</v>
      </c>
      <c r="V11" s="1569" t="s">
        <v>8</v>
      </c>
      <c r="W11" s="1570">
        <f t="shared" si="2"/>
        <v>102</v>
      </c>
      <c r="X11" s="1571"/>
      <c r="Y11" s="3311"/>
      <c r="Z11" s="1150" t="str">
        <f t="shared" si="7"/>
        <v>容积率</v>
      </c>
      <c r="AA11" s="1572">
        <f t="shared" si="3"/>
        <v>0.99009900990099009</v>
      </c>
      <c r="AB11" s="1572">
        <f t="shared" si="4"/>
        <v>0.99009900990099009</v>
      </c>
      <c r="AC11" s="1572">
        <f t="shared" si="5"/>
        <v>0.98039215686274506</v>
      </c>
    </row>
    <row r="12" spans="1:29" s="1220" customFormat="1" ht="15">
      <c r="A12" s="2918"/>
      <c r="B12" s="2924">
        <v>111</v>
      </c>
      <c r="C12" s="528"/>
      <c r="D12" s="538">
        <v>100</v>
      </c>
      <c r="E12" s="528"/>
      <c r="F12" s="255">
        <f>SUMIF(71:71,E12,72:72)-SUMIF(71:71,C12,72:72)+100</f>
        <v>100</v>
      </c>
      <c r="G12" s="910"/>
      <c r="H12" s="255">
        <f>SUMIF(71:71,G12,72:72)-SUMIF(71:71,C12,72:72)+100</f>
        <v>100</v>
      </c>
      <c r="I12" s="910"/>
      <c r="J12" s="255">
        <f>SUMIF(71:71,I12,72:72)-SUMIF(71:71,C12,72:72)+100</f>
        <v>100</v>
      </c>
      <c r="K12" s="581"/>
      <c r="L12" s="2137"/>
      <c r="M12" s="2138"/>
      <c r="N12" s="2138"/>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910"/>
      <c r="J13" s="540">
        <f>SUMIF(73:73,I13,74:74)-SUMIF(73:73,C13,74:74)+100</f>
        <v>100</v>
      </c>
      <c r="K13" s="581"/>
      <c r="L13" s="2144"/>
      <c r="M13" s="2136"/>
      <c r="N13" s="2136"/>
      <c r="O13" s="2136"/>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910"/>
      <c r="J14" s="546">
        <f>SUMIF(75:75,I14,76:76)-SUMIF(75:75,C14,76:76)+100</f>
        <v>100</v>
      </c>
      <c r="K14" s="581"/>
      <c r="L14" s="2144"/>
      <c r="M14" s="2136"/>
      <c r="N14" s="2136"/>
      <c r="O14" s="2136"/>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102</v>
      </c>
      <c r="G15" s="552"/>
      <c r="H15" s="549">
        <f>SUMIF(77:77,G16,78:78)-SUMIF(77:77,C16,78:78)+100</f>
        <v>100</v>
      </c>
      <c r="I15" s="552"/>
      <c r="J15" s="549">
        <f>SUMIF(77:77,I16,78:78)-SUMIF(77:77,C16,78:78)+100</f>
        <v>100</v>
      </c>
      <c r="K15" s="898">
        <v>2</v>
      </c>
      <c r="L15" s="2144"/>
      <c r="M15" s="2136"/>
      <c r="N15" s="2136"/>
      <c r="O15" s="2136"/>
      <c r="P15" s="3399" t="s">
        <v>540</v>
      </c>
      <c r="Q15" s="1573" t="str">
        <f t="shared" si="6"/>
        <v>办公集聚程度</v>
      </c>
      <c r="R15" s="1574" t="s">
        <v>8</v>
      </c>
      <c r="S15" s="1575">
        <f t="shared" si="0"/>
        <v>102</v>
      </c>
      <c r="T15" s="1574" t="s">
        <v>8</v>
      </c>
      <c r="U15" s="1575">
        <f t="shared" si="1"/>
        <v>100</v>
      </c>
      <c r="V15" s="1574" t="s">
        <v>8</v>
      </c>
      <c r="W15" s="1575">
        <f t="shared" si="2"/>
        <v>100</v>
      </c>
      <c r="X15" s="1568"/>
      <c r="Y15" s="3399" t="s">
        <v>540</v>
      </c>
      <c r="Z15" s="1576" t="str">
        <f t="shared" si="7"/>
        <v>办公集聚程度</v>
      </c>
      <c r="AA15" s="1577">
        <f t="shared" si="3"/>
        <v>0.98039215686274506</v>
      </c>
      <c r="AB15" s="1577">
        <f t="shared" si="4"/>
        <v>1</v>
      </c>
      <c r="AC15" s="1577">
        <f t="shared" si="5"/>
        <v>1</v>
      </c>
    </row>
    <row r="16" spans="1:29" ht="15">
      <c r="A16" s="532"/>
      <c r="B16" s="553"/>
      <c r="C16" s="554" t="s">
        <v>3012</v>
      </c>
      <c r="D16" s="555"/>
      <c r="E16" s="576" t="s">
        <v>3009</v>
      </c>
      <c r="F16" s="555"/>
      <c r="G16" s="576" t="s">
        <v>3012</v>
      </c>
      <c r="H16" s="559"/>
      <c r="I16" s="576" t="s">
        <v>3012</v>
      </c>
      <c r="J16" s="555"/>
      <c r="K16" s="899"/>
      <c r="L16" s="2144"/>
      <c r="M16" s="2136"/>
      <c r="N16" s="2136"/>
      <c r="O16" s="2136"/>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4"/>
      <c r="H17" s="565">
        <f>SUMIF(79:79,G18,80:80)-SUMIF(79:79,C18,80:80)+100</f>
        <v>102</v>
      </c>
      <c r="I17" s="564"/>
      <c r="J17" s="565">
        <f>SUMIF(79:79,I18,80:80)-SUMIF(79:79,C18,80:80)+100</f>
        <v>102</v>
      </c>
      <c r="K17" s="898">
        <v>2</v>
      </c>
      <c r="L17" s="2144"/>
      <c r="M17" s="2136"/>
      <c r="N17" s="2136"/>
      <c r="O17" s="2136"/>
      <c r="P17" s="3400"/>
      <c r="Q17" s="1573" t="str">
        <f>B17</f>
        <v>交通便捷度</v>
      </c>
      <c r="R17" s="1574" t="s">
        <v>8</v>
      </c>
      <c r="S17" s="1575">
        <f>F17</f>
        <v>102</v>
      </c>
      <c r="T17" s="1574" t="s">
        <v>8</v>
      </c>
      <c r="U17" s="1575">
        <f>H17</f>
        <v>102</v>
      </c>
      <c r="V17" s="1574" t="s">
        <v>8</v>
      </c>
      <c r="W17" s="1575">
        <f>J17</f>
        <v>102</v>
      </c>
      <c r="X17" s="1568"/>
      <c r="Y17" s="3400"/>
      <c r="Z17" s="1576" t="str">
        <f>Q17</f>
        <v>交通便捷度</v>
      </c>
      <c r="AA17" s="1577">
        <f t="shared" si="3"/>
        <v>0.98039215686274506</v>
      </c>
      <c r="AB17" s="1577">
        <f t="shared" si="4"/>
        <v>0.98039215686274506</v>
      </c>
      <c r="AC17" s="1577">
        <f t="shared" si="5"/>
        <v>0.98039215686274506</v>
      </c>
    </row>
    <row r="18" spans="1:29" ht="15">
      <c r="A18" s="532"/>
      <c r="B18" s="566"/>
      <c r="C18" s="567" t="s">
        <v>3012</v>
      </c>
      <c r="D18" s="559"/>
      <c r="E18" s="569" t="s">
        <v>3009</v>
      </c>
      <c r="F18" s="559"/>
      <c r="G18" s="569" t="s">
        <v>3009</v>
      </c>
      <c r="H18" s="555"/>
      <c r="I18" s="569" t="s">
        <v>3009</v>
      </c>
      <c r="J18" s="555"/>
      <c r="K18" s="899"/>
      <c r="L18" s="2144"/>
      <c r="M18" s="2136"/>
      <c r="N18" s="2136"/>
      <c r="O18" s="2136"/>
      <c r="P18" s="3400"/>
      <c r="Q18" s="1573"/>
      <c r="R18" s="1574"/>
      <c r="S18" s="1575"/>
      <c r="T18" s="1574"/>
      <c r="U18" s="1575"/>
      <c r="V18" s="1574"/>
      <c r="W18" s="1575"/>
      <c r="X18" s="1568"/>
      <c r="Y18" s="3400"/>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102</v>
      </c>
      <c r="G19" s="572"/>
      <c r="H19" s="559">
        <f>SUMIF(81:81,G20,82:82)-SUMIF(81:81,C20,82:82)+100</f>
        <v>102</v>
      </c>
      <c r="I19" s="572"/>
      <c r="J19" s="559">
        <f>SUMIF(81:81,I20,82:82)-SUMIF(81:81,C20,82:82)+100</f>
        <v>102</v>
      </c>
      <c r="K19" s="898">
        <v>2</v>
      </c>
      <c r="L19" s="2144"/>
      <c r="M19" s="2136"/>
      <c r="N19" s="2136"/>
      <c r="O19" s="2136"/>
      <c r="P19" s="3400"/>
      <c r="Q19" s="1573" t="str">
        <f>B19</f>
        <v>公共配套设施</v>
      </c>
      <c r="R19" s="1574" t="s">
        <v>8</v>
      </c>
      <c r="S19" s="1575">
        <f>F19</f>
        <v>102</v>
      </c>
      <c r="T19" s="1574" t="s">
        <v>8</v>
      </c>
      <c r="U19" s="1575">
        <f>H19</f>
        <v>102</v>
      </c>
      <c r="V19" s="1574" t="s">
        <v>8</v>
      </c>
      <c r="W19" s="1575">
        <f>J19</f>
        <v>102</v>
      </c>
      <c r="X19" s="1568"/>
      <c r="Y19" s="3400"/>
      <c r="Z19" s="1576" t="str">
        <f>Q19</f>
        <v>公共配套设施</v>
      </c>
      <c r="AA19" s="1577">
        <f t="shared" si="3"/>
        <v>0.98039215686274506</v>
      </c>
      <c r="AB19" s="1577">
        <f t="shared" si="4"/>
        <v>0.98039215686274506</v>
      </c>
      <c r="AC19" s="1577">
        <f t="shared" si="5"/>
        <v>0.98039215686274506</v>
      </c>
    </row>
    <row r="20" spans="1:29" ht="15">
      <c r="A20" s="532"/>
      <c r="B20" s="566"/>
      <c r="C20" s="554" t="s">
        <v>3012</v>
      </c>
      <c r="D20" s="555"/>
      <c r="E20" s="558" t="s">
        <v>3009</v>
      </c>
      <c r="F20" s="555"/>
      <c r="G20" s="558" t="s">
        <v>3009</v>
      </c>
      <c r="H20" s="555"/>
      <c r="I20" s="558" t="s">
        <v>3009</v>
      </c>
      <c r="J20" s="555"/>
      <c r="K20" s="899"/>
      <c r="L20" s="2144"/>
      <c r="M20" s="2136"/>
      <c r="N20" s="2136"/>
      <c r="O20" s="2136"/>
      <c r="P20" s="3400"/>
      <c r="Q20" s="1573"/>
      <c r="R20" s="1574"/>
      <c r="S20" s="1575"/>
      <c r="T20" s="1574"/>
      <c r="U20" s="1575"/>
      <c r="V20" s="1574"/>
      <c r="W20" s="1575"/>
      <c r="X20" s="1568"/>
      <c r="Y20" s="3400"/>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v>1</v>
      </c>
      <c r="L21" s="2144"/>
      <c r="M21" s="2136"/>
      <c r="N21" s="2136"/>
      <c r="O21" s="2136"/>
      <c r="P21" s="3400"/>
      <c r="Q21" s="2581" t="str">
        <f>B21</f>
        <v>基础设施水平</v>
      </c>
      <c r="R21" s="1574" t="s">
        <v>8</v>
      </c>
      <c r="S21" s="1575">
        <f>F21</f>
        <v>100</v>
      </c>
      <c r="T21" s="1574" t="s">
        <v>8</v>
      </c>
      <c r="U21" s="1575">
        <f>H21</f>
        <v>100</v>
      </c>
      <c r="V21" s="1574" t="s">
        <v>8</v>
      </c>
      <c r="W21" s="1575">
        <f>J21</f>
        <v>100</v>
      </c>
      <c r="X21" s="2583"/>
      <c r="Y21" s="3400"/>
      <c r="Z21" s="2582" t="str">
        <f>Q21</f>
        <v>基础设施水平</v>
      </c>
      <c r="AA21" s="1577">
        <f t="shared" ref="AA21" si="8">D21/F21</f>
        <v>1</v>
      </c>
      <c r="AB21" s="1577">
        <f t="shared" ref="AB21" si="9">D21/H21</f>
        <v>1</v>
      </c>
      <c r="AC21" s="1577">
        <f t="shared" ref="AC21" si="10">D21/J21</f>
        <v>1</v>
      </c>
    </row>
    <row r="22" spans="1:29" ht="15">
      <c r="A22" s="532"/>
      <c r="B22" s="578"/>
      <c r="C22" s="567" t="s">
        <v>3126</v>
      </c>
      <c r="D22" s="555"/>
      <c r="E22" s="576" t="s">
        <v>3126</v>
      </c>
      <c r="F22" s="555"/>
      <c r="G22" s="576" t="s">
        <v>3126</v>
      </c>
      <c r="H22" s="555"/>
      <c r="I22" s="576" t="s">
        <v>3126</v>
      </c>
      <c r="J22" s="555"/>
      <c r="K22" s="2604"/>
      <c r="L22" s="2144"/>
      <c r="M22" s="2136"/>
      <c r="N22" s="2136"/>
      <c r="O22" s="2136"/>
      <c r="P22" s="3400"/>
      <c r="Q22" s="2581"/>
      <c r="R22" s="1574"/>
      <c r="S22" s="1575"/>
      <c r="T22" s="1574"/>
      <c r="U22" s="1575"/>
      <c r="V22" s="1574"/>
      <c r="W22" s="1575"/>
      <c r="X22" s="2583"/>
      <c r="Y22" s="3400"/>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4"/>
      <c r="H23" s="559">
        <f>SUMIF(85:85,G24,86:86)-SUMIF(85:85,C24,86:86)+100</f>
        <v>98</v>
      </c>
      <c r="I23" s="564"/>
      <c r="J23" s="559">
        <f>SUMIF(85:85,I24,86:86)-SUMIF(85:85,C24,86:86)+100</f>
        <v>98</v>
      </c>
      <c r="K23" s="898">
        <v>2</v>
      </c>
      <c r="L23" s="2144"/>
      <c r="M23" s="2136"/>
      <c r="N23" s="2136"/>
      <c r="O23" s="2136"/>
      <c r="P23" s="3400"/>
      <c r="Q23" s="1573" t="str">
        <f>B23</f>
        <v>环境质量</v>
      </c>
      <c r="R23" s="1574" t="s">
        <v>8</v>
      </c>
      <c r="S23" s="1575">
        <f>F23</f>
        <v>100</v>
      </c>
      <c r="T23" s="1574" t="s">
        <v>8</v>
      </c>
      <c r="U23" s="1575">
        <f>H23</f>
        <v>98</v>
      </c>
      <c r="V23" s="1574" t="s">
        <v>8</v>
      </c>
      <c r="W23" s="1575">
        <f>J23</f>
        <v>98</v>
      </c>
      <c r="X23" s="1568"/>
      <c r="Y23" s="3400"/>
      <c r="Z23" s="1576" t="str">
        <f>Q23</f>
        <v>环境质量</v>
      </c>
      <c r="AA23" s="1577">
        <f t="shared" si="3"/>
        <v>1</v>
      </c>
      <c r="AB23" s="1577">
        <f t="shared" si="4"/>
        <v>1.0204081632653061</v>
      </c>
      <c r="AC23" s="1577">
        <f t="shared" si="5"/>
        <v>1.0204081632653061</v>
      </c>
    </row>
    <row r="24" spans="1:29" ht="15">
      <c r="A24" s="532"/>
      <c r="B24" s="578"/>
      <c r="C24" s="554" t="s">
        <v>3009</v>
      </c>
      <c r="D24" s="555"/>
      <c r="E24" s="558" t="s">
        <v>3009</v>
      </c>
      <c r="F24" s="555"/>
      <c r="G24" s="558" t="s">
        <v>3012</v>
      </c>
      <c r="H24" s="555"/>
      <c r="I24" s="558" t="s">
        <v>3012</v>
      </c>
      <c r="J24" s="555"/>
      <c r="K24" s="899"/>
      <c r="L24" s="2144"/>
      <c r="M24" s="2136"/>
      <c r="N24" s="2136"/>
      <c r="O24" s="2136"/>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v>1</v>
      </c>
      <c r="L25" s="2144"/>
      <c r="M25" s="2136"/>
      <c r="N25" s="2136"/>
      <c r="O25" s="2136"/>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3189" t="s">
        <v>3160</v>
      </c>
      <c r="C29" s="3190" t="s">
        <v>3163</v>
      </c>
      <c r="D29" s="540">
        <v>100</v>
      </c>
      <c r="E29" s="3191" t="s">
        <v>3164</v>
      </c>
      <c r="F29" s="540">
        <f>SUMIF(93:93,E29,94:94)-SUMIF(93:93,C29,94:94)+100</f>
        <v>102</v>
      </c>
      <c r="G29" s="3192" t="s">
        <v>3164</v>
      </c>
      <c r="H29" s="540">
        <f>SUMIF(93:93,G29,94:94)-SUMIF(93:93,C29,94:94)+100</f>
        <v>102</v>
      </c>
      <c r="I29" s="3191" t="s">
        <v>3165</v>
      </c>
      <c r="J29" s="540">
        <f>SUMIF(93:93,I29,94:94)-SUMIF(93:93,C29,94:94)+100</f>
        <v>102</v>
      </c>
      <c r="K29" s="581"/>
      <c r="L29" s="2144"/>
      <c r="M29" s="2136"/>
      <c r="N29" s="2136"/>
      <c r="O29" s="2136"/>
      <c r="P29" s="3400"/>
      <c r="Q29" s="1573" t="str">
        <f t="shared" si="11"/>
        <v>居住成熟度</v>
      </c>
      <c r="R29" s="1574" t="s">
        <v>8</v>
      </c>
      <c r="S29" s="1575">
        <f t="shared" ref="S29:S47" si="12">F29</f>
        <v>102</v>
      </c>
      <c r="T29" s="1574" t="s">
        <v>8</v>
      </c>
      <c r="U29" s="1575">
        <f t="shared" ref="U29:U47" si="13">H29</f>
        <v>102</v>
      </c>
      <c r="V29" s="1574" t="s">
        <v>8</v>
      </c>
      <c r="W29" s="1575">
        <f t="shared" ref="W29:W47" si="14">J29</f>
        <v>102</v>
      </c>
      <c r="X29" s="1568"/>
      <c r="Y29" s="3400"/>
      <c r="Z29" s="1576" t="str">
        <f t="shared" ref="Z29:Z47" si="15">Q29</f>
        <v>居住成熟度</v>
      </c>
      <c r="AA29" s="1577">
        <f t="shared" si="3"/>
        <v>0.98039215686274506</v>
      </c>
      <c r="AB29" s="1577">
        <f t="shared" si="4"/>
        <v>0.98039215686274506</v>
      </c>
      <c r="AC29" s="1577">
        <f t="shared" si="5"/>
        <v>0.98039215686274506</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909" t="s">
        <v>2757</v>
      </c>
      <c r="B33" s="172" t="s">
        <v>780</v>
      </c>
      <c r="C33" s="916" t="s">
        <v>3127</v>
      </c>
      <c r="D33" s="597">
        <v>100</v>
      </c>
      <c r="E33" s="916" t="s">
        <v>3127</v>
      </c>
      <c r="F33" s="575">
        <f>SUMIF(101:101,E33,102:102)-SUMIF(101:101,C33,102:102)+100</f>
        <v>100</v>
      </c>
      <c r="G33" s="916" t="s">
        <v>3127</v>
      </c>
      <c r="H33" s="540">
        <f>SUMIF(101:101,G33,102:102)-SUMIF(101:101,C33,102:102)+100</f>
        <v>100</v>
      </c>
      <c r="I33" s="916" t="s">
        <v>3127</v>
      </c>
      <c r="J33" s="597">
        <f>SUMIF(101:101,I33,102:102)-SUMIF(101:101,C33,102:102)+100</f>
        <v>100</v>
      </c>
      <c r="K33" s="584">
        <v>5</v>
      </c>
      <c r="L33" s="2144"/>
      <c r="M33" s="2136"/>
      <c r="N33" s="2136"/>
      <c r="O33" s="2136"/>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f>'数据-汇总表'!E3</f>
        <v>220020</v>
      </c>
      <c r="D34" s="255">
        <v>100</v>
      </c>
      <c r="E34" s="534">
        <v>155711</v>
      </c>
      <c r="F34" s="863">
        <f>LOOKUP(E34,104:104,105:105)-LOOKUP(C34,104:104,105:105)+100</f>
        <v>99</v>
      </c>
      <c r="G34" s="533">
        <v>200000</v>
      </c>
      <c r="H34" s="255">
        <f>LOOKUP(G34,104:104,105:105)-LOOKUP(C34,104:104,105:105)+100</f>
        <v>100</v>
      </c>
      <c r="I34" s="533">
        <v>299996</v>
      </c>
      <c r="J34" s="255">
        <f>LOOKUP(I34,104:104,105:105)-LOOKUP(C34,104:104,105:105)+100</f>
        <v>101</v>
      </c>
      <c r="K34" s="581"/>
      <c r="L34" s="2142"/>
      <c r="M34" s="2173"/>
      <c r="N34" s="2173"/>
      <c r="O34" s="2173"/>
      <c r="P34" s="3402"/>
      <c r="Q34" s="1606" t="str">
        <f t="shared" si="11"/>
        <v>项目建筑规模</v>
      </c>
      <c r="R34" s="1578" t="s">
        <v>8</v>
      </c>
      <c r="S34" s="1579">
        <f t="shared" si="12"/>
        <v>99</v>
      </c>
      <c r="T34" s="1578" t="s">
        <v>8</v>
      </c>
      <c r="U34" s="1579">
        <f t="shared" si="13"/>
        <v>100</v>
      </c>
      <c r="V34" s="1578" t="s">
        <v>8</v>
      </c>
      <c r="W34" s="1579">
        <f t="shared" si="14"/>
        <v>101</v>
      </c>
      <c r="X34" s="1580"/>
      <c r="Y34" s="3402"/>
      <c r="Z34" s="1581" t="str">
        <f t="shared" si="15"/>
        <v>项目建筑规模</v>
      </c>
      <c r="AA34" s="1577">
        <f t="shared" si="3"/>
        <v>1.0101010101010102</v>
      </c>
      <c r="AB34" s="1577">
        <f t="shared" si="4"/>
        <v>1</v>
      </c>
      <c r="AC34" s="1577">
        <f t="shared" si="5"/>
        <v>0.99009900990099009</v>
      </c>
    </row>
    <row r="35" spans="1:29" ht="15">
      <c r="A35" s="594"/>
      <c r="B35" s="527" t="s">
        <v>727</v>
      </c>
      <c r="C35" s="574" t="s">
        <v>3139</v>
      </c>
      <c r="D35" s="540">
        <v>100</v>
      </c>
      <c r="E35" s="574" t="s">
        <v>3139</v>
      </c>
      <c r="F35" s="575">
        <f>SUMIF(106:106,E35,107:107)-SUMIF(106:106,C35,107:107)+100</f>
        <v>100</v>
      </c>
      <c r="G35" s="574" t="s">
        <v>3139</v>
      </c>
      <c r="H35" s="540">
        <f>SUMIF(106:106,G35,107:107)-SUMIF(106:106,C35,107:107)+100</f>
        <v>100</v>
      </c>
      <c r="I35" s="574" t="s">
        <v>3139</v>
      </c>
      <c r="J35" s="540">
        <f>SUMIF(106:106,I35,107:107)-SUMIF(106:106,C35,107:107)+100</f>
        <v>100</v>
      </c>
      <c r="K35" s="584">
        <v>3</v>
      </c>
      <c r="L35" s="2144"/>
      <c r="M35" s="2136"/>
      <c r="N35" s="2136"/>
      <c r="O35" s="2136"/>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t="s">
        <v>3141</v>
      </c>
      <c r="D36" s="540">
        <v>100</v>
      </c>
      <c r="E36" s="574" t="s">
        <v>3141</v>
      </c>
      <c r="F36" s="575">
        <f>SUMIF(108:108,E36,109:109)-SUMIF(108:108,C36,109:109)+100</f>
        <v>100</v>
      </c>
      <c r="G36" s="574" t="s">
        <v>3141</v>
      </c>
      <c r="H36" s="540">
        <f>SUMIF(108:108,G36,109:109)-SUMIF(108:108,C36,109:109)+100</f>
        <v>100</v>
      </c>
      <c r="I36" s="574" t="s">
        <v>3141</v>
      </c>
      <c r="J36" s="540">
        <f>SUMIF(108:108,I36,109:109)-SUMIF(108:108,C36,109:109)+100</f>
        <v>100</v>
      </c>
      <c r="K36" s="584">
        <v>2</v>
      </c>
      <c r="L36" s="2144"/>
      <c r="M36" s="2136"/>
      <c r="N36" s="2136"/>
      <c r="O36" s="2136"/>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402"/>
      <c r="Q37" s="1573" t="str">
        <f t="shared" si="11"/>
        <v>成新度</v>
      </c>
      <c r="R37" s="1574" t="s">
        <v>8</v>
      </c>
      <c r="S37" s="1575">
        <f t="shared" si="12"/>
        <v>100</v>
      </c>
      <c r="T37" s="1574" t="s">
        <v>8</v>
      </c>
      <c r="U37" s="1575">
        <f t="shared" si="13"/>
        <v>100</v>
      </c>
      <c r="V37" s="1574" t="s">
        <v>8</v>
      </c>
      <c r="W37" s="1575">
        <f t="shared" si="14"/>
        <v>100</v>
      </c>
      <c r="X37" s="1568"/>
      <c r="Y37" s="3402"/>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t="s">
        <v>3144</v>
      </c>
      <c r="D39" s="540">
        <v>100</v>
      </c>
      <c r="E39" s="574" t="s">
        <v>3144</v>
      </c>
      <c r="F39" s="575">
        <f>SUMIF(115:115,E39,116:116)-SUMIF(115:115,C39,116:116)+100</f>
        <v>100</v>
      </c>
      <c r="G39" s="574" t="s">
        <v>3144</v>
      </c>
      <c r="H39" s="540">
        <f>SUMIF(115:115,G39,116:116)-SUMIF(115:115,C39,116:116)+100</f>
        <v>100</v>
      </c>
      <c r="I39" s="574" t="s">
        <v>3144</v>
      </c>
      <c r="J39" s="540">
        <f>SUMIF(115:115,I39,116:116)-SUMIF(115:115,C39,116:116)+100</f>
        <v>100</v>
      </c>
      <c r="K39" s="584">
        <v>5</v>
      </c>
      <c r="L39" s="2144"/>
      <c r="M39" s="2136"/>
      <c r="N39" s="2136"/>
      <c r="O39" s="2136"/>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7" t="s">
        <v>2567</v>
      </c>
      <c r="C40" s="574" t="s">
        <v>3146</v>
      </c>
      <c r="D40" s="540">
        <v>100</v>
      </c>
      <c r="E40" s="574" t="s">
        <v>3146</v>
      </c>
      <c r="F40" s="575">
        <f>SUMIF(117:117,E40,118:118)-SUMIF(117:117,C40,118:118)+100</f>
        <v>100</v>
      </c>
      <c r="G40" s="574" t="s">
        <v>3146</v>
      </c>
      <c r="H40" s="540">
        <f>SUMIF(117:117,G40,118:118)-SUMIF(117:117,C40,118:118)+100</f>
        <v>100</v>
      </c>
      <c r="I40" s="574" t="s">
        <v>3146</v>
      </c>
      <c r="J40" s="540">
        <f>SUMIF(117:117,I40,118:118)-SUMIF(117:117,C40,118:118)+100</f>
        <v>100</v>
      </c>
      <c r="K40" s="584">
        <v>1</v>
      </c>
      <c r="L40" s="2144"/>
      <c r="M40" s="2136"/>
      <c r="N40" s="2136"/>
      <c r="O40" s="2136"/>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t="s">
        <v>3150</v>
      </c>
      <c r="D41" s="540">
        <v>100</v>
      </c>
      <c r="E41" s="583" t="s">
        <v>3150</v>
      </c>
      <c r="F41" s="575">
        <f>SUMIF(119:119,E41,120:120)-SUMIF(119:119,C41,120:120)+100</f>
        <v>100</v>
      </c>
      <c r="G41" s="583" t="s">
        <v>3148</v>
      </c>
      <c r="H41" s="540">
        <f>SUMIF(119:119,G41,120:120)-SUMIF(119:119,C41,120:120)+100</f>
        <v>115</v>
      </c>
      <c r="I41" s="583" t="s">
        <v>3150</v>
      </c>
      <c r="J41" s="540">
        <f>SUMIF(119:119,I41,120:120)-SUMIF(119:119,C41,120:120)+100</f>
        <v>100</v>
      </c>
      <c r="K41" s="584">
        <v>15</v>
      </c>
      <c r="L41" s="2144"/>
      <c r="M41" s="2136"/>
      <c r="N41" s="2136"/>
      <c r="O41" s="2136"/>
      <c r="P41" s="3402"/>
      <c r="Q41" s="1573" t="str">
        <f t="shared" si="11"/>
        <v>层高</v>
      </c>
      <c r="R41" s="1574" t="s">
        <v>8</v>
      </c>
      <c r="S41" s="1575">
        <f t="shared" si="12"/>
        <v>100</v>
      </c>
      <c r="T41" s="1574" t="s">
        <v>8</v>
      </c>
      <c r="U41" s="1575">
        <f t="shared" si="13"/>
        <v>115</v>
      </c>
      <c r="V41" s="1574" t="s">
        <v>8</v>
      </c>
      <c r="W41" s="1575">
        <f t="shared" si="14"/>
        <v>100</v>
      </c>
      <c r="X41" s="1568"/>
      <c r="Y41" s="3402"/>
      <c r="Z41" s="1576" t="str">
        <f t="shared" si="15"/>
        <v>层高</v>
      </c>
      <c r="AA41" s="1577">
        <f t="shared" si="3"/>
        <v>1</v>
      </c>
      <c r="AB41" s="1577">
        <f t="shared" si="4"/>
        <v>0.86956521739130432</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75" thickBot="1">
      <c r="A43" s="594"/>
      <c r="B43" s="527" t="s">
        <v>770</v>
      </c>
      <c r="C43" s="574" t="s">
        <v>3152</v>
      </c>
      <c r="D43" s="540">
        <v>100</v>
      </c>
      <c r="E43" s="574" t="s">
        <v>3152</v>
      </c>
      <c r="F43" s="575">
        <f>SUMIF(123:123,E43,124:124)-SUMIF(123:123,C43,124:124)+100</f>
        <v>100</v>
      </c>
      <c r="G43" s="574" t="s">
        <v>3152</v>
      </c>
      <c r="H43" s="540">
        <f>SUMIF(123:123,G43,124:124)-SUMIF(123:123,C43,124:124)+100</f>
        <v>100</v>
      </c>
      <c r="I43" s="574" t="s">
        <v>3152</v>
      </c>
      <c r="J43" s="540">
        <f>SUMIF(123:123,I43,124:124)-SUMIF(123:123,C43,124:124)+100</f>
        <v>100</v>
      </c>
      <c r="K43" s="584">
        <v>2</v>
      </c>
      <c r="L43" s="2144"/>
      <c r="M43" s="2136"/>
      <c r="N43" s="2136"/>
      <c r="O43" s="2136"/>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hidden="1">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7" t="s">
        <v>736</v>
      </c>
      <c r="B48" s="887"/>
      <c r="C48" s="2629" t="s">
        <v>1</v>
      </c>
      <c r="D48" s="2630"/>
      <c r="E48" s="2633">
        <f>0.98*6500</f>
        <v>6370</v>
      </c>
      <c r="F48" s="2632"/>
      <c r="G48" s="2633">
        <f>0.98*6500</f>
        <v>6370</v>
      </c>
      <c r="H48" s="2634"/>
      <c r="I48" s="2631">
        <f>0.98*5800</f>
        <v>5684</v>
      </c>
      <c r="J48" s="2634"/>
      <c r="K48" s="1612"/>
      <c r="L48" s="2146"/>
      <c r="M48" s="2136"/>
      <c r="N48" s="2136"/>
      <c r="O48" s="2136"/>
      <c r="P48" s="3363" t="str">
        <f>A48</f>
        <v>成交单价（元/平方米）</v>
      </c>
      <c r="Q48" s="3365"/>
      <c r="R48" s="3478">
        <f>E48</f>
        <v>6370</v>
      </c>
      <c r="S48" s="3478"/>
      <c r="T48" s="3478">
        <f>G48</f>
        <v>6370</v>
      </c>
      <c r="U48" s="3478"/>
      <c r="V48" s="3478">
        <f>I48</f>
        <v>5684</v>
      </c>
      <c r="W48" s="3478"/>
      <c r="X48" s="1560"/>
      <c r="Y48" s="1582"/>
      <c r="Z48" s="1560"/>
      <c r="AA48" s="1560"/>
      <c r="AB48" s="1560"/>
      <c r="AC48" s="1560"/>
    </row>
    <row r="49" spans="1:29" ht="15.75" thickBot="1">
      <c r="A49" s="615" t="s">
        <v>2762</v>
      </c>
      <c r="B49" s="888"/>
      <c r="C49" s="2635">
        <f>R50</f>
        <v>5488</v>
      </c>
      <c r="D49" s="2636"/>
      <c r="E49" s="2637">
        <f>R49</f>
        <v>5885</v>
      </c>
      <c r="F49" s="2637"/>
      <c r="G49" s="2635">
        <f>T49</f>
        <v>5273</v>
      </c>
      <c r="H49" s="2636"/>
      <c r="I49" s="2637">
        <f>V49</f>
        <v>5305</v>
      </c>
      <c r="J49" s="2636"/>
      <c r="K49" s="1613"/>
      <c r="L49" s="2146"/>
      <c r="M49" s="2136"/>
      <c r="N49" s="2136"/>
      <c r="O49" s="2136"/>
      <c r="P49" s="3363" t="str">
        <f>A49</f>
        <v>比较价格（元/平方米）</v>
      </c>
      <c r="Q49" s="3365"/>
      <c r="R49" s="3478">
        <f>IF(F1="售价",ROUND(PRODUCT(R48,AA7:AA47),0),ROUND(PRODUCT(R48,AA7:AA47),1))</f>
        <v>5885</v>
      </c>
      <c r="S49" s="3478"/>
      <c r="T49" s="3478">
        <f>IF(F1="售价",ROUND(PRODUCT(T48,AB7:AB47),0),ROUND(PRODUCT(T48,AB7:AB47),1))</f>
        <v>5273</v>
      </c>
      <c r="U49" s="3478"/>
      <c r="V49" s="3478">
        <f>IF(F1="售价",ROUND(PRODUCT(V48,AC7:AC47),0),ROUND(PRODUCT(V48,AC7:AC47),1))</f>
        <v>5305</v>
      </c>
      <c r="W49" s="3478"/>
      <c r="X49" s="1560"/>
      <c r="Y49" s="1560"/>
      <c r="Z49" s="1560"/>
      <c r="AA49" s="1560"/>
      <c r="AB49" s="1560"/>
      <c r="AC49" s="1560"/>
    </row>
    <row r="50" spans="1:29" ht="15.75" thickBot="1">
      <c r="A50" s="621" t="s">
        <v>2937</v>
      </c>
      <c r="B50" s="622"/>
      <c r="C50" s="2638">
        <f>R50</f>
        <v>5488</v>
      </c>
      <c r="D50" s="2638"/>
      <c r="E50" s="2638"/>
      <c r="F50" s="2638"/>
      <c r="G50" s="2638"/>
      <c r="H50" s="2638"/>
      <c r="I50" s="2638"/>
      <c r="J50" s="2638"/>
      <c r="K50" s="1614"/>
      <c r="L50" s="2146"/>
      <c r="M50" s="2136"/>
      <c r="N50" s="2136"/>
      <c r="O50" s="2136"/>
      <c r="P50" s="3483" t="str">
        <f>A50</f>
        <v>估价对象XX用房的比较价格（楼面单价，元/平方米）</v>
      </c>
      <c r="Q50" s="3363"/>
      <c r="R50" s="3477">
        <f>IF(F1="售价",ROUND(AVERAGE(R49:V49),0),ROUND(AVERAGE(R49:V49),1))</f>
        <v>5488</v>
      </c>
      <c r="S50" s="3477"/>
      <c r="T50" s="3477"/>
      <c r="U50" s="3477"/>
      <c r="V50" s="3477"/>
      <c r="W50" s="347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8.2412914188615183E-2</v>
      </c>
      <c r="F53" s="627" t="str">
        <f>IF(OR(E53&gt;=0.3,E53&lt;=-0.3),"超过30%","")</f>
        <v/>
      </c>
      <c r="G53" s="626">
        <f>IF(G48&lt;G49,G49/G48-1,G48/G49-1)</f>
        <v>0.2080409633984448</v>
      </c>
      <c r="H53" s="627" t="str">
        <f>IF(OR(G53&gt;=0.3,G53&lt;=-0.3),"超过30%","")</f>
        <v/>
      </c>
      <c r="I53" s="626">
        <f>IF(I48&lt;I49,I49/I48-1,I48/I49-1)</f>
        <v>7.1442035815268534E-2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0.11606296226057267</v>
      </c>
      <c r="F54" s="627" t="str">
        <f>IF(OR(E54&gt;=0.2,E54&lt;=-0.2),"超过20%","")</f>
        <v/>
      </c>
      <c r="G54" s="626">
        <f>IF(G49&lt;I49,I49/G49-1,G49/I49-1)</f>
        <v>6.0686516214678576E-3</v>
      </c>
      <c r="H54" s="627" t="str">
        <f>IF(OR(G54&gt;=0.2,G54&lt;=-0.2),"超过20%","")</f>
        <v/>
      </c>
      <c r="I54" s="626">
        <f>IF(I49&lt;E49,E49/I49-1,I49/E49-1)</f>
        <v>0.1093308199811498</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v>
      </c>
      <c r="F55" s="627" t="str">
        <f>IF(OR(E55&gt;=0.3,E55&lt;=-0.3),"超过30%","")</f>
        <v/>
      </c>
      <c r="G55" s="626">
        <f>IF(G48&lt;I48,I48/G48-1,G48/I48-1)</f>
        <v>0.1206896551724137</v>
      </c>
      <c r="H55" s="627" t="str">
        <f>IF(OR(G55&gt;=0.3,G55&lt;=-0.3),"超过30%","")</f>
        <v/>
      </c>
      <c r="I55" s="626">
        <f>IF(I48&lt;E48,E48/I48-1,I48/E48-1)</f>
        <v>0.1206896551724137</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2018-12</v>
      </c>
      <c r="D59" s="2806">
        <f>EDATE(C59,-1)</f>
        <v>43405</v>
      </c>
      <c r="E59" s="2806">
        <f t="shared" ref="E59:O59" si="16">EDATE(D59,-1)</f>
        <v>43374</v>
      </c>
      <c r="F59" s="2806">
        <f t="shared" si="16"/>
        <v>43344</v>
      </c>
      <c r="G59" s="2806">
        <f t="shared" si="16"/>
        <v>43313</v>
      </c>
      <c r="H59" s="2806">
        <f t="shared" si="16"/>
        <v>43282</v>
      </c>
      <c r="I59" s="2806">
        <f t="shared" si="16"/>
        <v>43252</v>
      </c>
      <c r="J59" s="2806">
        <f t="shared" si="16"/>
        <v>43221</v>
      </c>
      <c r="K59" s="2806">
        <f t="shared" si="16"/>
        <v>43191</v>
      </c>
      <c r="L59" s="2806">
        <f t="shared" si="16"/>
        <v>43160</v>
      </c>
      <c r="M59" s="2806">
        <f t="shared" si="16"/>
        <v>43132</v>
      </c>
      <c r="N59" s="2806">
        <f t="shared" si="16"/>
        <v>43101</v>
      </c>
      <c r="O59" s="2806">
        <f t="shared" si="16"/>
        <v>43070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541">
        <v>10</v>
      </c>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98</v>
      </c>
      <c r="E78" s="679">
        <f>D78-$K15</f>
        <v>96</v>
      </c>
      <c r="F78" s="679">
        <f>E78-$K15</f>
        <v>94</v>
      </c>
      <c r="G78" s="679">
        <f>F78-$K15</f>
        <v>92</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98</v>
      </c>
      <c r="E80" s="679">
        <f>D80-$K17</f>
        <v>96</v>
      </c>
      <c r="F80" s="679">
        <f>E80-$K17</f>
        <v>94</v>
      </c>
      <c r="G80" s="679">
        <f>F80-$K17</f>
        <v>92</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98</v>
      </c>
      <c r="E82" s="679">
        <f>D82-$K19</f>
        <v>96</v>
      </c>
      <c r="F82" s="679">
        <f>E82-$K19</f>
        <v>94</v>
      </c>
      <c r="G82" s="679">
        <f>F82-$K19</f>
        <v>92</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98</v>
      </c>
      <c r="E86" s="679">
        <f>D86-$K23</f>
        <v>96</v>
      </c>
      <c r="F86" s="679">
        <f>E86-$K23</f>
        <v>94</v>
      </c>
      <c r="G86" s="679">
        <f>F86-$K23</f>
        <v>92</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t="str">
        <f>B29</f>
        <v>居住成熟度</v>
      </c>
      <c r="C93" s="3193" t="s">
        <v>579</v>
      </c>
      <c r="D93" s="3193" t="s">
        <v>580</v>
      </c>
      <c r="E93" s="3193" t="s">
        <v>581</v>
      </c>
      <c r="F93" s="3193" t="s">
        <v>582</v>
      </c>
      <c r="G93" s="3193" t="s">
        <v>583</v>
      </c>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3194">
        <v>100</v>
      </c>
      <c r="D94" s="3194">
        <v>98</v>
      </c>
      <c r="E94" s="3194">
        <v>96</v>
      </c>
      <c r="F94" s="3194">
        <v>94</v>
      </c>
      <c r="G94" s="3194">
        <v>92</v>
      </c>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181" t="s">
        <v>3138</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300000(含)-350000</v>
      </c>
      <c r="J103" s="708" t="str">
        <f t="shared" si="23"/>
        <v>350000(含)-400000</v>
      </c>
      <c r="K103" s="708" t="str">
        <f t="shared" si="23"/>
        <v>400000(含)-450000</v>
      </c>
      <c r="L103" s="708" t="str">
        <f t="shared" si="23"/>
        <v>450000(含)-500000</v>
      </c>
      <c r="M103" s="711" t="str">
        <f>M104&amp;"(含)"&amp;"-"&amp;P104</f>
        <v>500000(含)-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50000</v>
      </c>
      <c r="E104" s="730">
        <v>100000</v>
      </c>
      <c r="F104" s="730">
        <v>150000</v>
      </c>
      <c r="G104" s="730">
        <v>200000</v>
      </c>
      <c r="H104" s="730">
        <v>250000</v>
      </c>
      <c r="I104" s="730">
        <v>300000</v>
      </c>
      <c r="J104" s="730">
        <v>350000</v>
      </c>
      <c r="K104" s="730">
        <v>400000</v>
      </c>
      <c r="L104" s="730">
        <v>450000</v>
      </c>
      <c r="M104" s="730">
        <v>500000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3184" t="s">
        <v>3140</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3184" t="s">
        <v>3142</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3184" t="s">
        <v>3143</v>
      </c>
      <c r="D115" s="3184" t="s">
        <v>3145</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3184" t="s">
        <v>3147</v>
      </c>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3188" t="s">
        <v>3149</v>
      </c>
      <c r="D119" s="3188" t="s">
        <v>3151</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85</v>
      </c>
      <c r="E120" s="679">
        <f t="shared" ref="E120:M120" si="29">D120-$K41</f>
        <v>70</v>
      </c>
      <c r="F120" s="679">
        <f t="shared" si="29"/>
        <v>55</v>
      </c>
      <c r="G120" s="679">
        <f t="shared" si="29"/>
        <v>40</v>
      </c>
      <c r="H120" s="679">
        <f t="shared" si="29"/>
        <v>25</v>
      </c>
      <c r="I120" s="679">
        <f t="shared" si="29"/>
        <v>10</v>
      </c>
      <c r="J120" s="679">
        <f t="shared" si="29"/>
        <v>-5</v>
      </c>
      <c r="K120" s="679">
        <f t="shared" si="29"/>
        <v>-20</v>
      </c>
      <c r="L120" s="679">
        <f t="shared" si="29"/>
        <v>-35</v>
      </c>
      <c r="M120" s="679">
        <f t="shared" si="29"/>
        <v>-50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184" t="s">
        <v>3142</v>
      </c>
      <c r="D123" s="688"/>
      <c r="E123" s="688"/>
      <c r="F123" s="3188" t="s">
        <v>3153</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1" t="s">
        <v>522</v>
      </c>
      <c r="D4" s="3372"/>
      <c r="E4" s="3405" t="s">
        <v>523</v>
      </c>
      <c r="F4" s="3406"/>
      <c r="G4" s="3371" t="s">
        <v>524</v>
      </c>
      <c r="H4" s="3372"/>
      <c r="I4" s="3371" t="s">
        <v>525</v>
      </c>
      <c r="J4" s="3372"/>
      <c r="K4" s="514" t="s">
        <v>526</v>
      </c>
      <c r="L4" s="2135"/>
      <c r="M4" s="2136"/>
      <c r="N4" s="2136"/>
      <c r="O4" s="2136"/>
      <c r="P4" s="3373" t="s">
        <v>527</v>
      </c>
      <c r="Q4" s="3374"/>
      <c r="R4" s="3379" t="s">
        <v>523</v>
      </c>
      <c r="S4" s="3380"/>
      <c r="T4" s="3379" t="s">
        <v>524</v>
      </c>
      <c r="U4" s="3380"/>
      <c r="V4" s="3366" t="s">
        <v>525</v>
      </c>
      <c r="W4" s="3366"/>
      <c r="X4" s="1568"/>
      <c r="Y4" s="3379" t="s">
        <v>527</v>
      </c>
      <c r="Z4" s="3380"/>
      <c r="AA4" s="3368" t="s">
        <v>523</v>
      </c>
      <c r="AB4" s="3369" t="s">
        <v>524</v>
      </c>
      <c r="AC4" s="3368" t="s">
        <v>525</v>
      </c>
    </row>
    <row r="5" spans="1:29" ht="15">
      <c r="A5" s="515"/>
      <c r="B5" s="516"/>
      <c r="C5" s="3387" t="s">
        <v>2931</v>
      </c>
      <c r="D5" s="3388"/>
      <c r="E5" s="3407" t="s">
        <v>2932</v>
      </c>
      <c r="F5" s="3408"/>
      <c r="G5" s="3387" t="s">
        <v>2933</v>
      </c>
      <c r="H5" s="3388"/>
      <c r="I5" s="3387" t="s">
        <v>2934</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3"/>
      <c r="B7" s="2920" t="s">
        <v>529</v>
      </c>
      <c r="C7" s="519">
        <f>'数据-取费表'!B2</f>
        <v>43439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0"/>
      <c r="Q21" s="2581" t="str">
        <f>B21</f>
        <v>基础设施水平</v>
      </c>
      <c r="R21" s="1574" t="s">
        <v>8</v>
      </c>
      <c r="S21" s="1575">
        <f>F21</f>
        <v>100</v>
      </c>
      <c r="T21" s="1574" t="s">
        <v>8</v>
      </c>
      <c r="U21" s="1575">
        <f>H21</f>
        <v>100</v>
      </c>
      <c r="V21" s="1574" t="s">
        <v>8</v>
      </c>
      <c r="W21" s="1575">
        <f>J21</f>
        <v>100</v>
      </c>
      <c r="X21" s="2583"/>
      <c r="Y21" s="340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0"/>
      <c r="Q22" s="2581"/>
      <c r="R22" s="1574"/>
      <c r="S22" s="1575"/>
      <c r="T22" s="1574"/>
      <c r="U22" s="1575"/>
      <c r="V22" s="1574"/>
      <c r="W22" s="1575"/>
      <c r="X22" s="2583"/>
      <c r="Y22" s="340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65" t="str">
        <f>A41</f>
        <v>成交单价（元/平方米）</v>
      </c>
      <c r="Q41" s="3365"/>
      <c r="R41" s="3478">
        <f>E41</f>
        <v>0</v>
      </c>
      <c r="S41" s="3478"/>
      <c r="T41" s="3478">
        <f>G41</f>
        <v>0</v>
      </c>
      <c r="U41" s="3478"/>
      <c r="V41" s="3478">
        <f>I41</f>
        <v>0</v>
      </c>
      <c r="W41" s="3478"/>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65" t="str">
        <f>A42</f>
        <v>比较价格（元/平方米）</v>
      </c>
      <c r="Q42" s="3365"/>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1" t="s">
        <v>2937</v>
      </c>
      <c r="B43" s="622"/>
      <c r="C43" s="2638" t="e">
        <f>R43</f>
        <v>#DIV/0!</v>
      </c>
      <c r="D43" s="2638"/>
      <c r="E43" s="2638"/>
      <c r="F43" s="2638"/>
      <c r="G43" s="2638"/>
      <c r="H43" s="2638"/>
      <c r="I43" s="2638"/>
      <c r="J43" s="2638"/>
      <c r="K43" s="1614"/>
      <c r="L43" s="2146"/>
      <c r="M43" s="2147"/>
      <c r="N43" s="2147"/>
      <c r="O43" s="2147"/>
      <c r="P43" s="3362" t="str">
        <f>A43</f>
        <v>估价对象XX用房的比较价格（楼面单价，元/平方米）</v>
      </c>
      <c r="Q43" s="3363"/>
      <c r="R43" s="3477" t="e">
        <f>IF(F1="售价",ROUND(AVERAGE(R42:V42),0),ROUND(AVERAGE(R42:V42),1))</f>
        <v>#DIV/0!</v>
      </c>
      <c r="S43" s="3477"/>
      <c r="T43" s="3477"/>
      <c r="U43" s="3477"/>
      <c r="V43" s="3477"/>
      <c r="W43" s="347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2018-12</v>
      </c>
      <c r="D52" s="2806">
        <f>EDATE(C52,-1)</f>
        <v>43405</v>
      </c>
      <c r="E52" s="2806">
        <f t="shared" ref="E52:O52" si="16">EDATE(D52,-1)</f>
        <v>43374</v>
      </c>
      <c r="F52" s="2806">
        <f t="shared" si="16"/>
        <v>43344</v>
      </c>
      <c r="G52" s="2806">
        <f t="shared" si="16"/>
        <v>43313</v>
      </c>
      <c r="H52" s="2806">
        <f t="shared" si="16"/>
        <v>43282</v>
      </c>
      <c r="I52" s="2806">
        <f t="shared" si="16"/>
        <v>43252</v>
      </c>
      <c r="J52" s="2806">
        <f t="shared" si="16"/>
        <v>43221</v>
      </c>
      <c r="K52" s="2806">
        <f t="shared" si="16"/>
        <v>43191</v>
      </c>
      <c r="L52" s="2806">
        <f t="shared" si="16"/>
        <v>43160</v>
      </c>
      <c r="M52" s="2806">
        <f t="shared" si="16"/>
        <v>43132</v>
      </c>
      <c r="N52" s="2806">
        <f t="shared" si="16"/>
        <v>43101</v>
      </c>
      <c r="O52" s="2806">
        <f t="shared" si="16"/>
        <v>43070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1" t="s">
        <v>798</v>
      </c>
      <c r="D4" s="3372"/>
      <c r="E4" s="3371" t="s">
        <v>799</v>
      </c>
      <c r="F4" s="3372"/>
      <c r="G4" s="3371" t="s">
        <v>800</v>
      </c>
      <c r="H4" s="3372"/>
      <c r="I4" s="3371" t="s">
        <v>801</v>
      </c>
      <c r="J4" s="3372"/>
      <c r="K4" s="514" t="s">
        <v>802</v>
      </c>
      <c r="L4" s="2135"/>
      <c r="M4" s="2136"/>
      <c r="N4" s="2136"/>
      <c r="O4" s="2136"/>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2931</v>
      </c>
      <c r="D5" s="3388"/>
      <c r="E5" s="3387" t="s">
        <v>2932</v>
      </c>
      <c r="F5" s="3388"/>
      <c r="G5" s="3387" t="s">
        <v>2933</v>
      </c>
      <c r="H5" s="3388"/>
      <c r="I5" s="3387" t="s">
        <v>2934</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2935</v>
      </c>
      <c r="D6" s="3386"/>
      <c r="E6" s="3389" t="s">
        <v>2935</v>
      </c>
      <c r="F6" s="3390"/>
      <c r="G6" s="3385" t="s">
        <v>2935</v>
      </c>
      <c r="H6" s="3386"/>
      <c r="I6" s="3385" t="s">
        <v>2935</v>
      </c>
      <c r="J6" s="3386"/>
      <c r="K6" s="514" t="s">
        <v>528</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3"/>
      <c r="B7" s="2920" t="s">
        <v>529</v>
      </c>
      <c r="C7" s="519">
        <f>'数据-取费表'!B2</f>
        <v>43439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36" si="3">D8/F8</f>
        <v>#DIV/0!</v>
      </c>
      <c r="AB8" s="1572" t="e">
        <f t="shared" ref="AB8:AB36" si="4">D8/H8</f>
        <v>#DIV/0!</v>
      </c>
      <c r="AC8" s="1572" t="e">
        <f t="shared" ref="AC8:AC36" si="5">D8/J8</f>
        <v>#DIV/0!</v>
      </c>
    </row>
    <row r="9" spans="1:29" s="1220"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1"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0"/>
      <c r="Q15" s="1573"/>
      <c r="R15" s="1574"/>
      <c r="S15" s="1575"/>
      <c r="T15" s="1574"/>
      <c r="U15" s="1575"/>
      <c r="V15" s="1574"/>
      <c r="W15" s="1575"/>
      <c r="X15" s="1568"/>
      <c r="Y15" s="3400"/>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0"/>
      <c r="Q17" s="1573"/>
      <c r="R17" s="1574"/>
      <c r="S17" s="1575"/>
      <c r="T17" s="1574"/>
      <c r="U17" s="1575"/>
      <c r="V17" s="1574"/>
      <c r="W17" s="1575"/>
      <c r="X17" s="1568"/>
      <c r="Y17" s="3400"/>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0"/>
      <c r="Q18" s="2581" t="str">
        <f>B18</f>
        <v>基础设施水平</v>
      </c>
      <c r="R18" s="1574" t="s">
        <v>8</v>
      </c>
      <c r="S18" s="1575">
        <f>F18</f>
        <v>100</v>
      </c>
      <c r="T18" s="1574" t="s">
        <v>8</v>
      </c>
      <c r="U18" s="1575">
        <f>H18</f>
        <v>100</v>
      </c>
      <c r="V18" s="1574" t="s">
        <v>8</v>
      </c>
      <c r="W18" s="1575">
        <f>J18</f>
        <v>100</v>
      </c>
      <c r="X18" s="2583"/>
      <c r="Y18" s="340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0"/>
      <c r="Q19" s="2581"/>
      <c r="R19" s="1574"/>
      <c r="S19" s="1575"/>
      <c r="T19" s="1574"/>
      <c r="U19" s="1575"/>
      <c r="V19" s="1574"/>
      <c r="W19" s="1575"/>
      <c r="X19" s="2583"/>
      <c r="Y19" s="3400"/>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9"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65" t="str">
        <f>A37</f>
        <v>成交单价</v>
      </c>
      <c r="Q37" s="3365"/>
      <c r="R37" s="3478">
        <f>E37</f>
        <v>0</v>
      </c>
      <c r="S37" s="3478"/>
      <c r="T37" s="3478">
        <f>G37</f>
        <v>0</v>
      </c>
      <c r="U37" s="3478"/>
      <c r="V37" s="3478">
        <f>I37</f>
        <v>0</v>
      </c>
      <c r="W37" s="3478"/>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65" t="str">
        <f>A38</f>
        <v>比较价格（元/平方米）</v>
      </c>
      <c r="Q38" s="3365"/>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0"/>
      <c r="Y38" s="1560"/>
      <c r="Z38" s="1560"/>
      <c r="AA38" s="1560"/>
      <c r="AB38" s="1560"/>
      <c r="AC38" s="1560"/>
    </row>
    <row r="39" spans="1:29" ht="15.75" thickBot="1">
      <c r="A39" s="621" t="s">
        <v>2937</v>
      </c>
      <c r="B39" s="622"/>
      <c r="C39" s="2638" t="e">
        <f>R39</f>
        <v>#DIV/0!</v>
      </c>
      <c r="D39" s="2638"/>
      <c r="E39" s="2638"/>
      <c r="F39" s="2638"/>
      <c r="G39" s="2638"/>
      <c r="H39" s="2638"/>
      <c r="I39" s="2638"/>
      <c r="J39" s="2638"/>
      <c r="K39" s="1614"/>
      <c r="L39" s="2146"/>
      <c r="M39" s="2147"/>
      <c r="N39" s="2147"/>
      <c r="O39" s="2147"/>
      <c r="P39" s="3362" t="str">
        <f>A39</f>
        <v>估价对象XX用房的比较价格（楼面单价，元/平方米）</v>
      </c>
      <c r="Q39" s="3363"/>
      <c r="R39" s="3477" t="e">
        <f>IF(F1="售价",ROUND(AVERAGE(R38:V38),0),ROUND(AVERAGE(R38:V38),1))</f>
        <v>#DIV/0!</v>
      </c>
      <c r="S39" s="3477"/>
      <c r="T39" s="3477"/>
      <c r="U39" s="3477"/>
      <c r="V39" s="3477"/>
      <c r="W39" s="347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2018-12</v>
      </c>
      <c r="D48" s="2806">
        <f>EDATE(C48,-1)</f>
        <v>43405</v>
      </c>
      <c r="E48" s="2806">
        <f t="shared" ref="E48:O48" si="16">EDATE(D48,-1)</f>
        <v>43374</v>
      </c>
      <c r="F48" s="2806">
        <f t="shared" si="16"/>
        <v>43344</v>
      </c>
      <c r="G48" s="2806">
        <f t="shared" si="16"/>
        <v>43313</v>
      </c>
      <c r="H48" s="2806">
        <f t="shared" si="16"/>
        <v>43282</v>
      </c>
      <c r="I48" s="2806">
        <f t="shared" si="16"/>
        <v>43252</v>
      </c>
      <c r="J48" s="2806">
        <f t="shared" si="16"/>
        <v>43221</v>
      </c>
      <c r="K48" s="2806">
        <f t="shared" si="16"/>
        <v>43191</v>
      </c>
      <c r="L48" s="2806">
        <f t="shared" si="16"/>
        <v>43160</v>
      </c>
      <c r="M48" s="2806">
        <f t="shared" si="16"/>
        <v>43132</v>
      </c>
      <c r="N48" s="2806">
        <f t="shared" si="16"/>
        <v>43101</v>
      </c>
      <c r="O48" s="2806">
        <f t="shared" si="16"/>
        <v>43070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1" t="s">
        <v>798</v>
      </c>
      <c r="D4" s="3372"/>
      <c r="E4" s="3405" t="s">
        <v>799</v>
      </c>
      <c r="F4" s="3406"/>
      <c r="G4" s="3371" t="s">
        <v>800</v>
      </c>
      <c r="H4" s="3372"/>
      <c r="I4" s="3371" t="s">
        <v>801</v>
      </c>
      <c r="J4" s="3372"/>
      <c r="K4" s="514" t="s">
        <v>802</v>
      </c>
      <c r="L4" s="2135"/>
      <c r="M4" s="2136"/>
      <c r="N4" s="2136"/>
      <c r="O4" s="2136"/>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2931</v>
      </c>
      <c r="D5" s="3388"/>
      <c r="E5" s="3407" t="s">
        <v>2932</v>
      </c>
      <c r="F5" s="3408"/>
      <c r="G5" s="3387" t="s">
        <v>2933</v>
      </c>
      <c r="H5" s="3388"/>
      <c r="I5" s="3387" t="s">
        <v>2934</v>
      </c>
      <c r="J5" s="3388"/>
      <c r="K5" s="514"/>
      <c r="L5" s="2135"/>
      <c r="M5" s="2136"/>
      <c r="N5" s="2136"/>
      <c r="O5" s="2136"/>
      <c r="P5" s="3375"/>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35"/>
      <c r="M6" s="2136"/>
      <c r="N6" s="2136"/>
      <c r="O6" s="2136"/>
      <c r="P6" s="3377"/>
      <c r="Q6" s="3378"/>
      <c r="R6" s="3381"/>
      <c r="S6" s="3382"/>
      <c r="T6" s="3383"/>
      <c r="U6" s="3384"/>
      <c r="V6" s="3366"/>
      <c r="W6" s="3366"/>
      <c r="X6" s="1568"/>
      <c r="Y6" s="3383"/>
      <c r="Z6" s="3384"/>
      <c r="AA6" s="3370"/>
      <c r="AB6" s="3370"/>
      <c r="AC6" s="3370"/>
    </row>
    <row r="7" spans="1:29" s="1220" customFormat="1" ht="15.75" thickBot="1">
      <c r="A7" s="2913"/>
      <c r="B7" s="2920" t="s">
        <v>529</v>
      </c>
      <c r="C7" s="519">
        <f>'数据-取费表'!B2</f>
        <v>43439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1"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0"/>
      <c r="Q15" s="1573"/>
      <c r="R15" s="1574"/>
      <c r="S15" s="1575"/>
      <c r="T15" s="1574"/>
      <c r="U15" s="1575"/>
      <c r="V15" s="1574"/>
      <c r="W15" s="1575"/>
      <c r="X15" s="1568"/>
      <c r="Y15" s="3400"/>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0"/>
      <c r="Q17" s="1573"/>
      <c r="R17" s="1574"/>
      <c r="S17" s="1575"/>
      <c r="T17" s="1574"/>
      <c r="U17" s="1575"/>
      <c r="V17" s="1574"/>
      <c r="W17" s="1575"/>
      <c r="X17" s="1568"/>
      <c r="Y17" s="3400"/>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0"/>
      <c r="Q18" s="2581" t="str">
        <f>B18</f>
        <v>基础设施水平</v>
      </c>
      <c r="R18" s="1574" t="s">
        <v>8</v>
      </c>
      <c r="S18" s="1575">
        <f>F18</f>
        <v>100</v>
      </c>
      <c r="T18" s="1574" t="s">
        <v>8</v>
      </c>
      <c r="U18" s="1575">
        <f>H18</f>
        <v>100</v>
      </c>
      <c r="V18" s="1574" t="s">
        <v>8</v>
      </c>
      <c r="W18" s="1575">
        <f>J18</f>
        <v>100</v>
      </c>
      <c r="X18" s="2583"/>
      <c r="Y18" s="340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0"/>
      <c r="Q19" s="2581"/>
      <c r="R19" s="1574"/>
      <c r="S19" s="1575"/>
      <c r="T19" s="1574"/>
      <c r="U19" s="1575"/>
      <c r="V19" s="1574"/>
      <c r="W19" s="1575"/>
      <c r="X19" s="2583"/>
      <c r="Y19" s="3400"/>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65" t="str">
        <f>A35</f>
        <v>成交单价（元/平方米）</v>
      </c>
      <c r="Q35" s="3365"/>
      <c r="R35" s="3478">
        <f>E35</f>
        <v>0</v>
      </c>
      <c r="S35" s="3478"/>
      <c r="T35" s="3478">
        <f>G35</f>
        <v>0</v>
      </c>
      <c r="U35" s="3478"/>
      <c r="V35" s="3478">
        <f>I35</f>
        <v>0</v>
      </c>
      <c r="W35" s="3478"/>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65" t="str">
        <f>A36</f>
        <v>比较价格（元/平方米）</v>
      </c>
      <c r="Q36" s="3365"/>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1" t="s">
        <v>2937</v>
      </c>
      <c r="B37" s="622"/>
      <c r="C37" s="2638" t="e">
        <f>R37</f>
        <v>#DIV/0!</v>
      </c>
      <c r="D37" s="2638"/>
      <c r="E37" s="2638"/>
      <c r="F37" s="2638"/>
      <c r="G37" s="2638"/>
      <c r="H37" s="2638"/>
      <c r="I37" s="2638"/>
      <c r="J37" s="2638"/>
      <c r="K37" s="1614"/>
      <c r="L37" s="2146"/>
      <c r="M37" s="2147"/>
      <c r="N37" s="2147"/>
      <c r="O37" s="2147"/>
      <c r="P37" s="3362" t="str">
        <f>A37</f>
        <v>估价对象XX用房的比较价格（楼面单价，元/平方米）</v>
      </c>
      <c r="Q37" s="3363"/>
      <c r="R37" s="3477" t="e">
        <f>IF(F1="售价",ROUND(AVERAGE(R36:V36),0),ROUND(AVERAGE(R36:V36),1))</f>
        <v>#DIV/0!</v>
      </c>
      <c r="S37" s="3477"/>
      <c r="T37" s="3477"/>
      <c r="U37" s="3477"/>
      <c r="V37" s="3477"/>
      <c r="W37" s="347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2018-12</v>
      </c>
      <c r="D46" s="2806">
        <f>EDATE(C46,-1)</f>
        <v>43405</v>
      </c>
      <c r="E46" s="2806">
        <f t="shared" ref="E46:O46" si="16">EDATE(D46,-1)</f>
        <v>43374</v>
      </c>
      <c r="F46" s="2806">
        <f t="shared" si="16"/>
        <v>43344</v>
      </c>
      <c r="G46" s="2806">
        <f t="shared" si="16"/>
        <v>43313</v>
      </c>
      <c r="H46" s="2806">
        <f t="shared" si="16"/>
        <v>43282</v>
      </c>
      <c r="I46" s="2806">
        <f t="shared" si="16"/>
        <v>43252</v>
      </c>
      <c r="J46" s="2806">
        <f t="shared" si="16"/>
        <v>43221</v>
      </c>
      <c r="K46" s="2806">
        <f t="shared" si="16"/>
        <v>43191</v>
      </c>
      <c r="L46" s="2806">
        <f t="shared" si="16"/>
        <v>43160</v>
      </c>
      <c r="M46" s="2806">
        <f t="shared" si="16"/>
        <v>43132</v>
      </c>
      <c r="N46" s="2806">
        <f t="shared" si="16"/>
        <v>43101</v>
      </c>
      <c r="O46" s="2806">
        <f t="shared" si="16"/>
        <v>43070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A24" sqref="A24:B24"/>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6" t="s">
        <v>2305</v>
      </c>
      <c r="C1" s="3491" t="s">
        <v>2306</v>
      </c>
      <c r="D1" s="3492"/>
      <c r="E1" s="3492"/>
      <c r="F1" s="3492"/>
      <c r="G1" s="3492"/>
      <c r="H1" s="3492"/>
      <c r="I1" s="3492"/>
      <c r="J1" s="3492"/>
      <c r="K1" s="3492"/>
      <c r="L1" s="3492"/>
      <c r="M1" s="3492"/>
      <c r="N1" s="3492"/>
      <c r="O1" s="3492"/>
      <c r="P1" s="3492"/>
      <c r="Q1" s="3492"/>
      <c r="R1" s="3492"/>
      <c r="S1" s="3493"/>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37"/>
      <c r="B2" s="949" t="s">
        <v>2308</v>
      </c>
      <c r="C2" s="950" t="str">
        <f t="shared" ref="C2:L2" si="0">C3&amp;"(含)"&amp;"-"&amp;D3</f>
        <v>0(含)-40000</v>
      </c>
      <c r="D2" s="951" t="str">
        <f t="shared" si="0"/>
        <v>40000(含)-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v>0</v>
      </c>
      <c r="D3" s="955">
        <v>40000</v>
      </c>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tr">
        <f>'比较法-住宅、综合'!B81</f>
        <v>容积率</v>
      </c>
      <c r="C5" s="2254">
        <v>5.5</v>
      </c>
      <c r="D5" s="2255">
        <v>5</v>
      </c>
      <c r="E5" s="2254">
        <v>4.5</v>
      </c>
      <c r="F5" s="2255">
        <v>4</v>
      </c>
      <c r="G5" s="2254">
        <v>3.5</v>
      </c>
      <c r="H5" s="2255">
        <v>3</v>
      </c>
      <c r="I5" s="2254">
        <v>2.5</v>
      </c>
      <c r="J5" s="2255"/>
      <c r="K5" s="2255"/>
      <c r="L5" s="2256"/>
      <c r="M5" s="2257"/>
      <c r="N5" s="2257"/>
      <c r="O5" s="2255"/>
      <c r="P5" s="2255"/>
      <c r="Q5" s="2255"/>
      <c r="R5" s="2255"/>
      <c r="S5" s="2258"/>
      <c r="T5" s="2259">
        <f>'比较法-住宅、综合'!K13</f>
        <v>3</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97</v>
      </c>
      <c r="E6" s="1971">
        <f t="shared" ref="E6:S6" si="7">D6-$T5</f>
        <v>94</v>
      </c>
      <c r="F6" s="1971">
        <f t="shared" si="7"/>
        <v>91</v>
      </c>
      <c r="G6" s="1971">
        <f t="shared" si="7"/>
        <v>88</v>
      </c>
      <c r="H6" s="1971">
        <f t="shared" si="7"/>
        <v>85</v>
      </c>
      <c r="I6" s="1971">
        <f t="shared" si="7"/>
        <v>82</v>
      </c>
      <c r="J6" s="1971">
        <f t="shared" si="7"/>
        <v>79</v>
      </c>
      <c r="K6" s="1971">
        <f t="shared" si="7"/>
        <v>76</v>
      </c>
      <c r="L6" s="1971">
        <f t="shared" si="7"/>
        <v>73</v>
      </c>
      <c r="M6" s="1971">
        <f t="shared" si="7"/>
        <v>70</v>
      </c>
      <c r="N6" s="1971">
        <f t="shared" si="7"/>
        <v>67</v>
      </c>
      <c r="O6" s="1971">
        <f t="shared" si="7"/>
        <v>64</v>
      </c>
      <c r="P6" s="1971">
        <f t="shared" si="7"/>
        <v>61</v>
      </c>
      <c r="Q6" s="1971">
        <f t="shared" si="7"/>
        <v>58</v>
      </c>
      <c r="R6" s="1971">
        <f t="shared" si="7"/>
        <v>55</v>
      </c>
      <c r="S6" s="1971">
        <f t="shared" si="7"/>
        <v>52</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2929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 ca="1">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 ca="1">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 ca="1">ROUND(S22*10000/B22,0)</f>
        <v>#DIV/0!</v>
      </c>
      <c r="S22" s="53">
        <f ca="1">SUM(S24:S10000)</f>
        <v>0</v>
      </c>
    </row>
    <row r="23" spans="1:45" s="1615"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c r="B24" s="961"/>
      <c r="C24" s="962">
        <v>1</v>
      </c>
      <c r="D24" s="963">
        <v>5</v>
      </c>
      <c r="E24" s="962">
        <v>1</v>
      </c>
      <c r="F24" s="963"/>
      <c r="G24" s="962">
        <v>1</v>
      </c>
      <c r="H24" s="963"/>
      <c r="I24" s="962">
        <v>1</v>
      </c>
      <c r="J24" s="963"/>
      <c r="K24" s="962">
        <v>1</v>
      </c>
      <c r="L24" s="963"/>
      <c r="M24" s="962">
        <v>1</v>
      </c>
      <c r="N24" s="963"/>
      <c r="O24" s="962">
        <v>1</v>
      </c>
      <c r="P24" s="963"/>
      <c r="Q24" s="962">
        <v>1</v>
      </c>
      <c r="R24" s="964">
        <f ca="1">结果表!M38</f>
        <v>4435</v>
      </c>
      <c r="S24" s="962">
        <f t="shared" ref="S24:S54" ca="1"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v>5</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v>3.5</v>
      </c>
      <c r="E26" s="53">
        <f t="shared" ref="E26:E89" si="13">(SUMIF($5:$5,D26,$6:$6)-SUMIF($5:$5,$D$24,$6:$6)+100)/100</f>
        <v>0.91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v>3.5</v>
      </c>
      <c r="E27" s="53">
        <f t="shared" si="13"/>
        <v>0.91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v>3.5</v>
      </c>
      <c r="E28" s="53">
        <f t="shared" si="13"/>
        <v>0.91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0.03</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0.03</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0.03</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0.03</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0.03</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0.03</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0.03</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0.03</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0.03</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0.03</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0.03</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0.03</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0.03</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0.03</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0.03</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0.03</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0.03</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0.03</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0.03</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0.03</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0.03</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0.03</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0.03</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0.03</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0.03</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0.03</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0.03</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0.03</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0.03</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0.03</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0.03</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0.03</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0.03</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0.03</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0.03</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0.03</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0.03</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0.03</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0.03</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0.03</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0.03</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0.03</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0.03</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0.03</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0.03</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0.03</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0.03</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0.03</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0.03</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0.03</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0.03</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0.03</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0.03</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0.03</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0.03</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0.03</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0.03</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0.03</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0.03</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0.03</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0.03</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0.03</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0.03</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0.03</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0.03</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0.03</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0.03</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0.03</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0.03</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0.03</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0.03</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0.03</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0.03</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0.03</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0.03</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0.03</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0.03</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0.03</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0.03</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0.03</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0.03</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0.03</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0.03</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0.03</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0.03</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0.03</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0.03</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0.03</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0.03</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0.03</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0.03</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0.03</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0.03</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0.03</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0.03</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0.03</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0.03</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0.03</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0.03</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0.03</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0.03</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0.03</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0.03</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0.03</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0.03</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0.03</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0.03</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0.03</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0.03</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0.03</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0.03</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0.03</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0.03</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0.03</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0.03</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0.03</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0.03</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0.03</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0.03</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0.03</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0.03</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0.03</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0.03</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0.03</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0.03</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0.03</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0.03</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0.03</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0.03</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0.03</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0.03</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0.03</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0.03</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0.03</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0.03</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0.03</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0.03</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0.03</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0.03</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0.03</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0.03</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0.03</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0.03</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0.03</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0.03</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0.03</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0.03</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0.03</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0.03</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0.03</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0.03</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0.03</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0.03</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0.03</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0.03</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0.03</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0.03</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0.03</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0.03</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0.03</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0.03</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0.03</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0.03</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0.03</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0.03</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0.03</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0.03</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0.03</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0.03</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0.03</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0.03</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0.03</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0.03</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0.03</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0.03</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0.03</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0.03</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0.03</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0.03</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0.03</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0.03</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0.03</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0.03</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0.03</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0.03</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0.03</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0.03</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0.03</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0.03</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0.03</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0.03</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0.03</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0.03</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0.03</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0.03</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0.03</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0.03</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0.03</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0.03</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0.03</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0.03</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0.03</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0.03</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0.03</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0.03</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0.03</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0.03</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0.03</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0.03</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0.03</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0.03</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0.03</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0.03</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0.03</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0.03</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0.03</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0.03</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0.03</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0.03</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0.03</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0.03</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0.03</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0.03</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0.03</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0.03</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0.03</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0.03</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0.03</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0.03</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0.03</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0.03</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0.03</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0.03</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0.03</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0.03</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0.03</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0.03</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0.03</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0.03</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0.03</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0.03</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0.03</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0.03</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0.03</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0.03</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0.03</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0.03</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0.03</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0.03</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0.03</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0.03</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0.03</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0.03</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0.03</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0.03</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0.03</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0.03</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0.03</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0.03</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0.03</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0.03</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0.03</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0.03</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0.03</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0.03</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0.03</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0.03</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0.03</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0.03</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0.03</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0.03</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0.03</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0.03</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0.03</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0.03</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0.03</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0.03</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0.03</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0.03</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0.03</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0.03</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0.03</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0.03</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0.03</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0.03</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0.03</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0.03</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0.03</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0.03</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0.03</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0.03</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0.03</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0.03</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0.03</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0.03</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0.03</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0.03</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0.03</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0.03</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0.03</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0.03</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0.03</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0.03</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0.03</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0.03</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0.03</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0.03</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0.03</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0.03</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0.03</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0.03</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0.03</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0.03</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0.03</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0.03</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0.03</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0.03</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0.03</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0.03</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0.03</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0.03</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0.03</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0.03</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0.03</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0.03</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0.03</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0.03</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0.03</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0.03</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0.03</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0.03</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0.03</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0.03</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0.03</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0.03</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0.03</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0.03</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0.03</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0.03</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0.03</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0.03</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0.03</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0.03</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0.03</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0.03</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0.03</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0.03</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0.03</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0.03</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0.03</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0.03</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0.03</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0.03</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0.03</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0.03</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0.03</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0.03</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0.03</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0.03</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0.03</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0.03</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0.03</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0.03</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0.03</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0.03</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0.03</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0.03</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0.03</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0.03</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0.03</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0.03</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0.03</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0.03</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0.03</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0.03</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0.03</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0.03</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0.03</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0.03</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0.03</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0.03</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0.03</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0.03</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0.03</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0.03</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0.03</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0.03</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0.03</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0.03</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0.03</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0.03</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0.03</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0.03</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0.03</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0.03</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0.03</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0.03</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0.03</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0.03</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0.03</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0.03</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0.03</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0.03</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0.03</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0.03</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0.03</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0.03</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0.03</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0.03</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0.03</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0.03</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0.03</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0.03</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0.03</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0.03</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0.03</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0.03</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0.03</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0.03</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0.03</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0.03</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0.03</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0.03</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0.03</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0.03</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0.03</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0.03</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0.03</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0.03</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0.03</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0.03</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0.03</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0.03</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0.03</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0.03</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0.03</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0.03</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0.03</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0.03</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0.03</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0.03</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0.03</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0.03</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0.03</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0.03</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0.03</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0.03</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0.03</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0.03</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0.03</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0.03</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0.03</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0.03</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0.03</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0.03</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0.03</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0.03</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0.03</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0.03</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0.03</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0.03</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0.03</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0.03</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0.03</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0.03</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0.03</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0.03</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0.03</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0.03</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0.03</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0.03</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0.03</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0.03</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0.03</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0.03</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0.03</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0.03</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0.03</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0.03</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0.03</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0.03</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0.03</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0.03</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0.03</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0.03</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0.03</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0.03</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0.03</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0.03</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0.03</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0.03</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0.03</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0.03</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0.03</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0.03</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0.03</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7" spans="1:4" ht="93.75">
      <c r="A7" s="2875" t="s">
        <v>2750</v>
      </c>
    </row>
    <row r="8" spans="1:4" ht="18.75">
      <c r="A8" s="1796" t="s">
        <v>1906</v>
      </c>
    </row>
    <row r="9" spans="1:4" ht="75">
      <c r="A9" s="1798" t="str">
        <f>IF(项目基本情况!B8="抵押",IF(项目基本情况!B5=项目基本情况!B6,定义!C51,定义!B51),定义!D51)</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2018年12月5日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根据《国有土地使用证》[]，估价对象（分摊）出让国有建设用地使用权面积为73340平方米。根据《建设工程规划许可证》[]、《出让合同》[]，估价对象规划建筑面积为220020平方米。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43439</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workbookViewId="0">
      <selection activeCell="F41" sqref="F41"/>
    </sheetView>
  </sheetViews>
  <sheetFormatPr defaultColWidth="11.875" defaultRowHeight="13.5"/>
  <cols>
    <col min="1" max="1" width="22.875" style="2940" customWidth="1"/>
    <col min="2" max="3" width="11.875" style="2940"/>
    <col min="4" max="4" width="0" style="2940" hidden="1" customWidth="1"/>
    <col min="5" max="5" width="30.125" style="2940" customWidth="1"/>
    <col min="6" max="16384" width="11.875" style="2940"/>
  </cols>
  <sheetData>
    <row r="1" spans="1:19">
      <c r="A1" s="2940" t="s">
        <v>2994</v>
      </c>
      <c r="B1" s="2940" t="s">
        <v>2995</v>
      </c>
      <c r="C1" s="2940" t="s">
        <v>2996</v>
      </c>
      <c r="D1" s="2940" t="s">
        <v>3026</v>
      </c>
      <c r="E1" s="2940" t="s">
        <v>2997</v>
      </c>
      <c r="F1" s="2940" t="s">
        <v>3027</v>
      </c>
      <c r="G1" s="2940" t="s">
        <v>3028</v>
      </c>
      <c r="H1" s="2940" t="s">
        <v>2998</v>
      </c>
      <c r="I1" s="2940" t="s">
        <v>2999</v>
      </c>
      <c r="J1" s="2940" t="s">
        <v>2034</v>
      </c>
      <c r="K1" s="2940" t="s">
        <v>3000</v>
      </c>
      <c r="L1" s="2940" t="s">
        <v>3029</v>
      </c>
      <c r="M1" s="2940" t="s">
        <v>3001</v>
      </c>
      <c r="N1" s="2940" t="s">
        <v>3002</v>
      </c>
      <c r="O1" s="2940" t="s">
        <v>3030</v>
      </c>
      <c r="P1" s="2940" t="s">
        <v>3003</v>
      </c>
      <c r="Q1" s="2940" t="s">
        <v>3004</v>
      </c>
      <c r="R1" s="2940" t="s">
        <v>3005</v>
      </c>
    </row>
    <row r="2" spans="1:19">
      <c r="A2" s="2940" t="s">
        <v>3078</v>
      </c>
      <c r="B2" s="2940" t="s">
        <v>3006</v>
      </c>
      <c r="C2" s="2940" t="s">
        <v>3031</v>
      </c>
      <c r="D2" s="2940" t="s">
        <v>2820</v>
      </c>
      <c r="E2" s="2940" t="s">
        <v>3078</v>
      </c>
      <c r="F2" s="2940">
        <v>20161703</v>
      </c>
      <c r="G2" s="2940" t="s">
        <v>3035</v>
      </c>
      <c r="H2" s="2940">
        <v>20064</v>
      </c>
      <c r="I2" s="2940">
        <v>60192</v>
      </c>
      <c r="J2" s="2940" t="s">
        <v>3079</v>
      </c>
      <c r="K2" s="2940" t="s">
        <v>3080</v>
      </c>
      <c r="L2" s="2940" t="s">
        <v>3081</v>
      </c>
      <c r="M2" s="2940" t="s">
        <v>3082</v>
      </c>
      <c r="N2" s="2940">
        <v>45938.31</v>
      </c>
      <c r="O2" s="2940">
        <v>1526.39</v>
      </c>
      <c r="P2" s="2940">
        <v>7631.96</v>
      </c>
      <c r="Q2" s="2940">
        <v>341.15</v>
      </c>
      <c r="R2" s="2940" t="s">
        <v>3007</v>
      </c>
      <c r="S2" s="2940">
        <f>N2/H2*10000</f>
        <v>22895.888157894737</v>
      </c>
    </row>
    <row r="3" spans="1:19">
      <c r="A3" s="2940" t="s">
        <v>3067</v>
      </c>
      <c r="B3" s="2940" t="s">
        <v>3006</v>
      </c>
      <c r="C3" s="2940" t="s">
        <v>3031</v>
      </c>
      <c r="D3" s="2940" t="s">
        <v>2820</v>
      </c>
      <c r="E3" s="2940" t="s">
        <v>3067</v>
      </c>
      <c r="F3" s="2940">
        <v>20171301</v>
      </c>
      <c r="G3" s="2940" t="s">
        <v>3035</v>
      </c>
      <c r="H3" s="2940">
        <v>21541</v>
      </c>
      <c r="I3" s="2940">
        <v>25849.200000000001</v>
      </c>
      <c r="J3" s="2940" t="s">
        <v>3058</v>
      </c>
      <c r="K3" s="2940" t="s">
        <v>3068</v>
      </c>
      <c r="L3" s="2940" t="s">
        <v>3069</v>
      </c>
      <c r="M3" s="2940" t="s">
        <v>3070</v>
      </c>
      <c r="N3" s="2940">
        <v>12816.51</v>
      </c>
      <c r="O3" s="2940">
        <v>396.65</v>
      </c>
      <c r="P3" s="2940">
        <v>4958.18</v>
      </c>
      <c r="Q3" s="2940">
        <v>183.32</v>
      </c>
      <c r="R3" s="2940" t="s">
        <v>3007</v>
      </c>
      <c r="S3" s="2940">
        <f t="shared" ref="S3:S20" si="0">N3/H3*10000</f>
        <v>5949.8212710644812</v>
      </c>
    </row>
    <row r="4" spans="1:19">
      <c r="A4" s="2940" t="s">
        <v>3042</v>
      </c>
      <c r="B4" s="2940" t="s">
        <v>3006</v>
      </c>
      <c r="C4" s="2940" t="s">
        <v>3031</v>
      </c>
      <c r="D4" s="2940" t="s">
        <v>2820</v>
      </c>
      <c r="E4" s="2940" t="s">
        <v>3042</v>
      </c>
      <c r="F4" s="2940">
        <v>20181901</v>
      </c>
      <c r="G4" s="2940" t="s">
        <v>3033</v>
      </c>
      <c r="H4" s="2940">
        <v>80336</v>
      </c>
      <c r="I4" s="2940">
        <v>80336</v>
      </c>
      <c r="J4" s="2940" t="s">
        <v>3043</v>
      </c>
      <c r="K4" s="2940" t="s">
        <v>3044</v>
      </c>
      <c r="L4" s="2940" t="s">
        <v>3045</v>
      </c>
      <c r="M4" s="2940" t="s">
        <v>3046</v>
      </c>
      <c r="N4" s="2940">
        <v>16661.68</v>
      </c>
      <c r="O4" s="2940">
        <v>138.27000000000001</v>
      </c>
      <c r="P4" s="2940">
        <v>2074</v>
      </c>
      <c r="Q4" s="2940">
        <v>0</v>
      </c>
      <c r="R4" s="2940" t="s">
        <v>3007</v>
      </c>
      <c r="S4" s="2940">
        <f t="shared" si="0"/>
        <v>2073.9992033459471</v>
      </c>
    </row>
    <row r="5" spans="1:19">
      <c r="A5" s="2940" t="s">
        <v>3083</v>
      </c>
      <c r="B5" s="2940" t="s">
        <v>3006</v>
      </c>
      <c r="C5" s="2940" t="s">
        <v>3031</v>
      </c>
      <c r="D5" s="2940" t="s">
        <v>2820</v>
      </c>
      <c r="E5" s="2940" t="s">
        <v>3083</v>
      </c>
      <c r="F5" s="2940">
        <v>20161402</v>
      </c>
      <c r="G5" s="2940" t="s">
        <v>3035</v>
      </c>
      <c r="H5" s="2940">
        <v>71192</v>
      </c>
      <c r="I5" s="2940">
        <v>213576</v>
      </c>
      <c r="J5" s="2940" t="s">
        <v>3084</v>
      </c>
      <c r="K5" s="2940" t="s">
        <v>3085</v>
      </c>
      <c r="L5" s="2940" t="s">
        <v>3086</v>
      </c>
      <c r="M5" s="2940" t="s">
        <v>3087</v>
      </c>
      <c r="N5" s="2940">
        <v>40650.620000000003</v>
      </c>
      <c r="O5" s="2940">
        <v>380.67</v>
      </c>
      <c r="P5" s="2940">
        <v>1903.32</v>
      </c>
      <c r="Q5" s="2940">
        <v>24.4</v>
      </c>
      <c r="R5" s="2940" t="s">
        <v>3007</v>
      </c>
      <c r="S5" s="2940">
        <f t="shared" si="0"/>
        <v>5709.9983144173502</v>
      </c>
    </row>
    <row r="6" spans="1:19" s="3186" customFormat="1">
      <c r="A6" s="3186" t="s">
        <v>3088</v>
      </c>
      <c r="B6" s="3186" t="s">
        <v>3006</v>
      </c>
      <c r="C6" s="3186" t="s">
        <v>3031</v>
      </c>
      <c r="D6" s="3186" t="s">
        <v>2820</v>
      </c>
      <c r="E6" s="3186" t="s">
        <v>3088</v>
      </c>
      <c r="F6" s="3186">
        <v>20161301</v>
      </c>
      <c r="G6" s="3186" t="s">
        <v>3033</v>
      </c>
      <c r="H6" s="3186">
        <v>20256.900000000001</v>
      </c>
      <c r="I6" s="3186">
        <v>46590.87</v>
      </c>
      <c r="J6" s="3186" t="s">
        <v>3089</v>
      </c>
      <c r="K6" s="3186" t="s">
        <v>3090</v>
      </c>
      <c r="L6" s="3186" t="s">
        <v>3091</v>
      </c>
      <c r="M6" s="3186" t="s">
        <v>3092</v>
      </c>
      <c r="N6" s="3186">
        <v>5621.28</v>
      </c>
      <c r="O6" s="3186">
        <v>185</v>
      </c>
      <c r="P6" s="3186">
        <v>1206.51</v>
      </c>
      <c r="Q6" s="3186">
        <v>0</v>
      </c>
      <c r="R6" s="3186" t="s">
        <v>3007</v>
      </c>
      <c r="S6" s="3186">
        <f t="shared" si="0"/>
        <v>2774.9951868252297</v>
      </c>
    </row>
    <row r="7" spans="1:19" s="3185" customFormat="1">
      <c r="A7" s="3185" t="s">
        <v>3119</v>
      </c>
      <c r="B7" s="3185" t="s">
        <v>3006</v>
      </c>
      <c r="C7" s="3185" t="s">
        <v>3031</v>
      </c>
      <c r="D7" s="3185" t="s">
        <v>2820</v>
      </c>
      <c r="E7" s="3185" t="s">
        <v>3074</v>
      </c>
      <c r="F7" s="3185">
        <v>20170101</v>
      </c>
      <c r="G7" s="3185" t="s">
        <v>3035</v>
      </c>
      <c r="H7" s="3185">
        <v>12008</v>
      </c>
      <c r="I7" s="3185">
        <v>24016</v>
      </c>
      <c r="J7" s="3185" t="s">
        <v>3075</v>
      </c>
      <c r="K7" s="3185" t="s">
        <v>3076</v>
      </c>
      <c r="L7" s="3185" t="s">
        <v>3077</v>
      </c>
      <c r="M7" s="3185" t="s">
        <v>3070</v>
      </c>
      <c r="N7" s="3185">
        <v>2881.92</v>
      </c>
      <c r="O7" s="3185">
        <v>160</v>
      </c>
      <c r="P7" s="3185">
        <v>1200</v>
      </c>
      <c r="Q7" s="3185">
        <v>0</v>
      </c>
      <c r="R7" s="3185" t="s">
        <v>3007</v>
      </c>
      <c r="S7" s="3185">
        <f t="shared" si="0"/>
        <v>2400</v>
      </c>
    </row>
    <row r="8" spans="1:19" s="3185" customFormat="1">
      <c r="A8" s="3185" t="s">
        <v>3121</v>
      </c>
      <c r="B8" s="3185" t="s">
        <v>3006</v>
      </c>
      <c r="C8" s="3185" t="s">
        <v>3031</v>
      </c>
      <c r="D8" s="3185" t="s">
        <v>2820</v>
      </c>
      <c r="E8" s="3185" t="s">
        <v>3155</v>
      </c>
      <c r="F8" s="3185">
        <v>20160301</v>
      </c>
      <c r="G8" s="3185" t="s">
        <v>3034</v>
      </c>
      <c r="H8" s="3185">
        <v>6325</v>
      </c>
      <c r="I8" s="3185">
        <v>3795</v>
      </c>
      <c r="J8" s="3185" t="s">
        <v>3093</v>
      </c>
      <c r="K8" s="3185" t="s">
        <v>3094</v>
      </c>
      <c r="L8" s="3185" t="s">
        <v>3095</v>
      </c>
      <c r="M8" s="3185" t="s">
        <v>3154</v>
      </c>
      <c r="N8" s="3185">
        <v>452.24</v>
      </c>
      <c r="O8" s="3185">
        <v>47.67</v>
      </c>
      <c r="P8" s="3185">
        <v>1191.67</v>
      </c>
      <c r="Q8" s="3185">
        <v>0</v>
      </c>
      <c r="R8" s="3185" t="s">
        <v>3007</v>
      </c>
      <c r="S8" s="3185">
        <f t="shared" si="0"/>
        <v>715.00395256917</v>
      </c>
    </row>
    <row r="9" spans="1:19" s="3185" customFormat="1">
      <c r="A9" s="3185" t="s">
        <v>3122</v>
      </c>
      <c r="B9" s="3185" t="s">
        <v>3006</v>
      </c>
      <c r="C9" s="3185" t="s">
        <v>3031</v>
      </c>
      <c r="D9" s="3185" t="s">
        <v>2820</v>
      </c>
      <c r="E9" s="3185" t="s">
        <v>3100</v>
      </c>
      <c r="F9" s="3185">
        <v>20160701</v>
      </c>
      <c r="G9" s="3185" t="s">
        <v>3035</v>
      </c>
      <c r="H9" s="3185">
        <v>103445</v>
      </c>
      <c r="I9" s="3185">
        <v>258612.5</v>
      </c>
      <c r="J9" s="3185" t="s">
        <v>3101</v>
      </c>
      <c r="K9" s="3185" t="s">
        <v>3102</v>
      </c>
      <c r="L9" s="3185" t="s">
        <v>3103</v>
      </c>
      <c r="M9" s="3185" t="s">
        <v>3104</v>
      </c>
      <c r="N9" s="3185">
        <v>30257.65</v>
      </c>
      <c r="O9" s="3185">
        <v>195</v>
      </c>
      <c r="P9" s="3185">
        <v>1170</v>
      </c>
      <c r="Q9" s="3185">
        <v>0</v>
      </c>
      <c r="R9" s="3185" t="s">
        <v>3007</v>
      </c>
      <c r="S9" s="3185">
        <f t="shared" si="0"/>
        <v>2924.9987916284017</v>
      </c>
    </row>
    <row r="10" spans="1:19">
      <c r="A10" s="2940" t="s">
        <v>3105</v>
      </c>
      <c r="B10" s="2940" t="s">
        <v>3006</v>
      </c>
      <c r="C10" s="2940" t="s">
        <v>3031</v>
      </c>
      <c r="D10" s="2940" t="s">
        <v>2820</v>
      </c>
      <c r="E10" s="2940" t="s">
        <v>3105</v>
      </c>
      <c r="F10" s="2940">
        <v>20160501</v>
      </c>
      <c r="G10" s="2940" t="s">
        <v>3034</v>
      </c>
      <c r="H10" s="2940">
        <v>34320</v>
      </c>
      <c r="I10" s="2940">
        <v>61776</v>
      </c>
      <c r="J10" s="2940" t="s">
        <v>3106</v>
      </c>
      <c r="K10" s="2940" t="s">
        <v>3107</v>
      </c>
      <c r="L10" s="2940" t="s">
        <v>3108</v>
      </c>
      <c r="M10" s="2940" t="s">
        <v>3109</v>
      </c>
      <c r="N10" s="2940">
        <v>5662.8</v>
      </c>
      <c r="O10" s="2940">
        <v>110</v>
      </c>
      <c r="P10" s="2940">
        <v>916.66</v>
      </c>
      <c r="Q10" s="2940">
        <v>0</v>
      </c>
      <c r="R10" s="2940" t="s">
        <v>3007</v>
      </c>
      <c r="S10" s="2940">
        <f t="shared" si="0"/>
        <v>1650</v>
      </c>
    </row>
    <row r="11" spans="1:19">
      <c r="A11" s="2940" t="s">
        <v>3110</v>
      </c>
      <c r="B11" s="2940" t="s">
        <v>3006</v>
      </c>
      <c r="C11" s="2940" t="s">
        <v>3031</v>
      </c>
      <c r="D11" s="2940" t="s">
        <v>2820</v>
      </c>
      <c r="E11" s="2940" t="s">
        <v>3110</v>
      </c>
      <c r="F11" s="2940">
        <v>20152401</v>
      </c>
      <c r="G11" s="2940" t="s">
        <v>3032</v>
      </c>
      <c r="H11" s="2940">
        <v>146370</v>
      </c>
      <c r="I11" s="2940">
        <v>263466</v>
      </c>
      <c r="J11" s="2940" t="s">
        <v>3106</v>
      </c>
      <c r="K11" s="2940" t="s">
        <v>3111</v>
      </c>
      <c r="L11" s="2940" t="s">
        <v>3112</v>
      </c>
      <c r="M11" s="2940" t="s">
        <v>3113</v>
      </c>
      <c r="N11" s="2940">
        <v>22175.06</v>
      </c>
      <c r="O11" s="2940">
        <v>101</v>
      </c>
      <c r="P11" s="2940">
        <v>841.66</v>
      </c>
      <c r="Q11" s="2940">
        <v>0</v>
      </c>
      <c r="R11" s="2940" t="s">
        <v>3007</v>
      </c>
      <c r="S11" s="2940">
        <f t="shared" si="0"/>
        <v>1515.000341600055</v>
      </c>
    </row>
    <row r="12" spans="1:19">
      <c r="A12" s="2940" t="s">
        <v>3047</v>
      </c>
      <c r="B12" s="2940" t="s">
        <v>3006</v>
      </c>
      <c r="C12" s="2940" t="s">
        <v>3031</v>
      </c>
      <c r="D12" s="2940" t="s">
        <v>2820</v>
      </c>
      <c r="E12" s="2940" t="s">
        <v>3047</v>
      </c>
      <c r="F12" s="2940">
        <v>20171901</v>
      </c>
      <c r="G12" s="2940" t="s">
        <v>3035</v>
      </c>
      <c r="H12" s="2940">
        <v>5650.6</v>
      </c>
      <c r="I12" s="2940">
        <v>15256.62</v>
      </c>
      <c r="J12" s="2940" t="s">
        <v>3048</v>
      </c>
      <c r="K12" s="2940" t="s">
        <v>3049</v>
      </c>
      <c r="L12" s="2940" t="s">
        <v>3050</v>
      </c>
      <c r="M12" s="2940" t="s">
        <v>3051</v>
      </c>
      <c r="N12" s="2940">
        <v>1253.8599999999999</v>
      </c>
      <c r="O12" s="2940">
        <v>147.93</v>
      </c>
      <c r="P12" s="2940">
        <v>821.85</v>
      </c>
      <c r="Q12" s="2940">
        <v>0.91</v>
      </c>
      <c r="R12" s="2940" t="s">
        <v>3007</v>
      </c>
      <c r="S12" s="2940">
        <f t="shared" si="0"/>
        <v>2218.9855944501464</v>
      </c>
    </row>
    <row r="13" spans="1:19">
      <c r="A13" s="2940" t="s">
        <v>3071</v>
      </c>
      <c r="B13" s="2940" t="s">
        <v>3006</v>
      </c>
      <c r="C13" s="2940" t="s">
        <v>3031</v>
      </c>
      <c r="D13" s="2940" t="s">
        <v>2820</v>
      </c>
      <c r="E13" s="2940" t="s">
        <v>3071</v>
      </c>
      <c r="F13" s="2940">
        <v>20170501</v>
      </c>
      <c r="G13" s="2940" t="s">
        <v>3035</v>
      </c>
      <c r="H13" s="2940">
        <v>3165</v>
      </c>
      <c r="I13" s="2940">
        <v>3798</v>
      </c>
      <c r="J13" s="2940" t="s">
        <v>3058</v>
      </c>
      <c r="K13" s="2940" t="s">
        <v>3036</v>
      </c>
      <c r="L13" s="2940" t="s">
        <v>3072</v>
      </c>
      <c r="M13" s="2940" t="s">
        <v>3073</v>
      </c>
      <c r="N13" s="2940">
        <v>276.3</v>
      </c>
      <c r="O13" s="2940">
        <v>58.2</v>
      </c>
      <c r="P13" s="2940">
        <v>727.49</v>
      </c>
      <c r="Q13" s="2940">
        <v>2.34</v>
      </c>
      <c r="R13" s="2940" t="s">
        <v>3007</v>
      </c>
      <c r="S13" s="2940">
        <f t="shared" si="0"/>
        <v>872.98578199052133</v>
      </c>
    </row>
    <row r="14" spans="1:19">
      <c r="A14" s="2940" t="s">
        <v>3114</v>
      </c>
      <c r="B14" s="2940" t="s">
        <v>3006</v>
      </c>
      <c r="C14" s="2940" t="s">
        <v>3031</v>
      </c>
      <c r="D14" s="2940" t="s">
        <v>2820</v>
      </c>
      <c r="E14" s="2940" t="s">
        <v>3114</v>
      </c>
      <c r="F14" s="2940">
        <v>20151901</v>
      </c>
      <c r="G14" s="2940" t="s">
        <v>3035</v>
      </c>
      <c r="H14" s="2940">
        <v>14299</v>
      </c>
      <c r="I14" s="2940">
        <v>31457.8</v>
      </c>
      <c r="J14" s="2940" t="s">
        <v>3115</v>
      </c>
      <c r="K14" s="2940" t="s">
        <v>3116</v>
      </c>
      <c r="L14" s="2940" t="s">
        <v>3117</v>
      </c>
      <c r="M14" s="2940" t="s">
        <v>3118</v>
      </c>
      <c r="N14" s="2940">
        <v>2144.84</v>
      </c>
      <c r="O14" s="2940">
        <v>100</v>
      </c>
      <c r="P14" s="2940">
        <v>681.82</v>
      </c>
      <c r="Q14" s="2940">
        <v>0</v>
      </c>
      <c r="R14" s="2940" t="s">
        <v>3007</v>
      </c>
      <c r="S14" s="2940">
        <f t="shared" si="0"/>
        <v>1499.9930065039516</v>
      </c>
    </row>
    <row r="15" spans="1:19">
      <c r="A15" s="2940" t="s">
        <v>3052</v>
      </c>
      <c r="B15" s="2940" t="s">
        <v>3006</v>
      </c>
      <c r="C15" s="2940" t="s">
        <v>3031</v>
      </c>
      <c r="D15" s="2940" t="s">
        <v>2820</v>
      </c>
      <c r="E15" s="2940" t="s">
        <v>3052</v>
      </c>
      <c r="F15" s="2940">
        <v>20170701</v>
      </c>
      <c r="G15" s="2940" t="s">
        <v>3032</v>
      </c>
      <c r="H15" s="2940">
        <v>13775</v>
      </c>
      <c r="I15" s="2940">
        <v>19285</v>
      </c>
      <c r="J15" s="2940" t="s">
        <v>3053</v>
      </c>
      <c r="K15" s="2940" t="s">
        <v>3054</v>
      </c>
      <c r="L15" s="2940" t="s">
        <v>3055</v>
      </c>
      <c r="M15" s="2940" t="s">
        <v>3056</v>
      </c>
      <c r="N15" s="2940">
        <v>940.83</v>
      </c>
      <c r="O15" s="2940">
        <v>45.53</v>
      </c>
      <c r="P15" s="2940">
        <v>487.86</v>
      </c>
      <c r="Q15" s="2940">
        <v>0</v>
      </c>
      <c r="R15" s="2940" t="s">
        <v>3007</v>
      </c>
      <c r="S15" s="2940">
        <f t="shared" si="0"/>
        <v>682.99818511796741</v>
      </c>
    </row>
    <row r="16" spans="1:19">
      <c r="A16" s="2940" t="s">
        <v>3096</v>
      </c>
      <c r="B16" s="2940" t="s">
        <v>3006</v>
      </c>
      <c r="C16" s="2940" t="s">
        <v>3031</v>
      </c>
      <c r="D16" s="2940" t="s">
        <v>2820</v>
      </c>
      <c r="E16" s="2940" t="s">
        <v>3096</v>
      </c>
      <c r="F16" s="2940">
        <v>20160202</v>
      </c>
      <c r="G16" s="2940" t="s">
        <v>3032</v>
      </c>
      <c r="H16" s="2940">
        <v>15776</v>
      </c>
      <c r="I16" s="2940">
        <v>25241.599999999999</v>
      </c>
      <c r="J16" s="2940" t="s">
        <v>3097</v>
      </c>
      <c r="K16" s="2940" t="s">
        <v>3098</v>
      </c>
      <c r="L16" s="2940" t="s">
        <v>3099</v>
      </c>
      <c r="M16" s="2940" t="s">
        <v>3056</v>
      </c>
      <c r="N16" s="2940">
        <v>1080.6600000000001</v>
      </c>
      <c r="O16" s="2940">
        <v>45.67</v>
      </c>
      <c r="P16" s="2940">
        <v>428.12</v>
      </c>
      <c r="Q16" s="2940">
        <v>0</v>
      </c>
      <c r="R16" s="2940" t="s">
        <v>3007</v>
      </c>
      <c r="S16" s="2940">
        <f t="shared" si="0"/>
        <v>685.00253549695742</v>
      </c>
    </row>
    <row r="17" spans="1:19">
      <c r="A17" s="2940" t="s">
        <v>3057</v>
      </c>
      <c r="B17" s="2940" t="s">
        <v>3006</v>
      </c>
      <c r="C17" s="2940" t="s">
        <v>3031</v>
      </c>
      <c r="D17" s="2940" t="s">
        <v>2820</v>
      </c>
      <c r="E17" s="2940" t="s">
        <v>3057</v>
      </c>
      <c r="F17" s="2940">
        <v>20170401</v>
      </c>
      <c r="G17" s="2940" t="s">
        <v>3033</v>
      </c>
      <c r="H17" s="2940">
        <v>28391</v>
      </c>
      <c r="I17" s="2940">
        <v>34069.199999999997</v>
      </c>
      <c r="J17" s="2940" t="s">
        <v>3058</v>
      </c>
      <c r="K17" s="2940" t="s">
        <v>3059</v>
      </c>
      <c r="L17" s="2940" t="s">
        <v>3060</v>
      </c>
      <c r="M17" s="2940" t="s">
        <v>3061</v>
      </c>
      <c r="N17" s="2940">
        <v>1226.49</v>
      </c>
      <c r="O17" s="2940">
        <v>28.8</v>
      </c>
      <c r="P17" s="2940">
        <v>360</v>
      </c>
      <c r="Q17" s="2940">
        <v>0</v>
      </c>
      <c r="R17" s="2940" t="s">
        <v>3007</v>
      </c>
      <c r="S17" s="2940">
        <f t="shared" si="0"/>
        <v>431.99957733084432</v>
      </c>
    </row>
    <row r="18" spans="1:19">
      <c r="A18" s="2940" t="s">
        <v>3062</v>
      </c>
      <c r="B18" s="2940" t="s">
        <v>3006</v>
      </c>
      <c r="C18" s="2940" t="s">
        <v>3031</v>
      </c>
      <c r="D18" s="2940" t="s">
        <v>2820</v>
      </c>
      <c r="E18" s="2940" t="s">
        <v>3062</v>
      </c>
      <c r="F18" s="2940">
        <v>20170403</v>
      </c>
      <c r="G18" s="2940" t="s">
        <v>3033</v>
      </c>
      <c r="H18" s="2940">
        <v>46382</v>
      </c>
      <c r="I18" s="2940">
        <v>55658.400000000001</v>
      </c>
      <c r="J18" s="2940" t="s">
        <v>3058</v>
      </c>
      <c r="K18" s="2940" t="s">
        <v>3059</v>
      </c>
      <c r="L18" s="2940" t="s">
        <v>3063</v>
      </c>
      <c r="M18" s="2940" t="s">
        <v>3064</v>
      </c>
      <c r="N18" s="2940">
        <v>2003.7</v>
      </c>
      <c r="O18" s="2940">
        <v>28.8</v>
      </c>
      <c r="P18" s="2940">
        <v>360</v>
      </c>
      <c r="Q18" s="2940">
        <v>0</v>
      </c>
      <c r="R18" s="2940" t="s">
        <v>3007</v>
      </c>
      <c r="S18" s="2940">
        <f t="shared" si="0"/>
        <v>431.99948255788883</v>
      </c>
    </row>
    <row r="19" spans="1:19">
      <c r="A19" s="2940" t="s">
        <v>3065</v>
      </c>
      <c r="B19" s="2940" t="s">
        <v>3006</v>
      </c>
      <c r="C19" s="2940" t="s">
        <v>3031</v>
      </c>
      <c r="D19" s="2940" t="s">
        <v>2820</v>
      </c>
      <c r="E19" s="2940" t="s">
        <v>3065</v>
      </c>
      <c r="F19" s="2940">
        <v>20170402</v>
      </c>
      <c r="G19" s="2940" t="s">
        <v>3033</v>
      </c>
      <c r="H19" s="2940">
        <v>5873</v>
      </c>
      <c r="I19" s="2940">
        <v>7047.6</v>
      </c>
      <c r="J19" s="2940" t="s">
        <v>3058</v>
      </c>
      <c r="K19" s="2940" t="s">
        <v>3059</v>
      </c>
      <c r="L19" s="2940" t="s">
        <v>3066</v>
      </c>
      <c r="M19" s="2940" t="s">
        <v>3061</v>
      </c>
      <c r="N19" s="2940">
        <v>253.71</v>
      </c>
      <c r="O19" s="2940">
        <v>28.8</v>
      </c>
      <c r="P19" s="2940">
        <v>359.99</v>
      </c>
      <c r="Q19" s="2940">
        <v>0</v>
      </c>
      <c r="R19" s="2940" t="s">
        <v>3007</v>
      </c>
      <c r="S19" s="2940">
        <f t="shared" si="0"/>
        <v>431.99387025370345</v>
      </c>
    </row>
    <row r="20" spans="1:19">
      <c r="A20" s="2940" t="s">
        <v>3037</v>
      </c>
      <c r="B20" s="2940" t="s">
        <v>3006</v>
      </c>
      <c r="C20" s="2940" t="s">
        <v>3031</v>
      </c>
      <c r="D20" s="2940" t="s">
        <v>2820</v>
      </c>
      <c r="E20" s="2940" t="s">
        <v>3037</v>
      </c>
      <c r="F20" s="2940">
        <v>20180201</v>
      </c>
      <c r="G20" s="2940" t="s">
        <v>3035</v>
      </c>
      <c r="H20" s="2940">
        <v>6850</v>
      </c>
      <c r="I20" s="2940">
        <v>11645</v>
      </c>
      <c r="J20" s="2940" t="s">
        <v>3038</v>
      </c>
      <c r="K20" s="2940" t="s">
        <v>3039</v>
      </c>
      <c r="L20" s="2940" t="s">
        <v>3040</v>
      </c>
      <c r="M20" s="2940" t="s">
        <v>3041</v>
      </c>
      <c r="N20" s="2940">
        <v>414.43</v>
      </c>
      <c r="O20" s="2940">
        <v>40.33</v>
      </c>
      <c r="P20" s="2940">
        <v>355.88</v>
      </c>
      <c r="Q20" s="2940">
        <v>0</v>
      </c>
      <c r="R20" s="2940" t="s">
        <v>3007</v>
      </c>
      <c r="S20" s="2940">
        <f t="shared" si="0"/>
        <v>605.00729927007296</v>
      </c>
    </row>
  </sheetData>
  <sortState ref="A2:R28">
    <sortCondition descending="1" ref="P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9" t="s">
        <v>2042</v>
      </c>
      <c r="B2" s="1809"/>
      <c r="C2" s="1809"/>
      <c r="D2" s="1809"/>
      <c r="E2" s="1809"/>
      <c r="F2" s="1809"/>
      <c r="G2" s="1809"/>
      <c r="H2" s="1809"/>
      <c r="I2" s="1810"/>
      <c r="J2" s="1810"/>
      <c r="K2" s="1811" t="str">
        <f>"估价期日："&amp;TEXT(项目基本情况!D3,"yyyy年m月d日;;")</f>
        <v>估价期日：2018年12月5日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9" t="s">
        <v>2031</v>
      </c>
      <c r="B3" s="3199" t="s">
        <v>2733</v>
      </c>
      <c r="C3" s="3200" t="s">
        <v>2032</v>
      </c>
      <c r="D3" s="3199" t="s">
        <v>2737</v>
      </c>
      <c r="E3" s="3202" t="s">
        <v>2033</v>
      </c>
      <c r="F3" s="3202"/>
      <c r="G3" s="3202"/>
      <c r="H3" s="3202" t="s">
        <v>2034</v>
      </c>
      <c r="I3" s="3202"/>
      <c r="J3" s="3202"/>
      <c r="K3" s="3200" t="s">
        <v>2035</v>
      </c>
      <c r="L3" s="3200" t="s">
        <v>2036</v>
      </c>
      <c r="M3" s="3199" t="s">
        <v>2734</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51" t="s">
        <v>2044</v>
      </c>
      <c r="F4" s="2651" t="s">
        <v>2746</v>
      </c>
      <c r="G4" s="2651" t="s">
        <v>2038</v>
      </c>
      <c r="H4" s="2651" t="s">
        <v>2039</v>
      </c>
      <c r="I4" s="2651" t="s">
        <v>2747</v>
      </c>
      <c r="J4" s="2651" t="s">
        <v>2038</v>
      </c>
      <c r="K4" s="3200"/>
      <c r="L4" s="3200"/>
      <c r="M4" s="3199"/>
      <c r="N4" s="3201"/>
      <c r="O4" s="3199"/>
      <c r="P4" s="3200"/>
      <c r="Q4" s="3200"/>
      <c r="R4" s="3200"/>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73340</v>
      </c>
      <c r="O5" s="1812">
        <f>项目基本情况!C21</f>
        <v>220020</v>
      </c>
      <c r="P5" s="1812">
        <f ca="1">结果表!E42</f>
        <v>4435</v>
      </c>
      <c r="Q5" s="1812">
        <f ca="1">结果表!D42</f>
        <v>1478</v>
      </c>
      <c r="R5" s="1813">
        <f ca="1">结果表!C42</f>
        <v>32527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f ca="1">结果表!O39</f>
        <v>32527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7" t="s">
        <v>2067</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2068</v>
      </c>
      <c r="B5" s="3206"/>
      <c r="C5" s="3206"/>
      <c r="D5" s="3206"/>
    </row>
    <row r="6" spans="1:4">
      <c r="A6" s="3207" t="s">
        <v>2046</v>
      </c>
      <c r="B6" s="3207"/>
      <c r="C6" s="3207"/>
      <c r="D6" s="3207"/>
    </row>
    <row r="7" spans="1:4" ht="33" customHeight="1">
      <c r="A7" s="3207" t="s">
        <v>2577</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2070</v>
      </c>
      <c r="B12" s="3206"/>
      <c r="C12" s="3206"/>
      <c r="D12" s="3206"/>
    </row>
    <row r="13" spans="1:4">
      <c r="A13" s="3210" t="s">
        <v>2748</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2704</v>
      </c>
      <c r="B17" s="3207"/>
      <c r="C17" s="3207"/>
      <c r="D17" s="3207"/>
    </row>
    <row r="18" spans="1:4">
      <c r="A18" s="3207" t="s">
        <v>2696</v>
      </c>
      <c r="B18" s="3207"/>
      <c r="C18" s="3207"/>
      <c r="D18" s="3207"/>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207" t="s">
        <v>2701</v>
      </c>
      <c r="B23" s="3207"/>
      <c r="C23" s="3207"/>
      <c r="D23" s="3207"/>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8" t="s">
        <v>53</v>
      </c>
      <c r="B15" s="3219" t="s">
        <v>845</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836</v>
      </c>
    </row>
    <row r="25" spans="1:3" ht="14.25">
      <c r="A25" s="3217"/>
      <c r="B25" s="3221"/>
      <c r="C25" s="1176" t="s">
        <v>837</v>
      </c>
    </row>
    <row r="26" spans="1:3" ht="14.25">
      <c r="A26" s="3217"/>
      <c r="B26" s="3221"/>
      <c r="C26" s="1176" t="s">
        <v>838</v>
      </c>
    </row>
    <row r="27" spans="1:3" ht="14.25">
      <c r="A27" s="3217"/>
      <c r="B27" s="3221"/>
      <c r="C27" s="1176" t="s">
        <v>839</v>
      </c>
    </row>
    <row r="28" spans="1:3" ht="14.25">
      <c r="A28" s="3217"/>
      <c r="B28" s="3221"/>
      <c r="C28" s="1176" t="s">
        <v>840</v>
      </c>
    </row>
    <row r="29" spans="1:3" ht="14.25">
      <c r="A29" s="3217"/>
      <c r="B29" s="3221"/>
      <c r="C29" s="1176" t="s">
        <v>841</v>
      </c>
    </row>
    <row r="30" spans="1:3" ht="14.25">
      <c r="A30" s="3217"/>
      <c r="B30" s="3221"/>
      <c r="C30" s="1176" t="s">
        <v>842</v>
      </c>
    </row>
    <row r="31" spans="1:3" ht="14.25">
      <c r="A31" s="3217"/>
      <c r="B31" s="3221"/>
      <c r="C31" s="1176" t="s">
        <v>843</v>
      </c>
    </row>
    <row r="32" spans="1:3" ht="14.25">
      <c r="A32" s="3217"/>
      <c r="B32" s="3221"/>
      <c r="C32" s="1176" t="s">
        <v>1646</v>
      </c>
    </row>
    <row r="33" spans="1:3" ht="14.25">
      <c r="A33" s="3217"/>
      <c r="B33" s="3211" t="s">
        <v>1652</v>
      </c>
      <c r="C33" s="1176" t="s">
        <v>1647</v>
      </c>
    </row>
    <row r="34" spans="1:3" ht="14.25">
      <c r="A34" s="3217"/>
      <c r="B34" s="3212"/>
      <c r="C34" s="1181" t="s">
        <v>1648</v>
      </c>
    </row>
    <row r="35" spans="1:3" ht="14.25">
      <c r="A35" s="3217"/>
      <c r="B35" s="3212"/>
      <c r="C35" s="1182" t="s">
        <v>1649</v>
      </c>
    </row>
    <row r="36" spans="1:3" ht="14.25">
      <c r="A36" s="3217"/>
      <c r="B36" s="3212"/>
      <c r="C36" s="1182" t="s">
        <v>1650</v>
      </c>
    </row>
    <row r="37" spans="1:3" ht="14.25">
      <c r="A37" s="3217"/>
      <c r="B37" s="321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43441</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7">
        <v>43849</v>
      </c>
      <c r="D4" s="2345" t="s">
        <v>1914</v>
      </c>
      <c r="E4" s="2345">
        <f ca="1">IF(F4&lt;B2,"已过期",96010014)</f>
        <v>96010014</v>
      </c>
      <c r="F4" s="3008">
        <v>47118</v>
      </c>
    </row>
    <row r="5" spans="1:6" ht="20.25" customHeight="1">
      <c r="A5" s="2345" t="s">
        <v>1915</v>
      </c>
      <c r="B5" s="2345">
        <f ca="1">IF(C5&lt;B2,"已过期",1119970074)</f>
        <v>1119970074</v>
      </c>
      <c r="C5" s="3007">
        <v>43849</v>
      </c>
      <c r="D5" s="2345" t="s">
        <v>1915</v>
      </c>
      <c r="E5" s="2345">
        <f ca="1">IF(F5&lt;B2,"已过期",2002110027)</f>
        <v>2002110027</v>
      </c>
      <c r="F5" s="3008">
        <v>46752</v>
      </c>
    </row>
    <row r="6" spans="1:6" ht="20.25" customHeight="1">
      <c r="A6" s="2345" t="s">
        <v>1916</v>
      </c>
      <c r="B6" s="2345">
        <f ca="1">IF(C6&lt;B2,"已过期",1119970111)</f>
        <v>1119970111</v>
      </c>
      <c r="C6" s="3007">
        <v>43849</v>
      </c>
      <c r="D6" s="2345" t="s">
        <v>1916</v>
      </c>
      <c r="E6" s="2345">
        <f ca="1">IF(F6&lt;B2,"已过期",94010078)</f>
        <v>94010078</v>
      </c>
      <c r="F6" s="3008">
        <v>46387</v>
      </c>
    </row>
    <row r="7" spans="1:6" ht="20.25" customHeight="1">
      <c r="A7" s="2345" t="s">
        <v>1917</v>
      </c>
      <c r="B7" s="2345">
        <f ca="1">IF(C7&lt;B2,"已过期",1120050019)</f>
        <v>1120050019</v>
      </c>
      <c r="C7" s="3007">
        <v>44395</v>
      </c>
      <c r="D7" s="2345" t="s">
        <v>1917</v>
      </c>
      <c r="E7" s="2345">
        <f ca="1">IF(F7&lt;B2,"已过期",2002110030)</f>
        <v>2002110030</v>
      </c>
      <c r="F7" s="3008">
        <v>46387</v>
      </c>
    </row>
    <row r="8" spans="1:6" ht="20.25" customHeight="1">
      <c r="A8" s="2345" t="s">
        <v>1918</v>
      </c>
      <c r="B8" s="2345">
        <f ca="1">IF(C8&lt;B2,"已过期",1120000080)</f>
        <v>1120000080</v>
      </c>
      <c r="C8" s="3007">
        <v>43849</v>
      </c>
      <c r="D8" s="2345" t="s">
        <v>1918</v>
      </c>
      <c r="E8" s="2345">
        <f ca="1">IF(F8&lt;B2,"已过期",2000110082)</f>
        <v>2000110082</v>
      </c>
      <c r="F8" s="3008">
        <v>46387</v>
      </c>
    </row>
    <row r="9" spans="1:6" ht="20.25" customHeight="1">
      <c r="A9" s="2345" t="s">
        <v>1919</v>
      </c>
      <c r="B9" s="2345">
        <f ca="1">IF(C9&lt;B2,"已过期",1419970001)</f>
        <v>1419970001</v>
      </c>
      <c r="C9" s="3007">
        <v>43867</v>
      </c>
      <c r="D9" s="2345" t="s">
        <v>1919</v>
      </c>
      <c r="E9" s="2345">
        <f ca="1">IF(F9&lt;B2,"已过期",2002110125)</f>
        <v>2002110125</v>
      </c>
      <c r="F9" s="3008">
        <v>47118</v>
      </c>
    </row>
    <row r="10" spans="1:6" ht="20.25" customHeight="1">
      <c r="A10" s="2345" t="s">
        <v>1920</v>
      </c>
      <c r="B10" s="2345">
        <f ca="1">IF(C10&lt;B2,"已过期",1120060040)</f>
        <v>1120060040</v>
      </c>
      <c r="C10" s="3007">
        <v>43483</v>
      </c>
      <c r="D10" s="2345" t="s">
        <v>1920</v>
      </c>
      <c r="E10" s="2345">
        <f ca="1">IF(F10&lt;B2,"已过期",2004110096)</f>
        <v>2004110096</v>
      </c>
      <c r="F10" s="3008">
        <v>47118</v>
      </c>
    </row>
    <row r="11" spans="1:6" ht="20.25" customHeight="1">
      <c r="A11" s="2345" t="s">
        <v>1921</v>
      </c>
      <c r="B11" s="2345">
        <f ca="1">IF(C11&lt;B2,"已过期",1120100036)</f>
        <v>1120100036</v>
      </c>
      <c r="C11" s="3007">
        <v>43622</v>
      </c>
      <c r="D11" s="2345" t="s">
        <v>1921</v>
      </c>
      <c r="E11" s="2345">
        <f ca="1">IF(F11&lt;B2,"已过期",2010110070)</f>
        <v>2010110070</v>
      </c>
      <c r="F11" s="3008">
        <v>47907</v>
      </c>
    </row>
    <row r="12" spans="1:6" ht="20.25" customHeight="1">
      <c r="A12" s="2345" t="s">
        <v>2981</v>
      </c>
      <c r="B12" s="2345">
        <v>1120110054</v>
      </c>
      <c r="C12" s="3007">
        <v>43937</v>
      </c>
      <c r="D12" s="2345" t="s">
        <v>2981</v>
      </c>
      <c r="E12" s="2345">
        <v>2008110060</v>
      </c>
      <c r="F12" s="3008">
        <v>47177</v>
      </c>
    </row>
    <row r="13" spans="1:6" ht="20.25" customHeight="1">
      <c r="A13" s="2345" t="s">
        <v>1922</v>
      </c>
      <c r="B13" s="2345">
        <f ca="1">IF(C13&lt;B2,"已过期",1120070131)</f>
        <v>1120070131</v>
      </c>
      <c r="C13" s="3007">
        <v>43814</v>
      </c>
      <c r="D13" s="2345" t="s">
        <v>1922</v>
      </c>
      <c r="E13" s="2345">
        <v>2014110011</v>
      </c>
      <c r="F13" s="3008">
        <v>49302</v>
      </c>
    </row>
    <row r="14" spans="1:6" ht="20.25" customHeight="1">
      <c r="A14" s="2345" t="s">
        <v>1923</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1924</v>
      </c>
      <c r="B16" s="2345">
        <f ca="1">IF(C16&lt;B2,"已过期",1120140022)</f>
        <v>1120140022</v>
      </c>
      <c r="C16" s="3007">
        <v>44029</v>
      </c>
      <c r="D16" s="2345" t="s">
        <v>1924</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1925</v>
      </c>
      <c r="E21" s="2345">
        <f ca="1">IF(F21&lt;B2,"已过期",2011110090)</f>
        <v>2011110090</v>
      </c>
      <c r="F21" s="3008">
        <v>48302</v>
      </c>
    </row>
    <row r="22" spans="1:7" ht="20.25" customHeight="1">
      <c r="A22" s="2345" t="s">
        <v>1926</v>
      </c>
      <c r="B22" s="2345">
        <f ca="1">IF(C22&lt;B2,"已过期",1120020033)</f>
        <v>1120020033</v>
      </c>
      <c r="C22" s="3007">
        <v>44339</v>
      </c>
      <c r="D22" s="2345" t="s">
        <v>1926</v>
      </c>
      <c r="E22" s="2345">
        <f ca="1">IF(F22&lt;B2,"已过期",2000110137)</f>
        <v>2000110137</v>
      </c>
      <c r="F22" s="3008">
        <v>46387</v>
      </c>
    </row>
    <row r="23" spans="1:7" ht="20.25" customHeight="1">
      <c r="A23" s="2345" t="s">
        <v>1927</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4" t="s">
        <v>2959</v>
      </c>
      <c r="C18" s="1555"/>
    </row>
    <row r="19" spans="1:3">
      <c r="A19" s="8" t="s">
        <v>120</v>
      </c>
      <c r="B19" s="3114"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4"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c r="D53" s="1769"/>
      <c r="E53" s="1769"/>
    </row>
    <row r="54" spans="1:5">
      <c r="A54" s="3224"/>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4"/>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4"/>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4"/>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2018-12-07T08:02:40Z</dcterms:modified>
</cp:coreProperties>
</file>